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nusu-my.sharepoint.com/personal/e1383593_u_nus_edu/Documents/Finance/MFin NUS/Sem 2 '25/Applied Corp Finance/Final Project/"/>
    </mc:Choice>
  </mc:AlternateContent>
  <xr:revisionPtr revIDLastSave="0" documentId="8_{D684CA67-CEA5-4A4D-8BCE-49583346ADF4}" xr6:coauthVersionLast="47" xr6:coauthVersionMax="47" xr10:uidLastSave="{00000000-0000-0000-0000-000000000000}"/>
  <bookViews>
    <workbookView xWindow="-108" yWindow="-108" windowWidth="23256" windowHeight="12456" firstSheet="1" activeTab="1" xr2:uid="{502F37A4-1D56-4E2A-A9DB-2EEFF5684FEE}"/>
  </bookViews>
  <sheets>
    <sheet name="IS Model (w digi fin" sheetId="12" state="hidden" r:id="rId1"/>
    <sheet name="IS Model" sheetId="2" r:id="rId2"/>
    <sheet name="BS Model" sheetId="5" r:id="rId3"/>
    <sheet name="Valuation" sheetId="8" r:id="rId4"/>
    <sheet name="Ratios + Implied share price" sheetId="10" r:id="rId5"/>
    <sheet name="Calculations" sheetId="11" r:id="rId6"/>
    <sheet name="Visualization" sheetId="13" r:id="rId7"/>
    <sheet name="Income - Actual" sheetId="3" r:id="rId8"/>
    <sheet name="Balance Sheet - Actual" sheetId="4" r:id="rId9"/>
    <sheet name="Cash Flow - Actual" sheetId="6"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8" l="1"/>
  <c r="X46" i="8"/>
  <c r="X47" i="8"/>
  <c r="W44" i="8"/>
  <c r="G7" i="5"/>
  <c r="G8" i="5"/>
  <c r="G6" i="5"/>
  <c r="D46" i="8"/>
  <c r="B24" i="8"/>
  <c r="G7" i="2"/>
  <c r="H7" i="2"/>
  <c r="H9" i="2"/>
  <c r="H13" i="2"/>
  <c r="H11" i="2"/>
  <c r="H5" i="2"/>
  <c r="G18" i="2"/>
  <c r="F7" i="2"/>
  <c r="F18" i="2"/>
  <c r="H18" i="2"/>
  <c r="H17" i="2"/>
  <c r="H19" i="2"/>
  <c r="H21" i="2"/>
  <c r="H15" i="2"/>
  <c r="H24" i="2"/>
  <c r="G28" i="2"/>
  <c r="G5" i="2"/>
  <c r="G29" i="2"/>
  <c r="F28" i="2"/>
  <c r="F5" i="2"/>
  <c r="F29" i="2"/>
  <c r="H29" i="2"/>
  <c r="H28" i="2"/>
  <c r="E30" i="2"/>
  <c r="E5" i="2"/>
  <c r="E31" i="2"/>
  <c r="F30" i="2"/>
  <c r="F31" i="2"/>
  <c r="G30" i="2"/>
  <c r="G31" i="2"/>
  <c r="H31" i="2"/>
  <c r="H30" i="2"/>
  <c r="H27" i="2"/>
  <c r="H32" i="2"/>
  <c r="E34" i="2"/>
  <c r="E35" i="2"/>
  <c r="F34" i="2"/>
  <c r="F35" i="2"/>
  <c r="G34" i="2"/>
  <c r="G35" i="2"/>
  <c r="H35" i="2"/>
  <c r="H34" i="2"/>
  <c r="E36" i="2"/>
  <c r="E37" i="2"/>
  <c r="F36" i="2"/>
  <c r="F37" i="2"/>
  <c r="G36" i="2"/>
  <c r="G37" i="2"/>
  <c r="H37" i="2"/>
  <c r="H36" i="2"/>
  <c r="H26" i="2"/>
  <c r="H39" i="2"/>
  <c r="H7" i="8"/>
  <c r="G22" i="5"/>
  <c r="H34" i="5"/>
  <c r="H8" i="8"/>
  <c r="H116" i="5"/>
  <c r="H10" i="5"/>
  <c r="H9" i="5"/>
  <c r="H117" i="5"/>
  <c r="H13" i="5"/>
  <c r="G10" i="5"/>
  <c r="G9" i="5"/>
  <c r="H9" i="8"/>
  <c r="H57" i="5"/>
  <c r="H59" i="5"/>
  <c r="H61" i="5"/>
  <c r="H56" i="5"/>
  <c r="G57" i="5"/>
  <c r="G59" i="5"/>
  <c r="G61" i="5"/>
  <c r="G56" i="5"/>
  <c r="H10" i="8"/>
  <c r="H25" i="5"/>
  <c r="H30" i="5"/>
  <c r="H11" i="8"/>
  <c r="G64" i="5"/>
  <c r="G67" i="5"/>
  <c r="G66" i="5"/>
  <c r="G63" i="5"/>
  <c r="G78" i="5"/>
  <c r="G81" i="5"/>
  <c r="G80" i="5"/>
  <c r="G77" i="5"/>
  <c r="G121" i="5"/>
  <c r="G100" i="5"/>
  <c r="H100" i="5"/>
  <c r="G101" i="5"/>
  <c r="H118" i="5"/>
  <c r="H102" i="5"/>
  <c r="H101" i="5"/>
  <c r="H99" i="5"/>
  <c r="G105" i="5"/>
  <c r="Y43" i="8" a="1"/>
  <c r="Y43" i="8" s="1"/>
  <c r="V43" i="8" a="1"/>
  <c r="V43" i="8" s="1"/>
  <c r="I7" i="2"/>
  <c r="J7" i="2"/>
  <c r="K7" i="2"/>
  <c r="L7" i="2"/>
  <c r="M7" i="2"/>
  <c r="N7" i="2"/>
  <c r="O7" i="2"/>
  <c r="P7" i="2"/>
  <c r="Q7" i="2"/>
  <c r="I9" i="2"/>
  <c r="J9" i="2"/>
  <c r="K9" i="2"/>
  <c r="L9" i="2"/>
  <c r="M9" i="2"/>
  <c r="N9" i="2"/>
  <c r="O9" i="2"/>
  <c r="P9" i="2"/>
  <c r="Q9" i="2"/>
  <c r="I13" i="2"/>
  <c r="J13" i="2"/>
  <c r="K13" i="2"/>
  <c r="L13" i="2"/>
  <c r="M13" i="2"/>
  <c r="N13" i="2"/>
  <c r="O13" i="2"/>
  <c r="P13" i="2"/>
  <c r="Q13" i="2"/>
  <c r="I11" i="2"/>
  <c r="J11" i="2"/>
  <c r="K11" i="2"/>
  <c r="L11" i="2"/>
  <c r="M11" i="2"/>
  <c r="N11" i="2"/>
  <c r="O11" i="2"/>
  <c r="P11" i="2"/>
  <c r="Q11" i="2"/>
  <c r="Q5" i="2"/>
  <c r="I5" i="2"/>
  <c r="I6" i="2"/>
  <c r="J5" i="2"/>
  <c r="J6" i="2"/>
  <c r="K5" i="2"/>
  <c r="K6" i="2"/>
  <c r="L5" i="2"/>
  <c r="L6" i="2"/>
  <c r="M5" i="2"/>
  <c r="M6" i="2"/>
  <c r="N5" i="2"/>
  <c r="N6" i="2"/>
  <c r="O5" i="2"/>
  <c r="O6" i="2"/>
  <c r="P5" i="2"/>
  <c r="P6" i="2"/>
  <c r="Q6" i="2"/>
  <c r="H6" i="2"/>
  <c r="R9" i="10"/>
  <c r="R10" i="10"/>
  <c r="R11" i="10"/>
  <c r="R12" i="10"/>
  <c r="Q34" i="10"/>
  <c r="Q4" i="10"/>
  <c r="Q35" i="10"/>
  <c r="C64" i="10"/>
  <c r="P12" i="10"/>
  <c r="E64" i="10"/>
  <c r="R32" i="10"/>
  <c r="P24" i="10"/>
  <c r="P23" i="10"/>
  <c r="R34" i="10"/>
  <c r="R35" i="10"/>
  <c r="F64" i="10"/>
  <c r="S32" i="10"/>
  <c r="S34" i="10"/>
  <c r="S35" i="10"/>
  <c r="D64" i="10"/>
  <c r="L5" i="10"/>
  <c r="K5" i="10"/>
  <c r="J5" i="10"/>
  <c r="I5" i="10"/>
  <c r="H5" i="10"/>
  <c r="G5" i="10"/>
  <c r="F5" i="10"/>
  <c r="E5" i="10"/>
  <c r="D5" i="10"/>
  <c r="M5" i="10"/>
  <c r="K42" i="10"/>
  <c r="J42" i="10"/>
  <c r="I42" i="10"/>
  <c r="H42" i="10"/>
  <c r="G42" i="10"/>
  <c r="F42" i="10"/>
  <c r="E42" i="10"/>
  <c r="D42" i="10"/>
  <c r="M42" i="10"/>
  <c r="L42" i="10"/>
  <c r="K24" i="10"/>
  <c r="J24" i="10"/>
  <c r="I24" i="10"/>
  <c r="H24" i="10"/>
  <c r="G24" i="10"/>
  <c r="F24" i="10"/>
  <c r="E24" i="10"/>
  <c r="D24" i="10"/>
  <c r="M24" i="10"/>
  <c r="L24" i="10"/>
  <c r="Q18" i="10"/>
  <c r="Q17" i="10"/>
  <c r="Q19" i="10"/>
  <c r="Q26" i="10"/>
  <c r="Q27" i="10"/>
  <c r="U5" i="10"/>
  <c r="U4" i="10"/>
  <c r="R17" i="10"/>
  <c r="R18" i="10"/>
  <c r="R19" i="10"/>
  <c r="R20" i="10"/>
  <c r="R26" i="10"/>
  <c r="R27" i="10"/>
  <c r="S17" i="10"/>
  <c r="S18" i="10"/>
  <c r="G10" i="2"/>
  <c r="F10" i="2"/>
  <c r="E10" i="2"/>
  <c r="D10" i="2"/>
  <c r="F12" i="2"/>
  <c r="E12" i="2"/>
  <c r="I3" i="2"/>
  <c r="J3" i="2"/>
  <c r="K3" i="2"/>
  <c r="L3" i="2"/>
  <c r="M3" i="2"/>
  <c r="N3" i="2"/>
  <c r="O3" i="2"/>
  <c r="P3" i="2"/>
  <c r="Q3" i="2"/>
  <c r="C5" i="2"/>
  <c r="D5" i="2"/>
  <c r="D6" i="2"/>
  <c r="E6" i="2"/>
  <c r="F6" i="2"/>
  <c r="G6" i="2"/>
  <c r="S6" i="2"/>
  <c r="T6" i="2"/>
  <c r="U6" i="2"/>
  <c r="D7" i="2"/>
  <c r="E7" i="2"/>
  <c r="D8" i="2"/>
  <c r="E8" i="2"/>
  <c r="F8" i="2"/>
  <c r="G8" i="2"/>
  <c r="D14" i="2"/>
  <c r="E14" i="2"/>
  <c r="F14" i="2"/>
  <c r="G14" i="2"/>
  <c r="C23" i="3"/>
  <c r="C15" i="2"/>
  <c r="D15" i="2"/>
  <c r="E15" i="2"/>
  <c r="F15" i="2"/>
  <c r="G15" i="2"/>
  <c r="I17" i="2"/>
  <c r="I21" i="2"/>
  <c r="J17" i="2"/>
  <c r="J21" i="2"/>
  <c r="K17" i="2"/>
  <c r="K21" i="2"/>
  <c r="L17" i="2"/>
  <c r="L21" i="2"/>
  <c r="M17" i="2"/>
  <c r="M21" i="2"/>
  <c r="N17" i="2"/>
  <c r="N21" i="2"/>
  <c r="O17" i="2"/>
  <c r="O21" i="2"/>
  <c r="P17" i="2"/>
  <c r="P21" i="2"/>
  <c r="Q17" i="2"/>
  <c r="Q21" i="2"/>
  <c r="C16" i="2"/>
  <c r="D16" i="2"/>
  <c r="E16" i="2"/>
  <c r="F16" i="2"/>
  <c r="G16" i="2"/>
  <c r="D18" i="2"/>
  <c r="E18" i="2"/>
  <c r="D20" i="2"/>
  <c r="E20" i="2"/>
  <c r="F20" i="2"/>
  <c r="G20" i="2"/>
  <c r="D22" i="2"/>
  <c r="E22" i="2"/>
  <c r="F22" i="2"/>
  <c r="G22" i="2"/>
  <c r="C24" i="2"/>
  <c r="D24" i="2"/>
  <c r="E24" i="2"/>
  <c r="F24" i="2"/>
  <c r="G24" i="2"/>
  <c r="C25" i="2"/>
  <c r="D25" i="2"/>
  <c r="E25" i="2"/>
  <c r="F25" i="2"/>
  <c r="G25" i="2"/>
  <c r="C28" i="2"/>
  <c r="C30" i="2"/>
  <c r="C27" i="2"/>
  <c r="C32" i="2"/>
  <c r="C34" i="2"/>
  <c r="C36" i="2"/>
  <c r="C26" i="2"/>
  <c r="D28" i="2"/>
  <c r="D30" i="2"/>
  <c r="D27" i="2"/>
  <c r="D32" i="2"/>
  <c r="D34" i="2"/>
  <c r="D36" i="2"/>
  <c r="D26" i="2"/>
  <c r="E28" i="2"/>
  <c r="E27" i="2"/>
  <c r="E32" i="2"/>
  <c r="E26" i="2"/>
  <c r="F27" i="2"/>
  <c r="F32" i="2"/>
  <c r="F26" i="2"/>
  <c r="G27" i="2"/>
  <c r="G32" i="2"/>
  <c r="G26" i="2"/>
  <c r="I29" i="2"/>
  <c r="I31" i="2"/>
  <c r="I35" i="2"/>
  <c r="I37" i="2"/>
  <c r="J29" i="2"/>
  <c r="J31" i="2"/>
  <c r="J35" i="2"/>
  <c r="J37" i="2"/>
  <c r="K29" i="2"/>
  <c r="K31" i="2"/>
  <c r="K35" i="2"/>
  <c r="K37" i="2"/>
  <c r="L31" i="2"/>
  <c r="L35" i="2"/>
  <c r="L37" i="2"/>
  <c r="M31" i="2"/>
  <c r="M35" i="2"/>
  <c r="M37" i="2"/>
  <c r="N31" i="2"/>
  <c r="N35" i="2"/>
  <c r="N37" i="2"/>
  <c r="O31" i="2"/>
  <c r="O35" i="2"/>
  <c r="O37" i="2"/>
  <c r="P31" i="2"/>
  <c r="P35" i="2"/>
  <c r="P37" i="2"/>
  <c r="Q31" i="2"/>
  <c r="Q35" i="2"/>
  <c r="Q37" i="2"/>
  <c r="C29" i="2"/>
  <c r="D29" i="2"/>
  <c r="E29" i="2"/>
  <c r="C31" i="2"/>
  <c r="D31" i="2"/>
  <c r="C33" i="2"/>
  <c r="D33" i="2"/>
  <c r="E33" i="2"/>
  <c r="F33" i="2"/>
  <c r="G33" i="2"/>
  <c r="C35" i="2"/>
  <c r="D35" i="2"/>
  <c r="C37" i="2"/>
  <c r="D37" i="2"/>
  <c r="C39" i="2"/>
  <c r="D39" i="2"/>
  <c r="E39" i="2"/>
  <c r="F39" i="2"/>
  <c r="G39" i="2"/>
  <c r="C40" i="2"/>
  <c r="D40" i="2"/>
  <c r="E40" i="2"/>
  <c r="F40" i="2"/>
  <c r="G40" i="2"/>
  <c r="C43" i="2"/>
  <c r="C45" i="2"/>
  <c r="C42" i="2"/>
  <c r="C47" i="2"/>
  <c r="C48" i="2"/>
  <c r="C49" i="2"/>
  <c r="C41" i="2"/>
  <c r="D43" i="2"/>
  <c r="D45" i="2"/>
  <c r="D42" i="2"/>
  <c r="D47" i="2"/>
  <c r="D48" i="2"/>
  <c r="D49" i="2"/>
  <c r="D41" i="2"/>
  <c r="E43" i="2"/>
  <c r="E45" i="2"/>
  <c r="E42" i="2"/>
  <c r="E47" i="2"/>
  <c r="E48" i="2"/>
  <c r="E49" i="2"/>
  <c r="E41" i="2"/>
  <c r="F43" i="2"/>
  <c r="F45" i="2"/>
  <c r="F42" i="2"/>
  <c r="F47" i="2"/>
  <c r="F48" i="2"/>
  <c r="F49" i="2"/>
  <c r="F41" i="2"/>
  <c r="G43" i="2"/>
  <c r="G45" i="2"/>
  <c r="G42" i="2"/>
  <c r="G47" i="2"/>
  <c r="G48" i="2"/>
  <c r="G49" i="2"/>
  <c r="G41" i="2"/>
  <c r="I100" i="5"/>
  <c r="J100" i="5"/>
  <c r="K100" i="5"/>
  <c r="L100" i="5"/>
  <c r="M100" i="5"/>
  <c r="N100" i="5"/>
  <c r="O100" i="5"/>
  <c r="P100" i="5"/>
  <c r="C64" i="5"/>
  <c r="C67" i="5"/>
  <c r="C66" i="5"/>
  <c r="C63" i="5"/>
  <c r="C78" i="5"/>
  <c r="C81" i="5"/>
  <c r="C80" i="5"/>
  <c r="C77" i="5"/>
  <c r="C121" i="5"/>
  <c r="C44" i="2"/>
  <c r="D64" i="5"/>
  <c r="D67" i="5"/>
  <c r="D66" i="5"/>
  <c r="D63" i="5"/>
  <c r="D78" i="5"/>
  <c r="D81" i="5"/>
  <c r="D80" i="5"/>
  <c r="D77" i="5"/>
  <c r="D121" i="5"/>
  <c r="D44" i="2"/>
  <c r="E64" i="5"/>
  <c r="E67" i="5"/>
  <c r="E66" i="5"/>
  <c r="E63" i="5"/>
  <c r="E78" i="5"/>
  <c r="E81" i="5"/>
  <c r="E80" i="5"/>
  <c r="E77" i="5"/>
  <c r="E121" i="5"/>
  <c r="E44" i="2"/>
  <c r="F64" i="5"/>
  <c r="F67" i="5"/>
  <c r="F66" i="5"/>
  <c r="F63" i="5"/>
  <c r="F78" i="5"/>
  <c r="F81" i="5"/>
  <c r="F80" i="5"/>
  <c r="F77" i="5"/>
  <c r="F121" i="5"/>
  <c r="F44" i="2"/>
  <c r="G44" i="2"/>
  <c r="C7" i="5"/>
  <c r="C8" i="5"/>
  <c r="C6" i="5"/>
  <c r="C46" i="2"/>
  <c r="D7" i="5"/>
  <c r="D8" i="5"/>
  <c r="D6" i="5"/>
  <c r="D46" i="2"/>
  <c r="E7" i="5"/>
  <c r="E8" i="5"/>
  <c r="E6" i="5"/>
  <c r="E46" i="2"/>
  <c r="F7" i="5"/>
  <c r="F8" i="5"/>
  <c r="F6" i="5"/>
  <c r="F46" i="2"/>
  <c r="G46" i="2"/>
  <c r="C51" i="2"/>
  <c r="D51" i="2"/>
  <c r="E51" i="2"/>
  <c r="F51" i="2"/>
  <c r="G51" i="2"/>
  <c r="C54" i="2"/>
  <c r="C55" i="2"/>
  <c r="C52" i="2"/>
  <c r="D54" i="2"/>
  <c r="D55" i="2"/>
  <c r="D52" i="2"/>
  <c r="E54" i="2"/>
  <c r="E55" i="2"/>
  <c r="E52" i="2"/>
  <c r="F54" i="2"/>
  <c r="F55" i="2"/>
  <c r="F52" i="2"/>
  <c r="G54" i="2"/>
  <c r="G55" i="2"/>
  <c r="G52" i="2"/>
  <c r="C53" i="2"/>
  <c r="D53" i="2"/>
  <c r="E53" i="2"/>
  <c r="F53" i="2"/>
  <c r="G53" i="2"/>
  <c r="C56" i="2"/>
  <c r="D56" i="2"/>
  <c r="E56" i="2"/>
  <c r="F56" i="2"/>
  <c r="G56" i="2"/>
  <c r="C57" i="2"/>
  <c r="D57" i="2"/>
  <c r="E57" i="2"/>
  <c r="F57" i="2"/>
  <c r="G57" i="2"/>
  <c r="C58" i="2"/>
  <c r="D58" i="2"/>
  <c r="E58" i="2"/>
  <c r="F58" i="2"/>
  <c r="G58" i="2"/>
  <c r="H58" i="2"/>
  <c r="I58" i="2"/>
  <c r="J58" i="2"/>
  <c r="K58" i="2"/>
  <c r="L58" i="2"/>
  <c r="M58" i="2"/>
  <c r="N58" i="2"/>
  <c r="O58" i="2"/>
  <c r="P58" i="2"/>
  <c r="Q58" i="2"/>
  <c r="C61" i="2"/>
  <c r="D61" i="2"/>
  <c r="E61" i="2"/>
  <c r="F61" i="2"/>
  <c r="G61" i="2"/>
  <c r="C62" i="2"/>
  <c r="D62" i="2"/>
  <c r="E62" i="2"/>
  <c r="F62" i="2"/>
  <c r="G62" i="2"/>
  <c r="C63" i="2"/>
  <c r="D63" i="2"/>
  <c r="E63" i="2"/>
  <c r="F63" i="2"/>
  <c r="G63" i="2"/>
  <c r="C66" i="2"/>
  <c r="D66" i="2"/>
  <c r="E66" i="2"/>
  <c r="F66" i="2"/>
  <c r="G66" i="2"/>
  <c r="C68" i="2"/>
  <c r="D68" i="2"/>
  <c r="E68" i="2"/>
  <c r="F68" i="2"/>
  <c r="G68" i="2"/>
  <c r="C72" i="2"/>
  <c r="D72" i="2"/>
  <c r="E72" i="2"/>
  <c r="F72" i="2"/>
  <c r="G72" i="2"/>
  <c r="H72" i="2"/>
  <c r="I72" i="2"/>
  <c r="J72" i="2"/>
  <c r="K72" i="2"/>
  <c r="L72" i="2"/>
  <c r="M72" i="2"/>
  <c r="N72" i="2"/>
  <c r="O72" i="2"/>
  <c r="P72" i="2"/>
  <c r="Q72" i="2"/>
  <c r="C74" i="2"/>
  <c r="D74" i="2"/>
  <c r="E74" i="2"/>
  <c r="F74" i="2"/>
  <c r="G74" i="2"/>
  <c r="C75" i="2"/>
  <c r="D75" i="2"/>
  <c r="E75" i="2"/>
  <c r="F75" i="2"/>
  <c r="G75" i="2"/>
  <c r="C76" i="2"/>
  <c r="D76" i="2"/>
  <c r="E76" i="2"/>
  <c r="F76" i="2"/>
  <c r="G76" i="2"/>
  <c r="C78" i="2"/>
  <c r="D78" i="2"/>
  <c r="E78" i="2"/>
  <c r="H78" i="2"/>
  <c r="I78" i="2"/>
  <c r="J78" i="2"/>
  <c r="K78" i="2"/>
  <c r="L78" i="2"/>
  <c r="M78" i="2"/>
  <c r="N78" i="2"/>
  <c r="O78" i="2"/>
  <c r="P78" i="2"/>
  <c r="Q78" i="2"/>
  <c r="C79" i="2"/>
  <c r="D79" i="2"/>
  <c r="E79" i="2"/>
  <c r="C80" i="2"/>
  <c r="D80" i="2"/>
  <c r="E80" i="2"/>
  <c r="C81" i="2"/>
  <c r="D81" i="2"/>
  <c r="E81" i="2"/>
  <c r="A85" i="2"/>
  <c r="C85" i="2"/>
  <c r="D85" i="2"/>
  <c r="E85" i="2"/>
  <c r="F85" i="2"/>
  <c r="G85" i="2"/>
  <c r="C90" i="2"/>
  <c r="C87" i="2"/>
  <c r="D90" i="2"/>
  <c r="D87" i="2"/>
  <c r="E90" i="2"/>
  <c r="E87" i="2"/>
  <c r="F90" i="2"/>
  <c r="F87" i="2"/>
  <c r="G90" i="2"/>
  <c r="G87" i="2"/>
  <c r="C88" i="2"/>
  <c r="D88" i="2"/>
  <c r="E88" i="2"/>
  <c r="F88" i="2"/>
  <c r="G88" i="2"/>
  <c r="S88" i="2"/>
  <c r="T88" i="2"/>
  <c r="U88" i="2"/>
  <c r="C91" i="2"/>
  <c r="D91" i="2"/>
  <c r="E91" i="2"/>
  <c r="F91" i="2"/>
  <c r="G91" i="2"/>
  <c r="U91" i="2"/>
  <c r="C92" i="2"/>
  <c r="D92" i="2"/>
  <c r="E92" i="2"/>
  <c r="F92" i="2"/>
  <c r="G92" i="2"/>
  <c r="U92" i="2"/>
  <c r="C93" i="2"/>
  <c r="D93" i="2"/>
  <c r="E93" i="2"/>
  <c r="F93" i="2"/>
  <c r="G93" i="2"/>
  <c r="U93" i="2"/>
  <c r="G116" i="5"/>
  <c r="G25" i="5"/>
  <c r="G24" i="5"/>
  <c r="G34" i="5"/>
  <c r="F33" i="5"/>
  <c r="G33" i="5"/>
  <c r="G29" i="5"/>
  <c r="H33" i="5"/>
  <c r="C2" i="8"/>
  <c r="U93" i="12"/>
  <c r="G15" i="12"/>
  <c r="G24" i="12"/>
  <c r="G39" i="12" s="1"/>
  <c r="G28" i="12"/>
  <c r="G30" i="12"/>
  <c r="G27" i="12"/>
  <c r="G32" i="12"/>
  <c r="G34" i="12"/>
  <c r="G36" i="12"/>
  <c r="G26" i="12"/>
  <c r="G43" i="12"/>
  <c r="G45" i="12"/>
  <c r="G42" i="12"/>
  <c r="G47" i="12"/>
  <c r="G48" i="12"/>
  <c r="G49" i="12"/>
  <c r="G41" i="12"/>
  <c r="G51" i="12"/>
  <c r="G54" i="12"/>
  <c r="G55" i="12"/>
  <c r="G52" i="12"/>
  <c r="G56" i="12"/>
  <c r="G58" i="12"/>
  <c r="G62" i="12"/>
  <c r="F15" i="12"/>
  <c r="F24" i="12"/>
  <c r="F28" i="12"/>
  <c r="F30" i="12"/>
  <c r="F27" i="12"/>
  <c r="F32" i="12"/>
  <c r="F34" i="12"/>
  <c r="F36" i="12"/>
  <c r="F26" i="12"/>
  <c r="F43" i="12"/>
  <c r="F45" i="12"/>
  <c r="F42" i="12"/>
  <c r="F47" i="12"/>
  <c r="F48" i="12"/>
  <c r="F49" i="12"/>
  <c r="F41" i="12"/>
  <c r="F54" i="12"/>
  <c r="F55" i="12"/>
  <c r="F52" i="12"/>
  <c r="F56" i="12"/>
  <c r="F58" i="12"/>
  <c r="F62" i="12"/>
  <c r="E15" i="12"/>
  <c r="E24" i="12"/>
  <c r="E28" i="12"/>
  <c r="E30" i="12"/>
  <c r="E27" i="12"/>
  <c r="E32" i="12"/>
  <c r="E34" i="12"/>
  <c r="E36" i="12"/>
  <c r="E26" i="12"/>
  <c r="E39" i="12"/>
  <c r="E43" i="12"/>
  <c r="E45" i="12"/>
  <c r="E42" i="12"/>
  <c r="E47" i="12"/>
  <c r="E48" i="12"/>
  <c r="E49" i="12"/>
  <c r="E41" i="12"/>
  <c r="E54" i="12"/>
  <c r="E55" i="12"/>
  <c r="E52" i="12"/>
  <c r="E56" i="12"/>
  <c r="E58" i="12"/>
  <c r="E62" i="12"/>
  <c r="D15" i="12"/>
  <c r="D24" i="12"/>
  <c r="D39" i="12" s="1"/>
  <c r="D28" i="12"/>
  <c r="D30" i="12"/>
  <c r="D27" i="12"/>
  <c r="D32" i="12"/>
  <c r="D34" i="12"/>
  <c r="D36" i="12"/>
  <c r="D26" i="12"/>
  <c r="D43" i="12"/>
  <c r="D45" i="12"/>
  <c r="D42" i="12"/>
  <c r="D47" i="12"/>
  <c r="D48" i="12"/>
  <c r="D49" i="12"/>
  <c r="D41" i="12"/>
  <c r="D51" i="12"/>
  <c r="D54" i="12"/>
  <c r="D55" i="12"/>
  <c r="D52" i="12"/>
  <c r="D56" i="12"/>
  <c r="D58" i="12"/>
  <c r="D62" i="12"/>
  <c r="C15" i="12"/>
  <c r="C24" i="12"/>
  <c r="C39" i="12" s="1"/>
  <c r="C28" i="12"/>
  <c r="C30" i="12"/>
  <c r="C27" i="12"/>
  <c r="C32" i="12"/>
  <c r="C34" i="12"/>
  <c r="C36" i="12"/>
  <c r="C26" i="12"/>
  <c r="C43" i="12"/>
  <c r="C45" i="12"/>
  <c r="C42" i="12"/>
  <c r="C47" i="12"/>
  <c r="C48" i="12"/>
  <c r="C49" i="12"/>
  <c r="C41" i="12"/>
  <c r="C54" i="12"/>
  <c r="C55" i="12"/>
  <c r="C52" i="12"/>
  <c r="C56" i="12"/>
  <c r="C58" i="12"/>
  <c r="C62" i="12"/>
  <c r="U92" i="12"/>
  <c r="U91" i="12"/>
  <c r="G91" i="12"/>
  <c r="E91" i="12"/>
  <c r="D91" i="12"/>
  <c r="C91" i="12"/>
  <c r="G90" i="12"/>
  <c r="G87" i="12" s="1"/>
  <c r="G88" i="12" s="1"/>
  <c r="U88" i="12"/>
  <c r="T88" i="12"/>
  <c r="S88" i="12"/>
  <c r="G85" i="12"/>
  <c r="F85" i="12"/>
  <c r="E85" i="12"/>
  <c r="D85" i="12"/>
  <c r="C85" i="12"/>
  <c r="A85" i="12"/>
  <c r="E78" i="12"/>
  <c r="D78" i="12"/>
  <c r="C78" i="12"/>
  <c r="H78" i="12"/>
  <c r="I78" i="12"/>
  <c r="J78" i="12"/>
  <c r="K78" i="12"/>
  <c r="L78" i="12"/>
  <c r="M78" i="12"/>
  <c r="N78" i="12"/>
  <c r="O78" i="12"/>
  <c r="P78" i="12"/>
  <c r="Q78" i="12"/>
  <c r="G7" i="12"/>
  <c r="H7" i="12"/>
  <c r="I7" i="12"/>
  <c r="I17" i="12" s="1"/>
  <c r="J7" i="12"/>
  <c r="K7" i="12"/>
  <c r="K17" i="12" s="1"/>
  <c r="H9" i="12"/>
  <c r="I9" i="12"/>
  <c r="J9" i="12" s="1"/>
  <c r="H11" i="12"/>
  <c r="I11" i="12"/>
  <c r="J11" i="12"/>
  <c r="K11" i="12"/>
  <c r="L11" i="12" s="1"/>
  <c r="M11" i="12" s="1"/>
  <c r="N11" i="12" s="1"/>
  <c r="O11" i="12" s="1"/>
  <c r="P11" i="12" s="1"/>
  <c r="Q11" i="12" s="1"/>
  <c r="H13" i="12"/>
  <c r="H21" i="12" s="1"/>
  <c r="I13" i="12"/>
  <c r="J13" i="12" s="1"/>
  <c r="E31" i="12"/>
  <c r="F31" i="12"/>
  <c r="G31" i="12"/>
  <c r="H31" i="12"/>
  <c r="I31" i="12"/>
  <c r="J31" i="12"/>
  <c r="E35" i="12"/>
  <c r="F35" i="12"/>
  <c r="G35" i="12"/>
  <c r="H35" i="12"/>
  <c r="I35" i="12"/>
  <c r="E37" i="12"/>
  <c r="F37" i="12"/>
  <c r="G37" i="12"/>
  <c r="G29" i="12"/>
  <c r="F29" i="12"/>
  <c r="H29" i="12"/>
  <c r="I29" i="12"/>
  <c r="J17" i="12"/>
  <c r="I19" i="12"/>
  <c r="G18" i="12"/>
  <c r="F7" i="12"/>
  <c r="F18" i="12"/>
  <c r="H18" i="12"/>
  <c r="H17" i="12"/>
  <c r="H19" i="12"/>
  <c r="G72" i="12"/>
  <c r="F72" i="12"/>
  <c r="E72" i="12"/>
  <c r="D72" i="12"/>
  <c r="C72" i="12"/>
  <c r="H72" i="12"/>
  <c r="I72" i="12"/>
  <c r="J72" i="12"/>
  <c r="K72" i="12"/>
  <c r="L72" i="12"/>
  <c r="M72" i="12"/>
  <c r="N72" i="12"/>
  <c r="O72" i="12"/>
  <c r="P72" i="12"/>
  <c r="Q72" i="12"/>
  <c r="Q58" i="12"/>
  <c r="P58" i="12"/>
  <c r="O58" i="12"/>
  <c r="N58" i="12"/>
  <c r="M58" i="12"/>
  <c r="L58" i="12"/>
  <c r="K58" i="12"/>
  <c r="J58" i="12"/>
  <c r="I58" i="12"/>
  <c r="H58" i="12"/>
  <c r="G46" i="12"/>
  <c r="F46" i="12"/>
  <c r="E46" i="12"/>
  <c r="D46" i="12"/>
  <c r="C46" i="12"/>
  <c r="G44" i="12"/>
  <c r="F44" i="12"/>
  <c r="E44" i="12"/>
  <c r="D44" i="12"/>
  <c r="C44" i="12"/>
  <c r="D37" i="12"/>
  <c r="C37" i="12"/>
  <c r="D35" i="12"/>
  <c r="C35" i="12"/>
  <c r="G33" i="12"/>
  <c r="F33" i="12"/>
  <c r="E33" i="12"/>
  <c r="D33" i="12"/>
  <c r="C33" i="12"/>
  <c r="D31" i="12"/>
  <c r="C31" i="12"/>
  <c r="E29" i="12"/>
  <c r="D29" i="12"/>
  <c r="C29" i="12"/>
  <c r="G25" i="12"/>
  <c r="F25" i="12"/>
  <c r="E25" i="12"/>
  <c r="D25" i="12"/>
  <c r="C25" i="12"/>
  <c r="G22" i="12"/>
  <c r="F22" i="12"/>
  <c r="E22" i="12"/>
  <c r="D22" i="12"/>
  <c r="G20" i="12"/>
  <c r="F20" i="12"/>
  <c r="E20" i="12"/>
  <c r="D20" i="12"/>
  <c r="E7" i="12"/>
  <c r="E18" i="12"/>
  <c r="D7" i="12"/>
  <c r="D18" i="12"/>
  <c r="G16" i="12"/>
  <c r="F16" i="12"/>
  <c r="E16" i="12"/>
  <c r="D16" i="12"/>
  <c r="C16" i="12"/>
  <c r="G14" i="12"/>
  <c r="F14" i="12"/>
  <c r="E14" i="12"/>
  <c r="D14" i="12"/>
  <c r="G12" i="12"/>
  <c r="F12" i="12"/>
  <c r="E12" i="12"/>
  <c r="G10" i="12"/>
  <c r="F10" i="12"/>
  <c r="E10" i="12"/>
  <c r="D10" i="12"/>
  <c r="G8" i="12"/>
  <c r="F8" i="12"/>
  <c r="E8" i="12"/>
  <c r="D8" i="12"/>
  <c r="U6" i="12"/>
  <c r="T6" i="12"/>
  <c r="S6" i="12"/>
  <c r="G6" i="12"/>
  <c r="F6" i="12"/>
  <c r="E6" i="12"/>
  <c r="D6" i="12"/>
  <c r="I3" i="12"/>
  <c r="J3" i="12"/>
  <c r="K3" i="12"/>
  <c r="L3" i="12"/>
  <c r="M3" i="12"/>
  <c r="N3" i="12"/>
  <c r="O3" i="12"/>
  <c r="P3" i="12"/>
  <c r="Q3" i="12"/>
  <c r="G2" i="12"/>
  <c r="F2" i="12"/>
  <c r="E2" i="12"/>
  <c r="D2" i="12"/>
  <c r="C2" i="12"/>
  <c r="G47" i="11"/>
  <c r="AA42" i="11"/>
  <c r="E38" i="11"/>
  <c r="G35" i="11"/>
  <c r="G34" i="11"/>
  <c r="H34" i="11"/>
  <c r="G32" i="11"/>
  <c r="G31" i="11"/>
  <c r="H5" i="11"/>
  <c r="H28" i="11"/>
  <c r="H4" i="11"/>
  <c r="H27" i="11"/>
  <c r="H3" i="11"/>
  <c r="H26" i="11"/>
  <c r="H11" i="11"/>
  <c r="H17" i="11"/>
  <c r="H12" i="11"/>
  <c r="H18" i="11"/>
  <c r="H13" i="11"/>
  <c r="H19" i="11"/>
  <c r="H21" i="11"/>
  <c r="D34" i="5"/>
  <c r="E34" i="5"/>
  <c r="F34" i="5"/>
  <c r="C34" i="5"/>
  <c r="U63" i="8"/>
  <c r="U64" i="8"/>
  <c r="U61" i="8"/>
  <c r="U60" i="8"/>
  <c r="Y59" i="8"/>
  <c r="Z59" i="8"/>
  <c r="W59" i="8"/>
  <c r="V59" i="8"/>
  <c r="L63" i="8"/>
  <c r="L64" i="8"/>
  <c r="L61" i="8"/>
  <c r="L60" i="8"/>
  <c r="P59" i="8"/>
  <c r="Q59" i="8"/>
  <c r="N59" i="8"/>
  <c r="M59" i="8"/>
  <c r="G59" i="8"/>
  <c r="H59" i="8"/>
  <c r="E59" i="8"/>
  <c r="D59" i="8"/>
  <c r="C61" i="8"/>
  <c r="C60" i="8"/>
  <c r="C63" i="8"/>
  <c r="C64" i="8"/>
  <c r="D52" i="8"/>
  <c r="F52" i="8"/>
  <c r="G110" i="5"/>
  <c r="D50" i="8"/>
  <c r="F50" i="8"/>
  <c r="D49" i="8"/>
  <c r="F49" i="8"/>
  <c r="D48" i="8"/>
  <c r="F48" i="8"/>
  <c r="F46" i="8"/>
  <c r="G23" i="8"/>
  <c r="E52" i="8"/>
  <c r="I5" i="8"/>
  <c r="J5" i="8"/>
  <c r="K5" i="8"/>
  <c r="L5" i="8"/>
  <c r="M5" i="8"/>
  <c r="N5" i="8"/>
  <c r="O5" i="8"/>
  <c r="P5" i="8"/>
  <c r="Q5" i="8"/>
  <c r="I4" i="8"/>
  <c r="J4" i="8"/>
  <c r="K4" i="8"/>
  <c r="L4" i="8"/>
  <c r="M4" i="8"/>
  <c r="N4" i="8"/>
  <c r="O4" i="8"/>
  <c r="P4" i="8"/>
  <c r="Q4" i="8"/>
  <c r="I3" i="5"/>
  <c r="J3" i="5"/>
  <c r="K3" i="5"/>
  <c r="L3" i="5"/>
  <c r="M3" i="5"/>
  <c r="N3" i="5"/>
  <c r="O3" i="5"/>
  <c r="P3" i="5"/>
  <c r="Q3" i="5"/>
  <c r="Q100" i="5"/>
  <c r="G44" i="5"/>
  <c r="H44" i="5"/>
  <c r="I44" i="5"/>
  <c r="J44" i="5"/>
  <c r="K44" i="5"/>
  <c r="L44" i="5"/>
  <c r="M44" i="5"/>
  <c r="N44" i="5"/>
  <c r="O44" i="5"/>
  <c r="P44" i="5"/>
  <c r="Q44" i="5"/>
  <c r="G73" i="5"/>
  <c r="H73" i="5"/>
  <c r="I73" i="5"/>
  <c r="J73" i="5"/>
  <c r="K73" i="5"/>
  <c r="L73" i="5"/>
  <c r="M73" i="5"/>
  <c r="N73" i="5"/>
  <c r="O73" i="5"/>
  <c r="P73" i="5"/>
  <c r="Q73" i="5"/>
  <c r="P86" i="5"/>
  <c r="D91" i="5"/>
  <c r="D116" i="5"/>
  <c r="D92" i="5"/>
  <c r="E91" i="5"/>
  <c r="E116" i="5"/>
  <c r="E92" i="5"/>
  <c r="F91" i="5"/>
  <c r="F116" i="5"/>
  <c r="F92" i="5"/>
  <c r="G91" i="5"/>
  <c r="G92" i="5"/>
  <c r="P92" i="5"/>
  <c r="D94" i="5"/>
  <c r="D95" i="5"/>
  <c r="E94" i="5"/>
  <c r="E95" i="5"/>
  <c r="F94" i="5"/>
  <c r="F95" i="5"/>
  <c r="G94" i="5"/>
  <c r="G95" i="5"/>
  <c r="P95" i="5"/>
  <c r="Q86" i="5"/>
  <c r="Q92" i="5"/>
  <c r="Q95" i="5"/>
  <c r="G108" i="5"/>
  <c r="H108" i="5"/>
  <c r="I108" i="5"/>
  <c r="J108" i="5"/>
  <c r="K108" i="5"/>
  <c r="L108" i="5"/>
  <c r="M108" i="5"/>
  <c r="N108" i="5"/>
  <c r="O108" i="5"/>
  <c r="P108" i="5"/>
  <c r="Q108" i="5"/>
  <c r="A45" i="8"/>
  <c r="I92" i="5"/>
  <c r="H92" i="5"/>
  <c r="J92" i="5"/>
  <c r="K92" i="5"/>
  <c r="L92" i="5"/>
  <c r="M92" i="5"/>
  <c r="N92" i="5"/>
  <c r="O92" i="5"/>
  <c r="G47" i="5"/>
  <c r="C8" i="6"/>
  <c r="D8" i="6"/>
  <c r="E8" i="6"/>
  <c r="F8" i="6"/>
  <c r="G8" i="6"/>
  <c r="H8" i="6"/>
  <c r="I4" i="6"/>
  <c r="J4" i="6"/>
  <c r="K4" i="6"/>
  <c r="L4" i="6"/>
  <c r="M4" i="6"/>
  <c r="N4" i="6"/>
  <c r="O4" i="6"/>
  <c r="D119" i="5"/>
  <c r="E119" i="5"/>
  <c r="F119" i="5"/>
  <c r="G119" i="5"/>
  <c r="C119" i="5"/>
  <c r="H86" i="5"/>
  <c r="H95" i="5"/>
  <c r="I86" i="5"/>
  <c r="I95" i="5"/>
  <c r="J86" i="5"/>
  <c r="J95" i="5"/>
  <c r="K86" i="5"/>
  <c r="K95" i="5"/>
  <c r="L86" i="5"/>
  <c r="L95" i="5"/>
  <c r="M86" i="5"/>
  <c r="M95" i="5"/>
  <c r="N86" i="5"/>
  <c r="N95" i="5"/>
  <c r="O86" i="5"/>
  <c r="O95" i="5"/>
  <c r="E101" i="5"/>
  <c r="D101" i="5"/>
  <c r="E102" i="5"/>
  <c r="E118" i="5"/>
  <c r="E103" i="5"/>
  <c r="F101" i="5"/>
  <c r="F102" i="5"/>
  <c r="F118" i="5"/>
  <c r="F103" i="5"/>
  <c r="G102" i="5"/>
  <c r="G118" i="5"/>
  <c r="G103" i="5"/>
  <c r="C101" i="5"/>
  <c r="D102" i="5"/>
  <c r="D118" i="5"/>
  <c r="D103" i="5"/>
  <c r="C118" i="5"/>
  <c r="C94" i="5"/>
  <c r="C116" i="5"/>
  <c r="C95" i="5"/>
  <c r="C91" i="5"/>
  <c r="G89" i="5"/>
  <c r="F89" i="5"/>
  <c r="E89" i="5"/>
  <c r="D89" i="5"/>
  <c r="C89" i="5"/>
  <c r="G84" i="5"/>
  <c r="F84" i="5"/>
  <c r="E84" i="5"/>
  <c r="D84" i="5"/>
  <c r="C84" i="5"/>
  <c r="G79" i="5"/>
  <c r="F79" i="5"/>
  <c r="E79" i="5"/>
  <c r="D79" i="5"/>
  <c r="C79" i="5"/>
  <c r="D65" i="5"/>
  <c r="E65" i="5"/>
  <c r="F65" i="5"/>
  <c r="G65" i="5"/>
  <c r="C65" i="5"/>
  <c r="G74" i="5"/>
  <c r="F74" i="5"/>
  <c r="E74" i="5"/>
  <c r="D74" i="5"/>
  <c r="C74" i="5"/>
  <c r="G70" i="5"/>
  <c r="F70" i="5"/>
  <c r="E70" i="5"/>
  <c r="D70" i="5"/>
  <c r="C70" i="5"/>
  <c r="D100" i="5"/>
  <c r="D99" i="5"/>
  <c r="D105" i="5"/>
  <c r="D108" i="5"/>
  <c r="D109" i="5"/>
  <c r="D110" i="5"/>
  <c r="D111" i="5"/>
  <c r="D122" i="5"/>
  <c r="E100" i="5"/>
  <c r="E99" i="5"/>
  <c r="E105" i="5"/>
  <c r="E108" i="5"/>
  <c r="E109" i="5"/>
  <c r="E110" i="5"/>
  <c r="E111" i="5"/>
  <c r="E122" i="5"/>
  <c r="F100" i="5"/>
  <c r="F99" i="5"/>
  <c r="F105" i="5"/>
  <c r="F108" i="5"/>
  <c r="F109" i="5"/>
  <c r="F110" i="5"/>
  <c r="F111" i="5"/>
  <c r="F122" i="5"/>
  <c r="G99" i="5"/>
  <c r="G109" i="5"/>
  <c r="G111" i="5"/>
  <c r="G122" i="5"/>
  <c r="C100" i="5"/>
  <c r="C99" i="5"/>
  <c r="C105" i="5"/>
  <c r="C108" i="5"/>
  <c r="C109" i="5"/>
  <c r="C110" i="5"/>
  <c r="C111" i="5"/>
  <c r="C122" i="5"/>
  <c r="F61" i="5"/>
  <c r="E61" i="5"/>
  <c r="D61" i="5"/>
  <c r="C61" i="5"/>
  <c r="F59" i="5"/>
  <c r="E59" i="5"/>
  <c r="D59" i="5"/>
  <c r="C59" i="5"/>
  <c r="D50" i="5"/>
  <c r="E50" i="5"/>
  <c r="F50" i="5"/>
  <c r="G50" i="5"/>
  <c r="C50" i="5"/>
  <c r="D57" i="5"/>
  <c r="D117" i="5"/>
  <c r="D58" i="5"/>
  <c r="E57" i="5"/>
  <c r="E117" i="5"/>
  <c r="E58" i="5"/>
  <c r="F57" i="5"/>
  <c r="F117" i="5"/>
  <c r="F58" i="5"/>
  <c r="G117" i="5"/>
  <c r="G58" i="5"/>
  <c r="C57" i="5"/>
  <c r="C117" i="5"/>
  <c r="C58" i="5"/>
  <c r="D19" i="5"/>
  <c r="E19" i="5"/>
  <c r="F19" i="5"/>
  <c r="G19" i="5"/>
  <c r="C19" i="5"/>
  <c r="D47" i="5"/>
  <c r="E47" i="5"/>
  <c r="F47" i="5"/>
  <c r="C47" i="5"/>
  <c r="D45" i="5"/>
  <c r="D46" i="5"/>
  <c r="E45" i="5"/>
  <c r="E46" i="5"/>
  <c r="F45" i="5"/>
  <c r="F46" i="5"/>
  <c r="G45" i="5"/>
  <c r="G46" i="5"/>
  <c r="C45" i="5"/>
  <c r="C46" i="5"/>
  <c r="D41" i="5"/>
  <c r="E41" i="5"/>
  <c r="F41" i="5"/>
  <c r="G41" i="5"/>
  <c r="C41" i="5"/>
  <c r="C37" i="5"/>
  <c r="D37" i="5"/>
  <c r="D16" i="5"/>
  <c r="D15" i="5"/>
  <c r="D13" i="5"/>
  <c r="D10" i="5"/>
  <c r="D9" i="5"/>
  <c r="D21" i="5"/>
  <c r="D33" i="5"/>
  <c r="D22" i="5"/>
  <c r="D40" i="5"/>
  <c r="D44" i="5"/>
  <c r="D43" i="5"/>
  <c r="D52" i="5"/>
  <c r="D53" i="5"/>
  <c r="D38" i="5"/>
  <c r="E37" i="5"/>
  <c r="E16" i="5"/>
  <c r="E15" i="5"/>
  <c r="E13" i="5"/>
  <c r="E10" i="5"/>
  <c r="E9" i="5"/>
  <c r="E21" i="5"/>
  <c r="E33" i="5"/>
  <c r="E22" i="5"/>
  <c r="E40" i="5"/>
  <c r="E44" i="5"/>
  <c r="E43" i="5"/>
  <c r="E52" i="5"/>
  <c r="E53" i="5"/>
  <c r="E38" i="5"/>
  <c r="F37" i="5"/>
  <c r="F16" i="5"/>
  <c r="F15" i="5"/>
  <c r="F13" i="5"/>
  <c r="F10" i="5"/>
  <c r="F9" i="5"/>
  <c r="F21" i="5"/>
  <c r="F22" i="5"/>
  <c r="F40" i="5"/>
  <c r="F44" i="5"/>
  <c r="F43" i="5"/>
  <c r="F52" i="5"/>
  <c r="F53" i="5"/>
  <c r="F38" i="5"/>
  <c r="G37" i="5"/>
  <c r="G16" i="5"/>
  <c r="G15" i="5"/>
  <c r="G13" i="5"/>
  <c r="G21" i="5"/>
  <c r="G40" i="5"/>
  <c r="G43" i="5"/>
  <c r="G52" i="5"/>
  <c r="G53" i="5"/>
  <c r="G38" i="5"/>
  <c r="C33" i="5"/>
  <c r="C22" i="5"/>
  <c r="E35" i="5"/>
  <c r="F35" i="5"/>
  <c r="G35" i="5"/>
  <c r="D35" i="5"/>
  <c r="D28" i="5"/>
  <c r="E28" i="5"/>
  <c r="F28" i="5"/>
  <c r="C28" i="5"/>
  <c r="D23" i="5"/>
  <c r="E23" i="5"/>
  <c r="F23" i="5"/>
  <c r="G23" i="5"/>
  <c r="C23" i="5"/>
  <c r="G28" i="5"/>
  <c r="C44" i="5"/>
  <c r="D120" i="5"/>
  <c r="E120" i="5"/>
  <c r="F120" i="5"/>
  <c r="G120" i="5"/>
  <c r="C120" i="5"/>
  <c r="C10" i="5"/>
  <c r="C13" i="5"/>
  <c r="C14" i="5"/>
  <c r="D14" i="5"/>
  <c r="E14" i="5"/>
  <c r="F14" i="5"/>
  <c r="G14" i="5"/>
  <c r="C16" i="5"/>
  <c r="C17" i="5"/>
  <c r="D17" i="5"/>
  <c r="E17" i="5"/>
  <c r="F17" i="5"/>
  <c r="G17" i="5"/>
  <c r="C15" i="5"/>
  <c r="C7" i="6"/>
  <c r="E7" i="6"/>
  <c r="F7" i="6"/>
  <c r="G7" i="6"/>
  <c r="D7" i="6"/>
  <c r="D56" i="5"/>
  <c r="D73" i="5"/>
  <c r="D69" i="5"/>
  <c r="D76" i="5"/>
  <c r="D86" i="5"/>
  <c r="E56" i="5"/>
  <c r="E73" i="5"/>
  <c r="E69" i="5"/>
  <c r="E76" i="5"/>
  <c r="E86" i="5"/>
  <c r="F56" i="5"/>
  <c r="F73" i="5"/>
  <c r="F69" i="5"/>
  <c r="F76" i="5"/>
  <c r="F86" i="5"/>
  <c r="G69" i="5"/>
  <c r="G76" i="5"/>
  <c r="G86" i="5"/>
  <c r="C56" i="5"/>
  <c r="C73" i="5"/>
  <c r="C69" i="5"/>
  <c r="C76" i="5"/>
  <c r="C86" i="5"/>
  <c r="C9" i="5"/>
  <c r="C21" i="5"/>
  <c r="C40" i="5"/>
  <c r="C43" i="5"/>
  <c r="C52" i="5"/>
  <c r="C53" i="5"/>
  <c r="G30" i="5"/>
  <c r="G31" i="5"/>
  <c r="C83" i="5"/>
  <c r="C96" i="5"/>
  <c r="C97" i="5"/>
  <c r="C112" i="5"/>
  <c r="G83" i="5"/>
  <c r="G96" i="5"/>
  <c r="G97" i="5"/>
  <c r="G112" i="5"/>
  <c r="F83" i="5"/>
  <c r="F96" i="5"/>
  <c r="F97" i="5"/>
  <c r="F112" i="5"/>
  <c r="E83" i="5"/>
  <c r="E96" i="5"/>
  <c r="E97" i="5"/>
  <c r="E112" i="5"/>
  <c r="D83" i="5"/>
  <c r="D96" i="5"/>
  <c r="D97" i="5"/>
  <c r="D112" i="5"/>
  <c r="G11" i="5"/>
  <c r="F11" i="5"/>
  <c r="E11" i="5"/>
  <c r="D11" i="5"/>
  <c r="C11" i="5"/>
  <c r="D26" i="5"/>
  <c r="F26" i="5"/>
  <c r="E26" i="5"/>
  <c r="D31" i="5"/>
  <c r="F31" i="5"/>
  <c r="E31" i="5"/>
  <c r="C38" i="5"/>
  <c r="C42" i="5"/>
  <c r="G42" i="5"/>
  <c r="F42" i="5"/>
  <c r="E42" i="5"/>
  <c r="D42" i="5"/>
  <c r="C48" i="5"/>
  <c r="G48" i="5"/>
  <c r="F48" i="5"/>
  <c r="E48" i="5"/>
  <c r="D48" i="5"/>
  <c r="C20" i="5"/>
  <c r="G20" i="5"/>
  <c r="F20" i="5"/>
  <c r="E20" i="5"/>
  <c r="D20" i="5"/>
  <c r="C51" i="5"/>
  <c r="G51" i="5"/>
  <c r="F51" i="5"/>
  <c r="E51" i="5"/>
  <c r="D51" i="5"/>
  <c r="C60" i="5"/>
  <c r="D60" i="5"/>
  <c r="E60" i="5"/>
  <c r="F60" i="5"/>
  <c r="G60" i="5"/>
  <c r="C62" i="5"/>
  <c r="D62" i="5"/>
  <c r="E62" i="5"/>
  <c r="F62" i="5"/>
  <c r="G62" i="5"/>
  <c r="C68" i="5"/>
  <c r="D68" i="5"/>
  <c r="E68" i="5"/>
  <c r="F68" i="5"/>
  <c r="G68" i="5"/>
  <c r="C71" i="5"/>
  <c r="D71" i="5"/>
  <c r="E71" i="5"/>
  <c r="F71" i="5"/>
  <c r="G71" i="5"/>
  <c r="C75" i="5"/>
  <c r="D75" i="5"/>
  <c r="E75" i="5"/>
  <c r="F75" i="5"/>
  <c r="G75" i="5"/>
  <c r="C82" i="5"/>
  <c r="D82" i="5"/>
  <c r="E82" i="5"/>
  <c r="F82" i="5"/>
  <c r="G82" i="5"/>
  <c r="C85" i="5"/>
  <c r="D85" i="5"/>
  <c r="E85" i="5"/>
  <c r="F85" i="5"/>
  <c r="G85" i="5"/>
  <c r="C90" i="5"/>
  <c r="C92" i="5"/>
  <c r="D90" i="5"/>
  <c r="E90" i="5"/>
  <c r="F90" i="5"/>
  <c r="G90" i="5"/>
  <c r="H43" i="12"/>
  <c r="H45" i="12"/>
  <c r="H42" i="12"/>
  <c r="H41" i="12"/>
  <c r="I43" i="12"/>
  <c r="I45" i="12"/>
  <c r="I42" i="12"/>
  <c r="I41" i="12"/>
  <c r="J43" i="12"/>
  <c r="J45" i="12"/>
  <c r="J42" i="12"/>
  <c r="J41" i="12"/>
  <c r="K43" i="12"/>
  <c r="K45" i="12"/>
  <c r="K42" i="12"/>
  <c r="K41" i="12"/>
  <c r="L43" i="12"/>
  <c r="L45" i="12"/>
  <c r="L42" i="12"/>
  <c r="L41" i="12"/>
  <c r="M43" i="12"/>
  <c r="M45" i="12"/>
  <c r="M42" i="12"/>
  <c r="M41" i="12"/>
  <c r="N43" i="12"/>
  <c r="N45" i="12"/>
  <c r="N42" i="12"/>
  <c r="N41" i="12"/>
  <c r="O43" i="12"/>
  <c r="O45" i="12"/>
  <c r="O42" i="12"/>
  <c r="O41" i="12"/>
  <c r="P43" i="12"/>
  <c r="P45" i="12"/>
  <c r="P42" i="12"/>
  <c r="P41" i="12"/>
  <c r="Q43" i="12"/>
  <c r="Q45" i="12"/>
  <c r="Q42" i="12"/>
  <c r="Q41" i="12"/>
  <c r="I19" i="2"/>
  <c r="I15" i="2"/>
  <c r="I117" i="5"/>
  <c r="I57" i="5"/>
  <c r="I116" i="5"/>
  <c r="I59" i="5"/>
  <c r="I61" i="5"/>
  <c r="I56" i="5"/>
  <c r="I28" i="2"/>
  <c r="I30" i="2"/>
  <c r="I27" i="2"/>
  <c r="I118" i="5"/>
  <c r="I102" i="5"/>
  <c r="I101" i="5"/>
  <c r="I99" i="5"/>
  <c r="J19" i="2"/>
  <c r="J15" i="2"/>
  <c r="J117" i="5"/>
  <c r="J57" i="5"/>
  <c r="J116" i="5"/>
  <c r="J59" i="5"/>
  <c r="J61" i="5"/>
  <c r="J56" i="5"/>
  <c r="J28" i="2"/>
  <c r="J30" i="2"/>
  <c r="J27" i="2"/>
  <c r="J118" i="5"/>
  <c r="J102" i="5"/>
  <c r="J101" i="5"/>
  <c r="J99" i="5"/>
  <c r="K19" i="2"/>
  <c r="K15" i="2"/>
  <c r="K117" i="5"/>
  <c r="K57" i="5"/>
  <c r="K116" i="5"/>
  <c r="K59" i="5"/>
  <c r="K61" i="5"/>
  <c r="K56" i="5"/>
  <c r="K28" i="2"/>
  <c r="K30" i="2"/>
  <c r="K27" i="2"/>
  <c r="K118" i="5"/>
  <c r="K102" i="5"/>
  <c r="K101" i="5"/>
  <c r="K99" i="5"/>
  <c r="L19" i="2"/>
  <c r="L15" i="2"/>
  <c r="L117" i="5"/>
  <c r="L57" i="5"/>
  <c r="L116" i="5"/>
  <c r="L59" i="5"/>
  <c r="L61" i="5"/>
  <c r="L56" i="5"/>
  <c r="L28" i="2"/>
  <c r="L30" i="2"/>
  <c r="L27" i="2"/>
  <c r="L118" i="5"/>
  <c r="L102" i="5"/>
  <c r="L101" i="5"/>
  <c r="L99" i="5"/>
  <c r="M19" i="2"/>
  <c r="M15" i="2"/>
  <c r="M117" i="5"/>
  <c r="M57" i="5"/>
  <c r="M116" i="5"/>
  <c r="M59" i="5"/>
  <c r="M61" i="5"/>
  <c r="M56" i="5"/>
  <c r="M28" i="2"/>
  <c r="M30" i="2"/>
  <c r="M27" i="2"/>
  <c r="M118" i="5"/>
  <c r="M102" i="5"/>
  <c r="M101" i="5"/>
  <c r="M99" i="5"/>
  <c r="N19" i="2"/>
  <c r="N15" i="2"/>
  <c r="N117" i="5"/>
  <c r="N57" i="5"/>
  <c r="N116" i="5"/>
  <c r="N59" i="5"/>
  <c r="N61" i="5"/>
  <c r="N56" i="5"/>
  <c r="N28" i="2"/>
  <c r="N30" i="2"/>
  <c r="N27" i="2"/>
  <c r="N118" i="5"/>
  <c r="N102" i="5"/>
  <c r="N101" i="5"/>
  <c r="N99" i="5"/>
  <c r="O19" i="2"/>
  <c r="O15" i="2"/>
  <c r="O117" i="5"/>
  <c r="O57" i="5"/>
  <c r="O116" i="5"/>
  <c r="O59" i="5"/>
  <c r="O61" i="5"/>
  <c r="O56" i="5"/>
  <c r="O28" i="2"/>
  <c r="O30" i="2"/>
  <c r="O27" i="2"/>
  <c r="O118" i="5"/>
  <c r="O102" i="5"/>
  <c r="O101" i="5"/>
  <c r="O99" i="5"/>
  <c r="P19" i="2"/>
  <c r="P15" i="2"/>
  <c r="P117" i="5"/>
  <c r="P57" i="5"/>
  <c r="P116" i="5"/>
  <c r="P59" i="5"/>
  <c r="P61" i="5"/>
  <c r="P56" i="5"/>
  <c r="P28" i="2"/>
  <c r="P30" i="2"/>
  <c r="P27" i="2"/>
  <c r="P118" i="5"/>
  <c r="P102" i="5"/>
  <c r="P101" i="5"/>
  <c r="P99" i="5"/>
  <c r="Q19" i="2"/>
  <c r="Q15" i="2"/>
  <c r="Q117" i="5"/>
  <c r="Q57" i="5"/>
  <c r="Q116" i="5"/>
  <c r="Q59" i="5"/>
  <c r="Q61" i="5"/>
  <c r="Q56" i="5"/>
  <c r="Q28" i="2"/>
  <c r="Q30" i="2"/>
  <c r="Q27" i="2"/>
  <c r="Q118" i="5"/>
  <c r="Q102" i="5"/>
  <c r="Q101" i="5"/>
  <c r="Q99" i="5"/>
  <c r="I10" i="5"/>
  <c r="I9" i="5"/>
  <c r="J10" i="5"/>
  <c r="J9" i="5"/>
  <c r="K10" i="5"/>
  <c r="K9" i="5"/>
  <c r="L10" i="5"/>
  <c r="L9" i="5"/>
  <c r="M10" i="5"/>
  <c r="M9" i="5"/>
  <c r="N10" i="5"/>
  <c r="N9" i="5"/>
  <c r="O10" i="5"/>
  <c r="O9" i="5"/>
  <c r="P10" i="5"/>
  <c r="P9" i="5"/>
  <c r="Q10" i="5"/>
  <c r="Q9" i="5"/>
  <c r="I13" i="5"/>
  <c r="J13" i="5"/>
  <c r="K13" i="5"/>
  <c r="L13" i="5"/>
  <c r="M13" i="5"/>
  <c r="N13" i="5"/>
  <c r="O13" i="5"/>
  <c r="P13" i="5"/>
  <c r="Q13" i="5"/>
  <c r="H16" i="5"/>
  <c r="H19" i="5"/>
  <c r="H15" i="5"/>
  <c r="I16" i="5"/>
  <c r="I19" i="5"/>
  <c r="I15" i="5"/>
  <c r="J16" i="5"/>
  <c r="J19" i="5"/>
  <c r="J15" i="5"/>
  <c r="K16" i="5"/>
  <c r="K19" i="5"/>
  <c r="K15" i="5"/>
  <c r="L16" i="5"/>
  <c r="L19" i="5"/>
  <c r="L15" i="5"/>
  <c r="M16" i="5"/>
  <c r="M19" i="5"/>
  <c r="M15" i="5"/>
  <c r="N16" i="5"/>
  <c r="N19" i="5"/>
  <c r="N15" i="5"/>
  <c r="O16" i="5"/>
  <c r="O19" i="5"/>
  <c r="O15" i="5"/>
  <c r="P16" i="5"/>
  <c r="P19" i="5"/>
  <c r="P15" i="5"/>
  <c r="Q16" i="5"/>
  <c r="Q19" i="5"/>
  <c r="Q15" i="5"/>
  <c r="H24" i="5"/>
  <c r="H29" i="5"/>
  <c r="H22" i="5"/>
  <c r="I25" i="5"/>
  <c r="I24" i="5"/>
  <c r="I30" i="5"/>
  <c r="I29" i="5"/>
  <c r="I34" i="5"/>
  <c r="I33" i="5"/>
  <c r="I22" i="5"/>
  <c r="J25" i="5"/>
  <c r="J24" i="5"/>
  <c r="J30" i="5"/>
  <c r="J29" i="5"/>
  <c r="J34" i="5"/>
  <c r="J33" i="5"/>
  <c r="J22" i="5"/>
  <c r="K25" i="5"/>
  <c r="K24" i="5"/>
  <c r="K30" i="5"/>
  <c r="K29" i="5"/>
  <c r="K34" i="5"/>
  <c r="K33" i="5"/>
  <c r="K22" i="5"/>
  <c r="L25" i="5"/>
  <c r="L24" i="5"/>
  <c r="L30" i="5"/>
  <c r="L29" i="5"/>
  <c r="L34" i="5"/>
  <c r="L33" i="5"/>
  <c r="L22" i="5"/>
  <c r="M25" i="5"/>
  <c r="M24" i="5"/>
  <c r="M30" i="5"/>
  <c r="M29" i="5"/>
  <c r="M34" i="5"/>
  <c r="M33" i="5"/>
  <c r="M22" i="5"/>
  <c r="N25" i="5"/>
  <c r="N24" i="5"/>
  <c r="N30" i="5"/>
  <c r="N29" i="5"/>
  <c r="N34" i="5"/>
  <c r="N33" i="5"/>
  <c r="N22" i="5"/>
  <c r="O25" i="5"/>
  <c r="O24" i="5"/>
  <c r="O30" i="5"/>
  <c r="O29" i="5"/>
  <c r="O34" i="5"/>
  <c r="O33" i="5"/>
  <c r="O22" i="5"/>
  <c r="P25" i="5"/>
  <c r="P24" i="5"/>
  <c r="P30" i="5"/>
  <c r="P29" i="5"/>
  <c r="P34" i="5"/>
  <c r="P33" i="5"/>
  <c r="P22" i="5"/>
  <c r="Q25" i="5"/>
  <c r="Q24" i="5"/>
  <c r="Q30" i="5"/>
  <c r="Q29" i="5"/>
  <c r="Q34" i="5"/>
  <c r="Q33" i="5"/>
  <c r="Q22" i="5"/>
  <c r="H37" i="5"/>
  <c r="I37" i="5"/>
  <c r="J37" i="5"/>
  <c r="K37" i="5"/>
  <c r="L37" i="5"/>
  <c r="M37" i="5"/>
  <c r="N37" i="5"/>
  <c r="O37" i="5"/>
  <c r="P37" i="5"/>
  <c r="Q37" i="5"/>
  <c r="H41" i="5"/>
  <c r="H40" i="5"/>
  <c r="I41" i="5"/>
  <c r="I40" i="5"/>
  <c r="J41" i="5"/>
  <c r="J40" i="5"/>
  <c r="K41" i="5"/>
  <c r="K40" i="5"/>
  <c r="L41" i="5"/>
  <c r="L40" i="5"/>
  <c r="M41" i="5"/>
  <c r="M40" i="5"/>
  <c r="N41" i="5"/>
  <c r="N40" i="5"/>
  <c r="O41" i="5"/>
  <c r="O40" i="5"/>
  <c r="P41" i="5"/>
  <c r="P40" i="5"/>
  <c r="Q41" i="5"/>
  <c r="Q40" i="5"/>
  <c r="H45" i="5"/>
  <c r="I45" i="5"/>
  <c r="J45" i="5"/>
  <c r="K45" i="5"/>
  <c r="L45" i="5"/>
  <c r="M45" i="5"/>
  <c r="N45" i="5"/>
  <c r="O45" i="5"/>
  <c r="P45" i="5"/>
  <c r="Q45" i="5"/>
  <c r="H47" i="5"/>
  <c r="I47" i="5"/>
  <c r="J47" i="5"/>
  <c r="K47" i="5"/>
  <c r="L47" i="5"/>
  <c r="M47" i="5"/>
  <c r="N47" i="5"/>
  <c r="O47" i="5"/>
  <c r="P47" i="5"/>
  <c r="Q47" i="5"/>
  <c r="H50" i="5"/>
  <c r="I50" i="5"/>
  <c r="J50" i="5"/>
  <c r="K50" i="5"/>
  <c r="L50" i="5"/>
  <c r="M50" i="5"/>
  <c r="N50" i="5"/>
  <c r="O50" i="5"/>
  <c r="P50" i="5"/>
  <c r="Q50" i="5"/>
  <c r="H52" i="5"/>
  <c r="I52" i="5"/>
  <c r="J52" i="5"/>
  <c r="K52" i="5"/>
  <c r="L52" i="5"/>
  <c r="M52" i="5"/>
  <c r="N52" i="5"/>
  <c r="O52" i="5"/>
  <c r="P52" i="5"/>
  <c r="Q52" i="5"/>
  <c r="H67" i="5"/>
  <c r="H66" i="5"/>
  <c r="I67" i="5"/>
  <c r="I66" i="5"/>
  <c r="J67" i="5"/>
  <c r="J66" i="5"/>
  <c r="K67" i="5"/>
  <c r="K66" i="5"/>
  <c r="L67" i="5"/>
  <c r="L66" i="5"/>
  <c r="M67" i="5"/>
  <c r="M66" i="5"/>
  <c r="N67" i="5"/>
  <c r="N66" i="5"/>
  <c r="O67" i="5"/>
  <c r="O66" i="5"/>
  <c r="P67" i="5"/>
  <c r="P66" i="5"/>
  <c r="Q67" i="5"/>
  <c r="Q66" i="5"/>
  <c r="H70" i="5"/>
  <c r="H74" i="5"/>
  <c r="H69" i="5"/>
  <c r="I70" i="5"/>
  <c r="I74" i="5"/>
  <c r="I69" i="5"/>
  <c r="J70" i="5"/>
  <c r="J74" i="5"/>
  <c r="J69" i="5"/>
  <c r="K70" i="5"/>
  <c r="K74" i="5"/>
  <c r="K69" i="5"/>
  <c r="L70" i="5"/>
  <c r="L74" i="5"/>
  <c r="L69" i="5"/>
  <c r="M70" i="5"/>
  <c r="M74" i="5"/>
  <c r="M69" i="5"/>
  <c r="N70" i="5"/>
  <c r="N74" i="5"/>
  <c r="N69" i="5"/>
  <c r="O70" i="5"/>
  <c r="O74" i="5"/>
  <c r="O69" i="5"/>
  <c r="P70" i="5"/>
  <c r="P74" i="5"/>
  <c r="P69" i="5"/>
  <c r="Q70" i="5"/>
  <c r="Q74" i="5"/>
  <c r="Q69" i="5"/>
  <c r="H81" i="5"/>
  <c r="H80" i="5"/>
  <c r="I81" i="5"/>
  <c r="I80" i="5"/>
  <c r="J81" i="5"/>
  <c r="J80" i="5"/>
  <c r="K81" i="5"/>
  <c r="K80" i="5"/>
  <c r="L81" i="5"/>
  <c r="L80" i="5"/>
  <c r="M81" i="5"/>
  <c r="M80" i="5"/>
  <c r="N81" i="5"/>
  <c r="N80" i="5"/>
  <c r="O81" i="5"/>
  <c r="O80" i="5"/>
  <c r="P81" i="5"/>
  <c r="P80" i="5"/>
  <c r="Q81" i="5"/>
  <c r="Q80" i="5"/>
  <c r="H84" i="5"/>
  <c r="H89" i="5"/>
  <c r="H91" i="5"/>
  <c r="H94" i="5"/>
  <c r="H83" i="5"/>
  <c r="I84" i="5"/>
  <c r="I89" i="5"/>
  <c r="I91" i="5"/>
  <c r="I94" i="5"/>
  <c r="I83" i="5"/>
  <c r="J84" i="5"/>
  <c r="J89" i="5"/>
  <c r="J91" i="5"/>
  <c r="J94" i="5"/>
  <c r="J83" i="5"/>
  <c r="K84" i="5"/>
  <c r="K89" i="5"/>
  <c r="K91" i="5"/>
  <c r="K94" i="5"/>
  <c r="K83" i="5"/>
  <c r="L84" i="5"/>
  <c r="L89" i="5"/>
  <c r="L91" i="5"/>
  <c r="L94" i="5"/>
  <c r="L83" i="5"/>
  <c r="M84" i="5"/>
  <c r="M89" i="5"/>
  <c r="M91" i="5"/>
  <c r="M94" i="5"/>
  <c r="M83" i="5"/>
  <c r="N84" i="5"/>
  <c r="N89" i="5"/>
  <c r="N91" i="5"/>
  <c r="N94" i="5"/>
  <c r="N83" i="5"/>
  <c r="O84" i="5"/>
  <c r="O89" i="5"/>
  <c r="O91" i="5"/>
  <c r="O94" i="5"/>
  <c r="O83" i="5"/>
  <c r="P84" i="5"/>
  <c r="P89" i="5"/>
  <c r="P91" i="5"/>
  <c r="P94" i="5"/>
  <c r="P83" i="5"/>
  <c r="Q84" i="5"/>
  <c r="Q89" i="5"/>
  <c r="Q91" i="5"/>
  <c r="Q94" i="5"/>
  <c r="Q83" i="5"/>
  <c r="I24" i="2"/>
  <c r="I32" i="2"/>
  <c r="I34" i="2"/>
  <c r="I36" i="2"/>
  <c r="I26" i="2"/>
  <c r="I39" i="2"/>
  <c r="J24" i="2"/>
  <c r="J32" i="2"/>
  <c r="J34" i="2"/>
  <c r="J36" i="2"/>
  <c r="J26" i="2"/>
  <c r="J39" i="2"/>
  <c r="K24" i="2"/>
  <c r="K32" i="2"/>
  <c r="K34" i="2"/>
  <c r="K36" i="2"/>
  <c r="K26" i="2"/>
  <c r="K39" i="2"/>
  <c r="L24" i="2"/>
  <c r="L32" i="2"/>
  <c r="L34" i="2"/>
  <c r="L36" i="2"/>
  <c r="L26" i="2"/>
  <c r="L39" i="2"/>
  <c r="M24" i="2"/>
  <c r="M32" i="2"/>
  <c r="M34" i="2"/>
  <c r="M36" i="2"/>
  <c r="M26" i="2"/>
  <c r="M39" i="2"/>
  <c r="N24" i="2"/>
  <c r="N32" i="2"/>
  <c r="N34" i="2"/>
  <c r="N36" i="2"/>
  <c r="N26" i="2"/>
  <c r="N39" i="2"/>
  <c r="O24" i="2"/>
  <c r="O32" i="2"/>
  <c r="O34" i="2"/>
  <c r="O36" i="2"/>
  <c r="O26" i="2"/>
  <c r="O39" i="2"/>
  <c r="P24" i="2"/>
  <c r="P32" i="2"/>
  <c r="P34" i="2"/>
  <c r="P36" i="2"/>
  <c r="P26" i="2"/>
  <c r="P39" i="2"/>
  <c r="Q24" i="2"/>
  <c r="Q32" i="2"/>
  <c r="Q34" i="2"/>
  <c r="Q36" i="2"/>
  <c r="Q26" i="2"/>
  <c r="Q39" i="2"/>
  <c r="I8" i="6"/>
  <c r="J8" i="6"/>
  <c r="K8" i="6"/>
  <c r="L8" i="6"/>
  <c r="M8" i="6"/>
  <c r="N8" i="6"/>
  <c r="O8" i="6"/>
  <c r="H10" i="6"/>
  <c r="H11" i="6"/>
  <c r="H9" i="6"/>
  <c r="I10" i="6"/>
  <c r="J10" i="6"/>
  <c r="K10" i="6"/>
  <c r="L10" i="6"/>
  <c r="M10" i="6"/>
  <c r="N10" i="6"/>
  <c r="O10" i="6"/>
  <c r="I11" i="6"/>
  <c r="J11" i="6"/>
  <c r="K11" i="6"/>
  <c r="L11" i="6"/>
  <c r="M11" i="6"/>
  <c r="N11" i="6"/>
  <c r="O11" i="6"/>
  <c r="G12" i="2"/>
  <c r="H16" i="2"/>
  <c r="I16" i="2"/>
  <c r="J16" i="2"/>
  <c r="K16" i="2"/>
  <c r="L16" i="2"/>
  <c r="M16" i="2"/>
  <c r="N16" i="2"/>
  <c r="O16" i="2"/>
  <c r="P16" i="2"/>
  <c r="Q16" i="2"/>
  <c r="H25" i="2"/>
  <c r="I25" i="2"/>
  <c r="J25" i="2"/>
  <c r="K25" i="2"/>
  <c r="L25" i="2"/>
  <c r="M25" i="2"/>
  <c r="N25" i="2"/>
  <c r="O25" i="2"/>
  <c r="P25" i="2"/>
  <c r="Q25" i="2"/>
  <c r="H40" i="2"/>
  <c r="I40" i="2"/>
  <c r="J40" i="2"/>
  <c r="K40" i="2"/>
  <c r="L40" i="2"/>
  <c r="M40" i="2"/>
  <c r="N40" i="2"/>
  <c r="O40" i="2"/>
  <c r="P40" i="2"/>
  <c r="Q40" i="2"/>
  <c r="U6" i="10"/>
  <c r="U7" i="10"/>
  <c r="V4" i="10"/>
  <c r="V5" i="10"/>
  <c r="V6" i="10"/>
  <c r="S19" i="10"/>
  <c r="S20" i="10"/>
  <c r="S26" i="10"/>
  <c r="S27" i="10"/>
  <c r="I7" i="8"/>
  <c r="J7" i="8"/>
  <c r="K7" i="8"/>
  <c r="L7" i="8"/>
  <c r="M7" i="8"/>
  <c r="N7" i="8"/>
  <c r="O7" i="8"/>
  <c r="P7" i="8"/>
  <c r="Q7" i="8"/>
  <c r="I8" i="8"/>
  <c r="J8" i="8"/>
  <c r="K8" i="8"/>
  <c r="L8" i="8"/>
  <c r="M8" i="8"/>
  <c r="N8" i="8"/>
  <c r="O8" i="8"/>
  <c r="P8" i="8"/>
  <c r="Q8" i="8"/>
  <c r="I9" i="8"/>
  <c r="J9" i="8"/>
  <c r="K9" i="8"/>
  <c r="L9" i="8"/>
  <c r="M9" i="8"/>
  <c r="N9" i="8"/>
  <c r="O9" i="8"/>
  <c r="P9" i="8"/>
  <c r="Q9" i="8"/>
  <c r="I10" i="8"/>
  <c r="J10" i="8"/>
  <c r="K10" i="8"/>
  <c r="L10" i="8"/>
  <c r="M10" i="8"/>
  <c r="N10" i="8"/>
  <c r="O10" i="8"/>
  <c r="P10" i="8"/>
  <c r="Q10" i="8"/>
  <c r="I11" i="8"/>
  <c r="J11" i="8"/>
  <c r="K11" i="8"/>
  <c r="L11" i="8"/>
  <c r="M11" i="8"/>
  <c r="N11" i="8"/>
  <c r="O11" i="8"/>
  <c r="P11" i="8"/>
  <c r="Q11" i="8"/>
  <c r="H14" i="8"/>
  <c r="I14" i="8"/>
  <c r="J14" i="8"/>
  <c r="K14" i="8"/>
  <c r="L14" i="8"/>
  <c r="M14" i="8"/>
  <c r="N14" i="8"/>
  <c r="O14" i="8"/>
  <c r="P14" i="8"/>
  <c r="Q14" i="8"/>
  <c r="L7" i="12" l="1"/>
  <c r="K9" i="12"/>
  <c r="J19" i="12"/>
  <c r="J15" i="12" s="1"/>
  <c r="K13" i="12"/>
  <c r="J5" i="12"/>
  <c r="J21" i="12"/>
  <c r="H15" i="12"/>
  <c r="H2" i="12"/>
  <c r="I15" i="12"/>
  <c r="H5" i="12"/>
  <c r="H24" i="12" s="1"/>
  <c r="H25" i="12" s="1"/>
  <c r="I21" i="12"/>
  <c r="I5" i="12"/>
  <c r="I28" i="12" s="1"/>
  <c r="H16" i="12"/>
  <c r="H37" i="12"/>
  <c r="J35" i="12"/>
  <c r="K35" i="12" s="1"/>
  <c r="D90" i="12"/>
  <c r="D87" i="12" s="1"/>
  <c r="D88" i="12" s="1"/>
  <c r="D92" i="12"/>
  <c r="D40" i="12"/>
  <c r="G92" i="12"/>
  <c r="G40" i="12"/>
  <c r="C51" i="12"/>
  <c r="C92" i="12"/>
  <c r="C90" i="12"/>
  <c r="C87" i="12" s="1"/>
  <c r="C88" i="12" s="1"/>
  <c r="C40" i="12"/>
  <c r="F39" i="12"/>
  <c r="F91" i="12"/>
  <c r="J29" i="12"/>
  <c r="I37" i="12"/>
  <c r="D57" i="12"/>
  <c r="D61" i="12" s="1"/>
  <c r="D63" i="12" s="1"/>
  <c r="D53" i="12"/>
  <c r="G57" i="12"/>
  <c r="G61" i="12" s="1"/>
  <c r="G63" i="12" s="1"/>
  <c r="G53" i="12"/>
  <c r="I34" i="12"/>
  <c r="E90" i="12"/>
  <c r="E87" i="12" s="1"/>
  <c r="E88" i="12" s="1"/>
  <c r="E92" i="12"/>
  <c r="E40" i="12"/>
  <c r="E51" i="12"/>
  <c r="J37" i="12"/>
  <c r="K31" i="12"/>
  <c r="W43" i="8"/>
  <c r="L17" i="12" l="1"/>
  <c r="M7" i="12"/>
  <c r="J24" i="12"/>
  <c r="J25" i="12" s="1"/>
  <c r="J16" i="12"/>
  <c r="I24" i="12"/>
  <c r="I25" i="12" s="1"/>
  <c r="L9" i="12"/>
  <c r="K19" i="12"/>
  <c r="I16" i="12"/>
  <c r="H34" i="12"/>
  <c r="I6" i="12"/>
  <c r="I32" i="12"/>
  <c r="I30" i="12"/>
  <c r="I27" i="12" s="1"/>
  <c r="J6" i="12"/>
  <c r="J32" i="12"/>
  <c r="H6" i="12"/>
  <c r="H28" i="12"/>
  <c r="H30" i="12"/>
  <c r="H32" i="12"/>
  <c r="J30" i="12"/>
  <c r="K21" i="12"/>
  <c r="K15" i="12" s="1"/>
  <c r="L13" i="12"/>
  <c r="K5" i="12"/>
  <c r="K30" i="12" s="1"/>
  <c r="J36" i="12"/>
  <c r="K34" i="12"/>
  <c r="L35" i="12"/>
  <c r="C57" i="12"/>
  <c r="C61" i="12" s="1"/>
  <c r="C63" i="12" s="1"/>
  <c r="C53" i="12"/>
  <c r="G74" i="12"/>
  <c r="G93" i="12"/>
  <c r="G66" i="12"/>
  <c r="E53" i="12"/>
  <c r="E57" i="12"/>
  <c r="E61" i="12" s="1"/>
  <c r="E63" i="12" s="1"/>
  <c r="D93" i="12"/>
  <c r="D66" i="12"/>
  <c r="D79" i="12"/>
  <c r="D74" i="12"/>
  <c r="I36" i="12"/>
  <c r="L31" i="12"/>
  <c r="J28" i="12"/>
  <c r="K29" i="12"/>
  <c r="J34" i="12"/>
  <c r="H36" i="12"/>
  <c r="K37" i="12"/>
  <c r="L37" i="12" s="1"/>
  <c r="F51" i="12"/>
  <c r="F90" i="12"/>
  <c r="F87" i="12" s="1"/>
  <c r="F88" i="12" s="1"/>
  <c r="F92" i="12"/>
  <c r="F40" i="12"/>
  <c r="J27" i="12" l="1"/>
  <c r="I26" i="12"/>
  <c r="I39" i="12" s="1"/>
  <c r="I40" i="12" s="1"/>
  <c r="M17" i="12"/>
  <c r="N7" i="12"/>
  <c r="K16" i="12"/>
  <c r="L19" i="12"/>
  <c r="M9" i="12"/>
  <c r="K28" i="12"/>
  <c r="K27" i="12" s="1"/>
  <c r="L5" i="12"/>
  <c r="L30" i="12" s="1"/>
  <c r="L21" i="12"/>
  <c r="M13" i="12"/>
  <c r="H27" i="12"/>
  <c r="H26" i="12" s="1"/>
  <c r="H39" i="12" s="1"/>
  <c r="K6" i="12"/>
  <c r="K32" i="12"/>
  <c r="K24" i="12"/>
  <c r="K25" i="12" s="1"/>
  <c r="J26" i="12"/>
  <c r="J39" i="12" s="1"/>
  <c r="J51" i="12" s="1"/>
  <c r="I51" i="12"/>
  <c r="C79" i="12"/>
  <c r="C74" i="12"/>
  <c r="C66" i="12"/>
  <c r="C93" i="12"/>
  <c r="F53" i="12"/>
  <c r="F57" i="12"/>
  <c r="F61" i="12" s="1"/>
  <c r="F63" i="12" s="1"/>
  <c r="K36" i="12"/>
  <c r="E93" i="12"/>
  <c r="E79" i="12"/>
  <c r="E74" i="12"/>
  <c r="E66" i="12"/>
  <c r="M37" i="12"/>
  <c r="L34" i="12"/>
  <c r="D80" i="12"/>
  <c r="D68" i="12"/>
  <c r="D75" i="12"/>
  <c r="M35" i="12"/>
  <c r="G75" i="12"/>
  <c r="G68" i="12"/>
  <c r="G76" i="12" s="1"/>
  <c r="M31" i="12"/>
  <c r="L36" i="12" l="1"/>
  <c r="N17" i="12"/>
  <c r="O7" i="12"/>
  <c r="K26" i="12"/>
  <c r="K39" i="12" s="1"/>
  <c r="L15" i="12"/>
  <c r="L16" i="12" s="1"/>
  <c r="M19" i="12"/>
  <c r="N9" i="12"/>
  <c r="H40" i="12"/>
  <c r="H51" i="12"/>
  <c r="H52" i="12" s="1"/>
  <c r="H54" i="12" s="1"/>
  <c r="M21" i="12"/>
  <c r="M15" i="12" s="1"/>
  <c r="N13" i="12"/>
  <c r="M5" i="12"/>
  <c r="M34" i="12" s="1"/>
  <c r="L6" i="12"/>
  <c r="L28" i="12"/>
  <c r="L27" i="12" s="1"/>
  <c r="L32" i="12"/>
  <c r="J40" i="12"/>
  <c r="K51" i="12"/>
  <c r="K40" i="12"/>
  <c r="N31" i="12"/>
  <c r="C80" i="12"/>
  <c r="C75" i="12"/>
  <c r="C68" i="12"/>
  <c r="E68" i="12"/>
  <c r="E75" i="12"/>
  <c r="E80" i="12"/>
  <c r="N37" i="12"/>
  <c r="O37" i="12" s="1"/>
  <c r="J52" i="12"/>
  <c r="J54" i="12" s="1"/>
  <c r="N35" i="12"/>
  <c r="D81" i="12"/>
  <c r="D76" i="12"/>
  <c r="I52" i="12"/>
  <c r="I54" i="12" s="1"/>
  <c r="F74" i="12"/>
  <c r="F93" i="12"/>
  <c r="F66" i="12"/>
  <c r="P7" i="12" l="1"/>
  <c r="O17" i="12"/>
  <c r="L24" i="12"/>
  <c r="L25" i="12" s="1"/>
  <c r="M36" i="12"/>
  <c r="L26" i="12"/>
  <c r="L39" i="12" s="1"/>
  <c r="O9" i="12"/>
  <c r="N19" i="12"/>
  <c r="M6" i="12"/>
  <c r="M28" i="12"/>
  <c r="M32" i="12"/>
  <c r="M24" i="12"/>
  <c r="M25" i="12" s="1"/>
  <c r="N5" i="12"/>
  <c r="N30" i="12" s="1"/>
  <c r="O13" i="12"/>
  <c r="N21" i="12"/>
  <c r="N15" i="12" s="1"/>
  <c r="M16" i="12"/>
  <c r="M30" i="12"/>
  <c r="I57" i="12"/>
  <c r="I61" i="12" s="1"/>
  <c r="I63" i="12" s="1"/>
  <c r="I74" i="12" s="1"/>
  <c r="J57" i="12"/>
  <c r="J61" i="12" s="1"/>
  <c r="J63" i="12" s="1"/>
  <c r="J74" i="12" s="1"/>
  <c r="H57" i="12"/>
  <c r="H61" i="12" s="1"/>
  <c r="H63" i="12" s="1"/>
  <c r="H74" i="12" s="1"/>
  <c r="C76" i="12"/>
  <c r="C81" i="12"/>
  <c r="L51" i="12"/>
  <c r="L40" i="12"/>
  <c r="F75" i="12"/>
  <c r="F68" i="12"/>
  <c r="F76" i="12" s="1"/>
  <c r="O31" i="12"/>
  <c r="E81" i="12"/>
  <c r="E76" i="12"/>
  <c r="O35" i="12"/>
  <c r="P37" i="12"/>
  <c r="K52" i="12"/>
  <c r="K54" i="12" s="1"/>
  <c r="M27" i="12" l="1"/>
  <c r="M26" i="12" s="1"/>
  <c r="M39" i="12" s="1"/>
  <c r="N16" i="12"/>
  <c r="Q7" i="12"/>
  <c r="Q17" i="12" s="1"/>
  <c r="P17" i="12"/>
  <c r="O19" i="12"/>
  <c r="P9" i="12"/>
  <c r="O21" i="12"/>
  <c r="O15" i="12" s="1"/>
  <c r="P13" i="12"/>
  <c r="O5" i="12"/>
  <c r="O34" i="12" s="1"/>
  <c r="N6" i="12"/>
  <c r="N28" i="12"/>
  <c r="N27" i="12" s="1"/>
  <c r="N32" i="12"/>
  <c r="N24" i="12"/>
  <c r="N25" i="12" s="1"/>
  <c r="N34" i="12"/>
  <c r="N36" i="12"/>
  <c r="I66" i="12"/>
  <c r="I68" i="12" s="1"/>
  <c r="I76" i="12" s="1"/>
  <c r="J66" i="12"/>
  <c r="J68" i="12" s="1"/>
  <c r="J76" i="12" s="1"/>
  <c r="Q37" i="12"/>
  <c r="P35" i="12"/>
  <c r="H66" i="12"/>
  <c r="H75" i="12" s="1"/>
  <c r="P31" i="12"/>
  <c r="L52" i="12"/>
  <c r="L54" i="12" s="1"/>
  <c r="M40" i="12"/>
  <c r="M51" i="12"/>
  <c r="K57" i="12"/>
  <c r="K61" i="12" s="1"/>
  <c r="K63" i="12" s="1"/>
  <c r="Q31" i="12"/>
  <c r="Q35" i="12"/>
  <c r="Q9" i="12" l="1"/>
  <c r="Q19" i="12" s="1"/>
  <c r="P19" i="12"/>
  <c r="N26" i="12"/>
  <c r="N39" i="12" s="1"/>
  <c r="O16" i="12"/>
  <c r="O32" i="12"/>
  <c r="O6" i="12"/>
  <c r="O28" i="12"/>
  <c r="O24" i="12"/>
  <c r="O25" i="12" s="1"/>
  <c r="O36" i="12"/>
  <c r="P5" i="12"/>
  <c r="Q13" i="12"/>
  <c r="P21" i="12"/>
  <c r="P15" i="12" s="1"/>
  <c r="O30" i="12"/>
  <c r="J75" i="12"/>
  <c r="I75" i="12"/>
  <c r="H68" i="12"/>
  <c r="H76" i="12" s="1"/>
  <c r="K74" i="12"/>
  <c r="K66" i="12"/>
  <c r="M52" i="12"/>
  <c r="M54" i="12" s="1"/>
  <c r="L57" i="12"/>
  <c r="L61" i="12" s="1"/>
  <c r="L63" i="12" s="1"/>
  <c r="N40" i="12"/>
  <c r="N51" i="12"/>
  <c r="P28" i="12" l="1"/>
  <c r="P32" i="12"/>
  <c r="P6" i="12"/>
  <c r="P24" i="12"/>
  <c r="P25" i="12" s="1"/>
  <c r="P36" i="12"/>
  <c r="P30" i="12"/>
  <c r="P34" i="12"/>
  <c r="O27" i="12"/>
  <c r="O26" i="12" s="1"/>
  <c r="O39" i="12" s="1"/>
  <c r="P16" i="12"/>
  <c r="Q21" i="12"/>
  <c r="Q15" i="12" s="1"/>
  <c r="Q5" i="12"/>
  <c r="M57" i="12"/>
  <c r="M61" i="12" s="1"/>
  <c r="M63" i="12" s="1"/>
  <c r="M74" i="12" s="1"/>
  <c r="N52" i="12"/>
  <c r="N54" i="12" s="1"/>
  <c r="L74" i="12"/>
  <c r="L66" i="12"/>
  <c r="K75" i="12"/>
  <c r="K68" i="12"/>
  <c r="K76" i="12" s="1"/>
  <c r="Q16" i="12" l="1"/>
  <c r="Q28" i="12"/>
  <c r="Q32" i="12"/>
  <c r="Q6" i="12"/>
  <c r="Q24" i="12"/>
  <c r="Q25" i="12" s="1"/>
  <c r="Q34" i="12"/>
  <c r="Q30" i="12"/>
  <c r="Q36" i="12"/>
  <c r="O51" i="12"/>
  <c r="O52" i="12" s="1"/>
  <c r="O54" i="12" s="1"/>
  <c r="O40" i="12"/>
  <c r="P27" i="12"/>
  <c r="P26" i="12" s="1"/>
  <c r="P39" i="12" s="1"/>
  <c r="M66" i="12"/>
  <c r="M68" i="12" s="1"/>
  <c r="M76" i="12" s="1"/>
  <c r="L75" i="12"/>
  <c r="L68" i="12"/>
  <c r="L76" i="12" s="1"/>
  <c r="N57" i="12"/>
  <c r="N61" i="12" s="1"/>
  <c r="N63" i="12" s="1"/>
  <c r="Q27" i="12" l="1"/>
  <c r="Q26" i="12" s="1"/>
  <c r="Q39" i="12" s="1"/>
  <c r="P40" i="12"/>
  <c r="P51" i="12"/>
  <c r="O57" i="12"/>
  <c r="O61" i="12" s="1"/>
  <c r="O63" i="12" s="1"/>
  <c r="O74" i="12" s="1"/>
  <c r="M75" i="12"/>
  <c r="O66" i="12"/>
  <c r="O68" i="12" s="1"/>
  <c r="O76" i="12" s="1"/>
  <c r="N74" i="12"/>
  <c r="N66" i="12"/>
  <c r="Q51" i="12" l="1"/>
  <c r="Q40" i="12"/>
  <c r="P52" i="12"/>
  <c r="P54" i="12" s="1"/>
  <c r="P57" i="12"/>
  <c r="P61" i="12" s="1"/>
  <c r="P63" i="12" s="1"/>
  <c r="O75" i="12"/>
  <c r="N75" i="12"/>
  <c r="N68" i="12"/>
  <c r="N76" i="12" s="1"/>
  <c r="P66" i="12" l="1"/>
  <c r="P74" i="12"/>
  <c r="Q52" i="12"/>
  <c r="Q54" i="12" s="1"/>
  <c r="Q57" i="12"/>
  <c r="Q61" i="12" s="1"/>
  <c r="Q63" i="12" s="1"/>
  <c r="Q74" i="12" l="1"/>
  <c r="Q66" i="12"/>
  <c r="P75" i="12"/>
  <c r="P68" i="12"/>
  <c r="P76" i="12" s="1"/>
  <c r="Q75" i="12" l="1"/>
  <c r="Q68" i="12"/>
  <c r="Q76" i="12" s="1"/>
  <c r="K96" i="5"/>
  <c r="K77" i="5"/>
  <c r="K78" i="5"/>
  <c r="W47" i="8"/>
  <c r="Y47" i="8"/>
  <c r="I36" i="8"/>
  <c r="I34" i="8"/>
  <c r="I18" i="8"/>
  <c r="J36" i="8"/>
  <c r="J34" i="8"/>
  <c r="J18" i="8"/>
  <c r="Q54" i="2"/>
  <c r="Q52" i="2"/>
  <c r="K106" i="5"/>
  <c r="K119" i="5"/>
  <c r="O96" i="5"/>
  <c r="O77" i="5"/>
  <c r="O78" i="5"/>
  <c r="J96" i="5"/>
  <c r="J77" i="5"/>
  <c r="J78" i="5"/>
  <c r="Q53" i="5"/>
  <c r="Q64" i="5"/>
  <c r="Q63" i="5"/>
  <c r="Q76" i="5"/>
  <c r="Q97" i="5"/>
  <c r="Q112" i="5"/>
  <c r="Q6" i="5"/>
  <c r="Q21" i="5"/>
  <c r="P76" i="2"/>
  <c r="P68" i="2"/>
  <c r="L36" i="8"/>
  <c r="L18" i="8"/>
  <c r="L34" i="8"/>
  <c r="O36" i="8"/>
  <c r="O34" i="8"/>
  <c r="O18" i="8"/>
  <c r="M13" i="8"/>
  <c r="M45" i="2"/>
  <c r="K76" i="2"/>
  <c r="K68" i="2"/>
  <c r="O42" i="8"/>
  <c r="O39" i="8"/>
  <c r="Q36" i="8"/>
  <c r="Q18" i="8"/>
  <c r="Q34" i="8"/>
  <c r="Q35" i="8"/>
  <c r="Q31" i="8"/>
  <c r="Q30" i="8"/>
  <c r="O106" i="5"/>
  <c r="O119" i="5"/>
  <c r="H53" i="5"/>
  <c r="H21" i="5"/>
  <c r="W45" i="8"/>
  <c r="Y45" i="8"/>
  <c r="N96" i="5"/>
  <c r="N77" i="5"/>
  <c r="N78" i="5"/>
  <c r="K13" i="8"/>
  <c r="K45" i="2"/>
  <c r="N18" i="8"/>
  <c r="N34" i="8"/>
  <c r="N36" i="8"/>
  <c r="K42" i="8"/>
  <c r="K39" i="8"/>
  <c r="M42" i="8"/>
  <c r="M39" i="8"/>
  <c r="M36" i="8"/>
  <c r="M34" i="8"/>
  <c r="M18" i="8"/>
  <c r="P74" i="2"/>
  <c r="I53" i="5"/>
  <c r="I21" i="5"/>
  <c r="H76" i="2"/>
  <c r="H68" i="2"/>
  <c r="M76" i="2"/>
  <c r="M68" i="2"/>
  <c r="P96" i="5"/>
  <c r="P77" i="5"/>
  <c r="P78" i="5"/>
  <c r="L13" i="8"/>
  <c r="L45" i="2"/>
  <c r="J42" i="8"/>
  <c r="J39" i="8"/>
  <c r="P13" i="8"/>
  <c r="P45" i="2"/>
  <c r="L106" i="5"/>
  <c r="L119" i="5"/>
  <c r="N74" i="2"/>
  <c r="N54" i="2"/>
  <c r="N52" i="2"/>
  <c r="J106" i="5"/>
  <c r="J119" i="5"/>
  <c r="N40" i="8"/>
  <c r="N16" i="8"/>
  <c r="I13" i="8"/>
  <c r="I45" i="2"/>
  <c r="O40" i="8"/>
  <c r="O16" i="8"/>
  <c r="M96" i="5"/>
  <c r="M77" i="5"/>
  <c r="M78" i="5"/>
  <c r="Q13" i="8"/>
  <c r="Q45" i="2"/>
  <c r="K29" i="8"/>
  <c r="K31" i="8"/>
  <c r="N76" i="2"/>
  <c r="N68" i="2"/>
  <c r="J54" i="2"/>
  <c r="J52" i="2"/>
  <c r="O12" i="8"/>
  <c r="O15" i="8"/>
  <c r="O29" i="8"/>
  <c r="O31" i="8"/>
  <c r="I106" i="5"/>
  <c r="I119" i="5"/>
  <c r="H54" i="2"/>
  <c r="H52" i="2"/>
  <c r="Q76" i="2"/>
  <c r="Q68" i="2"/>
  <c r="H13" i="8"/>
  <c r="H64" i="5"/>
  <c r="H63" i="5"/>
  <c r="H76" i="5"/>
  <c r="H97" i="5"/>
  <c r="H112" i="5"/>
  <c r="H6" i="5"/>
  <c r="H45" i="2"/>
  <c r="L78" i="5"/>
  <c r="L77" i="5"/>
  <c r="L96" i="5"/>
  <c r="K74" i="2"/>
  <c r="Q10" i="10"/>
  <c r="P5" i="10"/>
  <c r="P18" i="10"/>
  <c r="P93" i="2"/>
  <c r="P75" i="2"/>
  <c r="K52" i="2"/>
  <c r="K54" i="2"/>
  <c r="O53" i="5"/>
  <c r="O64" i="5"/>
  <c r="O63" i="5"/>
  <c r="O76" i="5"/>
  <c r="O97" i="5"/>
  <c r="O112" i="5"/>
  <c r="O6" i="5"/>
  <c r="O21" i="5"/>
  <c r="Q106" i="5"/>
  <c r="Q119" i="5"/>
  <c r="K64" i="5"/>
  <c r="K63" i="5"/>
  <c r="K76" i="5"/>
  <c r="K97" i="5"/>
  <c r="K112" i="5"/>
  <c r="K6" i="5"/>
  <c r="K21" i="5"/>
  <c r="K53" i="5"/>
  <c r="N13" i="8"/>
  <c r="N45" i="2"/>
  <c r="P16" i="8"/>
  <c r="P40" i="8"/>
  <c r="Q42" i="8"/>
  <c r="Q39" i="8"/>
  <c r="Q41" i="8"/>
  <c r="O74" i="2"/>
  <c r="L64" i="5"/>
  <c r="L63" i="5"/>
  <c r="L76" i="5"/>
  <c r="L97" i="5"/>
  <c r="L112" i="5"/>
  <c r="L6" i="5"/>
  <c r="L21" i="5"/>
  <c r="L53" i="5"/>
  <c r="H78" i="5"/>
  <c r="H77" i="5"/>
  <c r="H96" i="5"/>
  <c r="V46" i="8"/>
  <c r="L59" i="8"/>
  <c r="H18" i="8"/>
  <c r="H34" i="8"/>
  <c r="H36" i="8"/>
  <c r="E51" i="8"/>
  <c r="E53" i="8"/>
  <c r="E54" i="8"/>
  <c r="J74" i="2"/>
  <c r="P54" i="2"/>
  <c r="P52" i="2"/>
  <c r="J53" i="5"/>
  <c r="J64" i="5"/>
  <c r="J63" i="5"/>
  <c r="J76" i="5"/>
  <c r="J97" i="5"/>
  <c r="J112" i="5"/>
  <c r="J6" i="5"/>
  <c r="J21" i="5"/>
  <c r="P42" i="2"/>
  <c r="P41" i="2"/>
  <c r="P51" i="2"/>
  <c r="P57" i="2"/>
  <c r="P61" i="2"/>
  <c r="P63" i="2"/>
  <c r="P66" i="2"/>
  <c r="P119" i="5"/>
  <c r="P106" i="5"/>
  <c r="K16" i="8"/>
  <c r="K40" i="8"/>
  <c r="I75" i="2"/>
  <c r="I7" i="6"/>
  <c r="I93" i="2"/>
  <c r="M106" i="5"/>
  <c r="M119" i="5"/>
  <c r="O52" i="2"/>
  <c r="O54" i="2"/>
  <c r="J40" i="8"/>
  <c r="J16" i="8"/>
  <c r="Q11" i="10"/>
  <c r="P6" i="10"/>
  <c r="P19" i="10"/>
  <c r="N17" i="8"/>
  <c r="P17" i="10"/>
  <c r="P26" i="10"/>
  <c r="P27" i="10"/>
  <c r="Y46" i="8"/>
  <c r="W46" i="8"/>
  <c r="L52" i="2"/>
  <c r="L54" i="2"/>
  <c r="I78" i="5"/>
  <c r="I77" i="5"/>
  <c r="I96" i="5"/>
  <c r="I64" i="5"/>
  <c r="I63" i="5"/>
  <c r="I76" i="5"/>
  <c r="I97" i="5"/>
  <c r="I112" i="5"/>
  <c r="I6" i="5"/>
  <c r="J45" i="2"/>
  <c r="J13" i="8"/>
  <c r="J75" i="2"/>
  <c r="J93" i="2"/>
  <c r="J7" i="6"/>
  <c r="O13" i="8"/>
  <c r="O45" i="2"/>
  <c r="P31" i="8"/>
  <c r="J42" i="2"/>
  <c r="J41" i="2"/>
  <c r="J51" i="2"/>
  <c r="J57" i="2"/>
  <c r="J61" i="2"/>
  <c r="J63" i="2"/>
  <c r="J66" i="2"/>
  <c r="J68" i="2"/>
  <c r="J76" i="2"/>
  <c r="L40" i="8"/>
  <c r="L16" i="8"/>
  <c r="M52" i="2"/>
  <c r="M54" i="2"/>
  <c r="L74" i="2"/>
  <c r="P17" i="8"/>
  <c r="O7" i="6"/>
  <c r="O75" i="2"/>
  <c r="O93" i="2"/>
  <c r="Q17" i="8"/>
  <c r="H17" i="8"/>
  <c r="H74" i="2"/>
  <c r="J43" i="2"/>
  <c r="J12" i="8"/>
  <c r="J15" i="8"/>
  <c r="J29" i="8"/>
  <c r="J31" i="8"/>
  <c r="M12" i="8"/>
  <c r="M15" i="8"/>
  <c r="M29" i="8"/>
  <c r="M31" i="8"/>
  <c r="O17" i="8"/>
  <c r="I74" i="2"/>
  <c r="L42" i="8"/>
  <c r="L39" i="8"/>
  <c r="F54" i="8"/>
  <c r="H39" i="8"/>
  <c r="H42" i="8"/>
  <c r="F45" i="8"/>
  <c r="F47" i="8"/>
  <c r="F51" i="8"/>
  <c r="F53" i="8"/>
  <c r="U59" i="8"/>
  <c r="I109" i="5"/>
  <c r="I111" i="5"/>
  <c r="I121" i="5"/>
  <c r="I17" i="8"/>
  <c r="P53" i="5"/>
  <c r="P64" i="5"/>
  <c r="P63" i="5"/>
  <c r="P76" i="5"/>
  <c r="P97" i="5"/>
  <c r="P112" i="5"/>
  <c r="P6" i="5"/>
  <c r="P21" i="5"/>
  <c r="Q75" i="2"/>
  <c r="Q66" i="2"/>
  <c r="Q93" i="2"/>
  <c r="N42" i="8"/>
  <c r="N39" i="8"/>
  <c r="M7" i="6"/>
  <c r="M93" i="2"/>
  <c r="M66" i="2"/>
  <c r="M75" i="2"/>
  <c r="H16" i="8"/>
  <c r="H40" i="8"/>
  <c r="L7" i="6"/>
  <c r="L75" i="2"/>
  <c r="L93" i="2"/>
  <c r="Q105" i="5"/>
  <c r="Q109" i="5"/>
  <c r="Q111" i="5"/>
  <c r="Q121" i="5"/>
  <c r="Q78" i="5"/>
  <c r="Q77" i="5"/>
  <c r="Q96" i="5"/>
  <c r="P18" i="8"/>
  <c r="P34" i="8"/>
  <c r="P36" i="8"/>
  <c r="O43" i="2"/>
  <c r="O42" i="2"/>
  <c r="O41" i="2"/>
  <c r="O51" i="2"/>
  <c r="O57" i="2"/>
  <c r="O61" i="2"/>
  <c r="O63" i="2"/>
  <c r="O66" i="2"/>
  <c r="O68" i="2"/>
  <c r="O76" i="2"/>
  <c r="M40" i="8"/>
  <c r="M16" i="8"/>
  <c r="N106" i="5"/>
  <c r="N119" i="5"/>
  <c r="I57" i="2"/>
  <c r="I61" i="2"/>
  <c r="I63" i="2"/>
  <c r="I66" i="2"/>
  <c r="I68" i="2"/>
  <c r="I76" i="2"/>
  <c r="Q12" i="8"/>
  <c r="Q15" i="8"/>
  <c r="Q29" i="8"/>
  <c r="S29" i="8"/>
  <c r="H75" i="2"/>
  <c r="H7" i="6"/>
  <c r="H93" i="2"/>
  <c r="V45" i="8"/>
  <c r="D54" i="8"/>
  <c r="H12" i="8"/>
  <c r="H15" i="8"/>
  <c r="H29" i="8"/>
  <c r="H31" i="8"/>
  <c r="D45" i="8"/>
  <c r="D47" i="8"/>
  <c r="D51" i="8"/>
  <c r="D53" i="8"/>
  <c r="C59" i="8"/>
  <c r="L17" i="8"/>
  <c r="K17" i="8"/>
  <c r="N93" i="2"/>
  <c r="N75" i="2"/>
  <c r="N42" i="2"/>
  <c r="N41" i="2"/>
  <c r="N51" i="2"/>
  <c r="N57" i="2"/>
  <c r="N61" i="2"/>
  <c r="N63" i="2"/>
  <c r="N66" i="2"/>
  <c r="N7" i="6"/>
  <c r="I31" i="8"/>
  <c r="I12" i="8"/>
  <c r="I15" i="8"/>
  <c r="I29" i="8"/>
  <c r="I39" i="8"/>
  <c r="I42" i="8"/>
  <c r="M17" i="8"/>
  <c r="J17" i="8"/>
  <c r="O109" i="5"/>
  <c r="O111" i="5"/>
  <c r="O121" i="5"/>
  <c r="P43" i="2"/>
  <c r="P12" i="8"/>
  <c r="P15" i="8"/>
  <c r="P29" i="8"/>
  <c r="P39" i="8"/>
  <c r="P42" i="8"/>
  <c r="L12" i="8"/>
  <c r="L15" i="8"/>
  <c r="L29" i="8"/>
  <c r="L31" i="8"/>
  <c r="K12" i="8"/>
  <c r="K15" i="8"/>
  <c r="K18" i="8"/>
  <c r="K34" i="8"/>
  <c r="K36" i="8"/>
  <c r="I41" i="2"/>
  <c r="I51" i="2"/>
  <c r="I52" i="2"/>
  <c r="I54" i="2"/>
  <c r="N109" i="5"/>
  <c r="N111" i="5"/>
  <c r="N121" i="5"/>
  <c r="N64" i="5"/>
  <c r="N63" i="5"/>
  <c r="N76" i="5"/>
  <c r="N97" i="5"/>
  <c r="N112" i="5"/>
  <c r="N6" i="5"/>
  <c r="N21" i="5"/>
  <c r="N53" i="5"/>
  <c r="I40" i="8"/>
  <c r="I43" i="2"/>
  <c r="I42" i="2"/>
  <c r="I16" i="8"/>
  <c r="Q16" i="8"/>
  <c r="Q40" i="8"/>
  <c r="N105" i="5"/>
  <c r="O105" i="5"/>
  <c r="P105" i="5"/>
  <c r="P109" i="5"/>
  <c r="P111" i="5"/>
  <c r="P121" i="5"/>
  <c r="Q43" i="2"/>
  <c r="Q42" i="2"/>
  <c r="Q41" i="2"/>
  <c r="Q51" i="2"/>
  <c r="Q57" i="2"/>
  <c r="Q61" i="2"/>
  <c r="Q63" i="2"/>
  <c r="Q74" i="2"/>
  <c r="N43" i="2"/>
  <c r="N12" i="8"/>
  <c r="N15" i="8"/>
  <c r="N29" i="8"/>
  <c r="N31" i="8"/>
  <c r="L109" i="5"/>
  <c r="L111" i="5"/>
  <c r="L121" i="5"/>
  <c r="M43" i="2"/>
  <c r="M42" i="2"/>
  <c r="M41" i="2"/>
  <c r="M51" i="2"/>
  <c r="M57" i="2"/>
  <c r="M61" i="2"/>
  <c r="M63" i="2"/>
  <c r="M74" i="2"/>
  <c r="K109" i="5"/>
  <c r="K111" i="5"/>
  <c r="K121" i="5"/>
  <c r="L43" i="2"/>
  <c r="L42" i="2"/>
  <c r="L41" i="2"/>
  <c r="L51" i="2"/>
  <c r="L57" i="2"/>
  <c r="L61" i="2"/>
  <c r="L63" i="2"/>
  <c r="L66" i="2"/>
  <c r="L68" i="2"/>
  <c r="L76" i="2"/>
  <c r="P4" i="10"/>
  <c r="Q9" i="10"/>
  <c r="Q12" i="10"/>
  <c r="P35" i="10"/>
  <c r="V47" i="8"/>
  <c r="K105" i="5"/>
  <c r="L105" i="5"/>
  <c r="M105" i="5"/>
  <c r="M109" i="5"/>
  <c r="M111" i="5"/>
  <c r="M121" i="5"/>
  <c r="M64" i="5"/>
  <c r="M63" i="5"/>
  <c r="M76" i="5"/>
  <c r="M97" i="5"/>
  <c r="M112" i="5"/>
  <c r="M6" i="5"/>
  <c r="M21" i="5"/>
  <c r="M53" i="5"/>
  <c r="K75" i="2"/>
  <c r="K7" i="6"/>
  <c r="H109" i="5"/>
  <c r="H111" i="5"/>
  <c r="H121" i="5"/>
  <c r="H43" i="2"/>
  <c r="H42" i="2"/>
  <c r="H41" i="2"/>
  <c r="H51" i="2"/>
  <c r="H57" i="2"/>
  <c r="H61" i="2"/>
  <c r="H63" i="2"/>
  <c r="H66" i="2"/>
  <c r="H119" i="5"/>
  <c r="H106" i="5"/>
  <c r="H105" i="5"/>
  <c r="I105" i="5"/>
  <c r="J105" i="5"/>
  <c r="J109" i="5"/>
  <c r="J111" i="5"/>
  <c r="J121" i="5"/>
  <c r="K43" i="2"/>
  <c r="K42" i="2"/>
  <c r="K41" i="2"/>
  <c r="K51" i="2"/>
  <c r="K57" i="2"/>
  <c r="K61" i="2"/>
  <c r="K63" i="2"/>
  <c r="K66" i="2"/>
  <c r="K9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tc={90203FE7-954B-45D3-8A75-6417D3EB2641}</author>
    <author>tc={335BBA1B-E316-45CC-A07D-01E65BE84AC6}</author>
  </authors>
  <commentList>
    <comment ref="G54" authorId="0" shapeId="0" xr:uid="{428D3C9E-949E-4D64-AB7F-FDE347D6C7D0}">
      <text>
        <t>[Threaded comment]
Your version of Excel allows you to read this threaded comment; however, any edits to it will get removed if the file is opened in a newer version of Excel. Learn more: https://go.microsoft.com/fwlink/?linkid=870924
Comment:
    FS not yet disclosed</t>
      </text>
    </comment>
    <comment ref="H55" authorId="1" shapeId="0" xr:uid="{0A47A951-42C5-4116-AEF6-3FCA43CCB8C0}">
      <text>
        <t>[Threaded comment]
Your version of Excel allows you to read this threaded comment; however, any edits to it will get removed if the file is opened in a newer version of Excel. Learn more: https://go.microsoft.com/fwlink/?linkid=870924
Comment:
    Assume no deferred tax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tc={90203FE7-954B-45D2-8A75-6417D3EB2641}</author>
    <author>tc={335BBA1B-E316-45CB-A07D-01E65BE84AC6}</author>
  </authors>
  <commentList>
    <comment ref="G54" authorId="0" shapeId="0" xr:uid="{90203FE7-954B-45D2-8A75-6417D3EB2641}">
      <text>
        <t>[Threaded comment]
Your version of Excel allows you to read this threaded comment; however, any edits to it will get removed if the file is opened in a newer version of Excel. Learn more: https://go.microsoft.com/fwlink/?linkid=870924
Comment:
    FS not yet disclosed</t>
      </text>
    </comment>
    <comment ref="H55" authorId="1" shapeId="0" xr:uid="{335BBA1B-E316-45CB-A07D-01E65BE84AC6}">
      <text>
        <t>[Threaded comment]
Your version of Excel allows you to read this threaded comment; however, any edits to it will get removed if the file is opened in a newer version of Excel. Learn more: https://go.microsoft.com/fwlink/?linkid=870924
Comment:
    Assume no deferred tax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tc={3263F83F-62E9-4660-AAF4-11D6DFD0B244}</author>
    <author>tc={39EC422A-4F86-42D7-AD70-6BC477742612}</author>
    <author>tc={02710646-AA33-46E2-A5EC-62F1DF04B847}</author>
    <author>tc={4D387E4A-A816-412D-9EAE-8498454F16E3}</author>
    <author>tc={B474C3B4-D1B1-436D-B018-3C88AE1928AF}</author>
  </authors>
  <commentList>
    <comment ref="A19" authorId="0" shapeId="0" xr:uid="{3263F83F-62E9-4660-AAF4-11D6DFD0B244}">
      <text>
        <t>[Threaded comment]
Your version of Excel allows you to read this threaded comment; however, any edits to it will get removed if the file is opened in a newer version of Excel. Learn more: https://go.microsoft.com/fwlink/?linkid=870924
Comment:
    Restricted cash + ST loans + Due From Parties/Affiliates (Short-Term)</t>
      </text>
    </comment>
    <comment ref="G24" authorId="1" shapeId="0" xr:uid="{39EC422A-4F86-42D7-AD70-6BC477742612}">
      <text>
        <t>[Threaded comment]
Your version of Excel allows you to read this threaded comment; however, any edits to it will get removed if the file is opened in a newer version of Excel. Learn more: https://go.microsoft.com/fwlink/?linkid=870924
Comment:
    Not reported yet</t>
      </text>
    </comment>
    <comment ref="G33" authorId="2" shapeId="0" xr:uid="{02710646-AA33-46E2-A5EC-62F1DF04B847}">
      <text>
        <t>[Threaded comment]
Your version of Excel allows you to read this threaded comment; however, any edits to it will get removed if the file is opened in a newer version of Excel. Learn more: https://go.microsoft.com/fwlink/?linkid=870924
Comment:
    Estimated</t>
      </text>
    </comment>
    <comment ref="G34" authorId="3" shapeId="0" xr:uid="{4D387E4A-A816-412D-9EAE-8498454F16E3}">
      <text>
        <t>[Threaded comment]
Your version of Excel allows you to read this threaded comment; however, any edits to it will get removed if the file is opened in a newer version of Excel. Learn more: https://go.microsoft.com/fwlink/?linkid=870924
Comment:
    Assume to be exactly D&amp;A expense</t>
      </text>
    </comment>
    <comment ref="A50" authorId="4" shapeId="0" xr:uid="{B474C3B4-D1B1-436D-B018-3C88AE1928AF}">
      <text>
        <t>[Threaded comment]
Your version of Excel allows you to read this threaded comment; however, any edits to it will get removed if the file is opened in a newer version of Excel. Learn more: https://go.microsoft.com/fwlink/?linkid=870924
Comment:
    Restricted Cash/Investments (Long-Term) + Other non-current assets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tc={CBAB680E-24A7-4EBF-8E04-F7ED4FAD4896}</author>
  </authors>
  <commentList>
    <comment ref="A10" authorId="0" shapeId="0" xr:uid="{CBAB680E-24A7-4EBF-8E04-F7ED4FAD4896}">
      <text>
        <t>[Threaded comment]
Your version of Excel allows you to read this threaded comment; however, any edits to it will get removed if the file is opened in a newer version of Excel. Learn more: https://go.microsoft.com/fwlink/?linkid=870924
Comment:
    Modeled and Paid with APIC</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<sst xmlns="http://schemas.openxmlformats.org/spreadsheetml/2006/main" count="2263" uniqueCount="1122">
  <si>
    <t>In Millions of USD except Per Share</t>
  </si>
  <si>
    <t>FY 2023</t>
  </si>
  <si>
    <t>FY 2024</t>
  </si>
  <si>
    <t>Last 12M</t>
  </si>
  <si>
    <t>FY 2025 Est</t>
  </si>
  <si>
    <t>FY 2026 Est</t>
  </si>
  <si>
    <t>12 Months Ending</t>
  </si>
  <si>
    <t>12/31/2023</t>
  </si>
  <si>
    <t>12/31/2024</t>
  </si>
  <si>
    <t>12/31/2025</t>
  </si>
  <si>
    <t>12/31/2026</t>
  </si>
  <si>
    <t>Revenue</t>
  </si>
  <si>
    <t>SALES_REV_TURN</t>
  </si>
  <si>
    <t>IS_SALES_AND_SERVICES_REVENUES</t>
  </si>
  <si>
    <t>IS_OTHER_REVENUE</t>
  </si>
  <si>
    <t>IS_COGS_TO_FE_AND_PP_AND_G</t>
  </si>
  <si>
    <t>Gross Profit</t>
  </si>
  <si>
    <t>GROSS_PROFIT</t>
  </si>
  <si>
    <t xml:space="preserve">  - Operating Expenses</t>
  </si>
  <si>
    <t>IS_OPERATING_EXPN</t>
  </si>
  <si>
    <t xml:space="preserve">    + Selling, General &amp; Admin</t>
  </si>
  <si>
    <t>IS_SGA_EXPENSE</t>
  </si>
  <si>
    <t xml:space="preserve">    + Selling &amp; Marketing</t>
  </si>
  <si>
    <t>IS_SELLING_EXPENSES</t>
  </si>
  <si>
    <t xml:space="preserve">    + General &amp; Administrative</t>
  </si>
  <si>
    <t>IS_GENERAL_AND_ADMINISTRATIVE</t>
  </si>
  <si>
    <t xml:space="preserve">    + Research &amp; Development</t>
  </si>
  <si>
    <t>IS_OPER_EXPENSES_RD_GAAP</t>
  </si>
  <si>
    <t xml:space="preserve">    + Prov For Doubtful Accts</t>
  </si>
  <si>
    <t>IS_PROVISION_DOUBTFUL_ACCOUNTS</t>
  </si>
  <si>
    <t>OTHER_OPERATING_EXPENSES_RATIO</t>
  </si>
  <si>
    <t>Operating Income (Loss)</t>
  </si>
  <si>
    <t>IS_OPER_INC</t>
  </si>
  <si>
    <t xml:space="preserve">  - Non-Operating (Income) Loss</t>
  </si>
  <si>
    <t>NONOP_INCOME_LOSS</t>
  </si>
  <si>
    <t xml:space="preserve">    + Interest Expense, Net</t>
  </si>
  <si>
    <t>IS_NET_INTEREST_EXPENSE</t>
  </si>
  <si>
    <t xml:space="preserve">    + Interest Expense</t>
  </si>
  <si>
    <t>IS_INT_EXPENSE</t>
  </si>
  <si>
    <t xml:space="preserve">    - Interest Income</t>
  </si>
  <si>
    <t>IS_INT_INC</t>
  </si>
  <si>
    <t xml:space="preserve">    + Other Investment (Inc) Loss</t>
  </si>
  <si>
    <t>IS_OTHER_INVESTMENT_INCOME_LOSS</t>
  </si>
  <si>
    <t>—</t>
  </si>
  <si>
    <t xml:space="preserve">    + Foreign Exch (Gain) Loss</t>
  </si>
  <si>
    <t>IS_FOREIGN_EXCH_LOSS</t>
  </si>
  <si>
    <t xml:space="preserve">    + Other Non-Op (Income) Loss</t>
  </si>
  <si>
    <t>OTHER_NONOP_INCOME_LOSS</t>
  </si>
  <si>
    <t>Pretax Income</t>
  </si>
  <si>
    <t>PRETAX_INC</t>
  </si>
  <si>
    <t xml:space="preserve">  - Income Tax Expense (Benefit)</t>
  </si>
  <si>
    <t>IS_INC_TAX_EXP</t>
  </si>
  <si>
    <t xml:space="preserve">    + Current Income Tax</t>
  </si>
  <si>
    <t>IS_CURRENT_INCOME_TAX_BENEFIT</t>
  </si>
  <si>
    <t xml:space="preserve">    + Deferred Income Tax</t>
  </si>
  <si>
    <t>IS_DEFERRED_INCOME_TAX_BENEFIT</t>
  </si>
  <si>
    <t xml:space="preserve">  - (Income) Loss from Affiliates</t>
  </si>
  <si>
    <t>IS_SH_PRO_EQY_MT_INV_NET_OF_TAX</t>
  </si>
  <si>
    <t>Income (Loss) from Cont Ops</t>
  </si>
  <si>
    <t>IS_INC_BEF_XO_ITEM</t>
  </si>
  <si>
    <t xml:space="preserve">  - Net Extraordinary Losses (Gains)</t>
  </si>
  <si>
    <t>XO_GL_NET_OF_TAX</t>
  </si>
  <si>
    <t xml:space="preserve">    + Discontinued Operations</t>
  </si>
  <si>
    <t>IS_DISCONTINUED_OPERATIONS</t>
  </si>
  <si>
    <t xml:space="preserve">    + XO &amp; Accounting Changes</t>
  </si>
  <si>
    <t>EXTRAORD_ITEMS_ACCOUNTING_CHANGS</t>
  </si>
  <si>
    <t>Income (Loss) Incl. MI</t>
  </si>
  <si>
    <t>NI_INCLUDING_MINORITY_INT_RATIO</t>
  </si>
  <si>
    <t xml:space="preserve">  - Minority Interest</t>
  </si>
  <si>
    <t>MIN_NONCONTROL_INTEREST_CREDITS</t>
  </si>
  <si>
    <t>Net Income, GAAP</t>
  </si>
  <si>
    <t>NET_INCOME</t>
  </si>
  <si>
    <t xml:space="preserve">  - Preferred Dividends</t>
  </si>
  <si>
    <t>IS_TOT_CASH_PFD_DVD</t>
  </si>
  <si>
    <t xml:space="preserve">  - Other Adjustments</t>
  </si>
  <si>
    <t>OTHER_ADJUSTMENTS</t>
  </si>
  <si>
    <t>Net Income Avail to Common, GAAP</t>
  </si>
  <si>
    <t>EARN_FOR_COMMON</t>
  </si>
  <si>
    <t>Net Income Avail to Common, Adj</t>
  </si>
  <si>
    <t xml:space="preserve">  Net Abnormal Losses (Gains)</t>
  </si>
  <si>
    <t>IS_NET_ABNORMAL_ITEMS</t>
  </si>
  <si>
    <t xml:space="preserve">  Net Extraordinary Losses (Gains)</t>
  </si>
  <si>
    <t>Basic Weighted Avg Shares</t>
  </si>
  <si>
    <t>IS_AVG_NUM_SH_FOR_EPS</t>
  </si>
  <si>
    <t>Basic EPS, GAAP</t>
  </si>
  <si>
    <t>IS_EPS</t>
  </si>
  <si>
    <t>Basic EPS from Cont Ops, GAAP</t>
  </si>
  <si>
    <t>IS_EARN_BEF_XO_ITEMS_PER_SH</t>
  </si>
  <si>
    <t>Basic EPS from Cont Ops, Adjusted</t>
  </si>
  <si>
    <t>IS_BASIC_EPS_CONT_OPS</t>
  </si>
  <si>
    <t>Diluted Weighted Avg Shares</t>
  </si>
  <si>
    <t>IS_SH_FOR_DILUTED_EPS</t>
  </si>
  <si>
    <t>Diluted EPS, GAAP</t>
  </si>
  <si>
    <t>IS_DILUTED_EPS</t>
  </si>
  <si>
    <t>Diluted EPS from Cont Ops, GAAP</t>
  </si>
  <si>
    <t>IS_DIL_EPS_BEF_XO</t>
  </si>
  <si>
    <t>Diluted EPS from Cont Ops, Adjusted</t>
  </si>
  <si>
    <t>IS_DIL_EPS_CONT_OPS</t>
  </si>
  <si>
    <t>Reference Items</t>
  </si>
  <si>
    <t>Accounting Standard</t>
  </si>
  <si>
    <t>ACCOUNTING_STANDARD</t>
  </si>
  <si>
    <t>US GAAP</t>
  </si>
  <si>
    <t>EBITDA</t>
  </si>
  <si>
    <t>EBITDA Margin (T12M)</t>
  </si>
  <si>
    <t>EBITDA_MARGIN</t>
  </si>
  <si>
    <t>EBITA</t>
  </si>
  <si>
    <t>EBIT</t>
  </si>
  <si>
    <t>Gross Margin</t>
  </si>
  <si>
    <t>GROSS_MARGIN</t>
  </si>
  <si>
    <t>Operating Margin</t>
  </si>
  <si>
    <t>OPER_MARGIN</t>
  </si>
  <si>
    <t>Profit Margin</t>
  </si>
  <si>
    <t>PROF_MARGIN</t>
  </si>
  <si>
    <t>Current Profit</t>
  </si>
  <si>
    <t>CUR_PROFIT_JAPAN</t>
  </si>
  <si>
    <t>Sales per Employee</t>
  </si>
  <si>
    <t>ACTUAL_SALES_PER_EMPL</t>
  </si>
  <si>
    <t>Dividends per Share</t>
  </si>
  <si>
    <t>EQY_DPS</t>
  </si>
  <si>
    <t>Total Cash Common Dividends</t>
  </si>
  <si>
    <t>IS_TOT_CASH_COM_DVD</t>
  </si>
  <si>
    <t>Depreciation Expense</t>
  </si>
  <si>
    <t>IS_DEPR_EXP</t>
  </si>
  <si>
    <t>Rental Expense</t>
  </si>
  <si>
    <t>BS_CURR_RENTAL_EXPENSE</t>
  </si>
  <si>
    <t>Source: Bloomberg</t>
  </si>
  <si>
    <t>Right click to show data transparency (not supported for all values)</t>
  </si>
  <si>
    <t>FY 2022</t>
  </si>
  <si>
    <t>Sea Ltd (SE US) - As Reported</t>
  </si>
  <si>
    <t>FY 2020</t>
  </si>
  <si>
    <t>FY 2021</t>
  </si>
  <si>
    <t>12/31/2020</t>
  </si>
  <si>
    <t>12/31/2021</t>
  </si>
  <si>
    <t>12/31/2022</t>
  </si>
  <si>
    <t>Income Statement</t>
  </si>
  <si>
    <t xml:space="preserve">  Revenues</t>
  </si>
  <si>
    <t>Other Revenue</t>
  </si>
  <si>
    <t>ARD_OTHER_REV</t>
  </si>
  <si>
    <t>Service Revenue</t>
  </si>
  <si>
    <t>ARD_SERVICE_REVENUE</t>
  </si>
  <si>
    <t>Total Revenue</t>
  </si>
  <si>
    <t>ARD_TOTAL_REVENUES</t>
  </si>
  <si>
    <t xml:space="preserve">  Operating Expenses</t>
  </si>
  <si>
    <t>Total Operating Expenses</t>
  </si>
  <si>
    <t>ARD_TOTAL_OPERATING_EXPENSES</t>
  </si>
  <si>
    <t>Cost of Goods Sold</t>
  </si>
  <si>
    <t>ARD_COST_OF_GOODS_SOLD</t>
  </si>
  <si>
    <t>R &amp; D Expenditures</t>
  </si>
  <si>
    <t>ARD_R&amp;D_EXPENDITURES</t>
  </si>
  <si>
    <t>Sales/Marketing/Advertising Expenses</t>
  </si>
  <si>
    <t>ARD_SALES_MKT_ADVERTISING_EXP</t>
  </si>
  <si>
    <t>Provision For Doubtful Accounts</t>
  </si>
  <si>
    <t>ARD_PROV_FOR_DOUBTFUL_ACCTS</t>
  </si>
  <si>
    <t>General and Administrative Expenses</t>
  </si>
  <si>
    <t>ARD_GENERAL_ADMINISTRATIVE_EXP</t>
  </si>
  <si>
    <t>ARD_GROSS_PROFITS</t>
  </si>
  <si>
    <t>Operating Income</t>
  </si>
  <si>
    <t>ARD_OPERATING_INCOME</t>
  </si>
  <si>
    <t>Impairment of Goodwill</t>
  </si>
  <si>
    <t>ARD_IMPAIRMENT_OF_GOODWILL</t>
  </si>
  <si>
    <t>Cost of Services</t>
  </si>
  <si>
    <t>ARD_COST_OF_SERVICES</t>
  </si>
  <si>
    <t>Other Cost of Revenues</t>
  </si>
  <si>
    <t>ARD_OTHER_COST_OF_REVENUES</t>
  </si>
  <si>
    <t>Other Operating (Income)/Expense - Net</t>
  </si>
  <si>
    <t>ARD_OTH_OPERATING_INC_EXP_NET</t>
  </si>
  <si>
    <t>Total Cost of Revenues</t>
  </si>
  <si>
    <t>ARD_TOT_COST_OF_REVENUES</t>
  </si>
  <si>
    <t xml:space="preserve">  Non-Operating Expenses</t>
  </si>
  <si>
    <t>Interest Expense</t>
  </si>
  <si>
    <t>ARD_INT_EXP</t>
  </si>
  <si>
    <t>Foreign Exchange</t>
  </si>
  <si>
    <t>ARD_FOREIGN_EXCHANGE</t>
  </si>
  <si>
    <t>Interest Income</t>
  </si>
  <si>
    <t>ARD_INT_INCOME</t>
  </si>
  <si>
    <t>Income Tax Expense (Benefit)</t>
  </si>
  <si>
    <t>ARD_INCOME_TAX_EXP_BENEFIT</t>
  </si>
  <si>
    <t>Income Before Income Taxes</t>
  </si>
  <si>
    <t>ARD_INCOME_BEFORE_INCOME_TAXES</t>
  </si>
  <si>
    <t>GL On Early Ext of Debt -Non-Op</t>
  </si>
  <si>
    <t>ARD_GL_ON_EARLY_EXT_DEBT_NON_OP</t>
  </si>
  <si>
    <t>(Gain)/Loss On Sale of Investments</t>
  </si>
  <si>
    <t>ARD_GL_ON_SALE_OF_INVESTMENTS</t>
  </si>
  <si>
    <t>Other Non-Operating (Income)/Expense - Net</t>
  </si>
  <si>
    <t>ARD_OTH_NON_OPER_INC_EXP_NET</t>
  </si>
  <si>
    <t>AT (Income) Loss Affiliates and Others</t>
  </si>
  <si>
    <t>ARD_AFTER_TAX_EQTY_METHOD_INVEST</t>
  </si>
  <si>
    <t xml:space="preserve">  Earnings</t>
  </si>
  <si>
    <t>Minority/Non Controlling Interest</t>
  </si>
  <si>
    <t>ARD_MINORITY_NONCONTROL_INTEREST</t>
  </si>
  <si>
    <t>Basic EPS</t>
  </si>
  <si>
    <t>ARD_BASIC_EPS</t>
  </si>
  <si>
    <t>Weighted Avg. Shares - Basic</t>
  </si>
  <si>
    <t>ARD_WEIGHTED_AVG_SHARES_BASIC</t>
  </si>
  <si>
    <t>Diluted EPS</t>
  </si>
  <si>
    <t>ARD_DILUTED_EPS</t>
  </si>
  <si>
    <t>Weighted Avg. Shares - Diluted</t>
  </si>
  <si>
    <t>ARD_WEIGHTED_AVG_SHARE_DILUTED</t>
  </si>
  <si>
    <t>Basic &amp; Diluted EPS</t>
  </si>
  <si>
    <t>ARD_BASIC_AND_DILUTED_EPS</t>
  </si>
  <si>
    <t>Weighted Avg. Shares - Basic &amp; Diluted</t>
  </si>
  <si>
    <t>ARD_WTD_AVG_SHS_BASIC_DILUTED</t>
  </si>
  <si>
    <t>Net Income Available For Common Shareholders</t>
  </si>
  <si>
    <t>ARD_NET_INC_AVAIL_COM_SHRHLDR</t>
  </si>
  <si>
    <t>Profit After Taxation Before Minority</t>
  </si>
  <si>
    <t>ARD_PROF_AFTER_TAX_BEF_MINORITY</t>
  </si>
  <si>
    <t>Cumulative Net Income</t>
  </si>
  <si>
    <t>ARD_CUMULATIVE_NET_INCOME</t>
  </si>
  <si>
    <t>Net Income</t>
  </si>
  <si>
    <t>ARD_NET_INC</t>
  </si>
  <si>
    <t xml:space="preserve">  Comprehensive Income</t>
  </si>
  <si>
    <t>Foreign Currency Translation Adjustments</t>
  </si>
  <si>
    <t>ARD_FOR_CRNCY_TRANSLATION_ADJ</t>
  </si>
  <si>
    <t>Unrealized Gain (Loss) On Securities</t>
  </si>
  <si>
    <t>ARD_UNREALIZED_GL_ON_SECS</t>
  </si>
  <si>
    <t>Reclassification Adjustments</t>
  </si>
  <si>
    <t>ARD_RECLASS_ADJUSTMENTS</t>
  </si>
  <si>
    <t>Total Comprehensive Income</t>
  </si>
  <si>
    <t>ARD_TOTAL_COMPREHENSIVE_INCOME</t>
  </si>
  <si>
    <t>Comprehensive Income Attrib to Minority Int</t>
  </si>
  <si>
    <t>ARD_COMPREHENSIVE_INC_ATTRIB_MI</t>
  </si>
  <si>
    <t>Net Income - Comprehensive Income</t>
  </si>
  <si>
    <t>ARD_COMPREHENSIVE_INCOME_NET_INC</t>
  </si>
  <si>
    <t xml:space="preserve">  Reference Items</t>
  </si>
  <si>
    <t>ARDR_DEPRECIATION_EXP</t>
  </si>
  <si>
    <t>Depreciation and Amortization</t>
  </si>
  <si>
    <t>ARDR_DEPRECIATION_AMORTIZATION</t>
  </si>
  <si>
    <t>ARDR_INT_EXP</t>
  </si>
  <si>
    <t>ARDR_FOREIGN_EXCHANGE</t>
  </si>
  <si>
    <t>ARDR_INT_INCOME</t>
  </si>
  <si>
    <t>Investment Income</t>
  </si>
  <si>
    <t>ARDR_INVESTMENT_INCOME</t>
  </si>
  <si>
    <t>ARDR_BASIC_EPS</t>
  </si>
  <si>
    <t>ARDR_WEIGHTED_AVG_SHARES_BASIC</t>
  </si>
  <si>
    <t>ARDR_DILUTED_EPS</t>
  </si>
  <si>
    <t>ARDR_WEIGHTED_AVG_SHARE_DILUTED</t>
  </si>
  <si>
    <t>Current Rental Expense</t>
  </si>
  <si>
    <t>ARDR_CURRENT_RENTAL_EXP</t>
  </si>
  <si>
    <t>Stock Based Compensation Expense</t>
  </si>
  <si>
    <t>ARDR_STK_BASED_COMPENSATION_EXP</t>
  </si>
  <si>
    <t>ARDR_BASIC_AND_DILUTED_EPS</t>
  </si>
  <si>
    <t>ARDR_WTD_AVG_SHS_BASIC_DILUTED</t>
  </si>
  <si>
    <t>Amortization of Intangible Assets</t>
  </si>
  <si>
    <t>ARDR_AMORT_OF_INTANGIBLE_ASSETS</t>
  </si>
  <si>
    <t>ARDR_GL_ON_EARLY_EXT_DEBT_NON_OP</t>
  </si>
  <si>
    <t>ARDR_IMPAIRMENT_OF_GOODWILL</t>
  </si>
  <si>
    <t>ARDR_GL_ON_SALE_OF_INVESTMENTS</t>
  </si>
  <si>
    <t>(Gain)/Loss On Sale of Business</t>
  </si>
  <si>
    <t>ARDR_GL_ON_SALE_OF_BUSINESS</t>
  </si>
  <si>
    <t>Current Income Tax Expense (Benefit)</t>
  </si>
  <si>
    <t>ARDR_CUR_INCOME_TAX_EXP_BENEFIT</t>
  </si>
  <si>
    <t>Deferred Income Tax Expense (Benefit)</t>
  </si>
  <si>
    <t>ARDR_DEFERRED_INC_TAX_EXP_BEN</t>
  </si>
  <si>
    <t>Net Inc Available For Common Shareholders</t>
  </si>
  <si>
    <t>ARDR_NET_INC_AVAIL_COM_SHRHLDR</t>
  </si>
  <si>
    <t>ARDR_OTH_NON_OPER_INC_EXP_NET</t>
  </si>
  <si>
    <t>Adjusted Net Income-As Reported</t>
  </si>
  <si>
    <t>ARD_ADJ_NET_INCOME_AS_REPORTED</t>
  </si>
  <si>
    <t>Amortization Of Leased Assets</t>
  </si>
  <si>
    <t>ARDR_AMORT_LEASED_ASSETS</t>
  </si>
  <si>
    <t>Total Fees Paid To Audit Firms</t>
  </si>
  <si>
    <t>ARDR_TOT_FEES_PAID_AUDIT_FIRMS</t>
  </si>
  <si>
    <t>Unrealized (Gain)/Loss From Secs Non-Op</t>
  </si>
  <si>
    <t>ARDR_UNREAL_GL_FROM_SECS_NON_OP</t>
  </si>
  <si>
    <t>Interest Element Of Finance Lease Payments</t>
  </si>
  <si>
    <t>ARDR_INT_ELEMENT_FIN_LEASE_PYMTS</t>
  </si>
  <si>
    <t>Auditor Expense - Audit</t>
  </si>
  <si>
    <t>ARDR_AUDITOR_EXP_AUDIT</t>
  </si>
  <si>
    <t>Auditor Expense - Non Audit</t>
  </si>
  <si>
    <t>ARDR_AUDITOR_EXP_NON_AUDIT</t>
  </si>
  <si>
    <t>Loss/(Recovery) Impair Intangible Assets</t>
  </si>
  <si>
    <t>ARDR_LOSS_RECOVERY_IMPAIR_INTANG</t>
  </si>
  <si>
    <t>Statutory Tax Rate - %</t>
  </si>
  <si>
    <t>ARDR_STATUTORY_TAX_RATE_PCT</t>
  </si>
  <si>
    <t>ARDR Goodwill Impairment After Tax</t>
  </si>
  <si>
    <t>ARDR_GOODWILL_IMPAIRMENT_AFT_TAX</t>
  </si>
  <si>
    <t>Stock-Based Compensation Attrib to R&amp;D</t>
  </si>
  <si>
    <t>ARDR_STOCK_BASED_CMPNSTN_IN_R&amp;D</t>
  </si>
  <si>
    <t>Stock-Based Compensation Attrib to COGS</t>
  </si>
  <si>
    <t>ARDR_STOCK_BASED_CMPNSTN_IN_COGS</t>
  </si>
  <si>
    <t>Non-GAAP Revenue</t>
  </si>
  <si>
    <t>ARDR_NON_GAAP_REVENUE</t>
  </si>
  <si>
    <t>ARDR Revenue Growth</t>
  </si>
  <si>
    <t>ARDR_REVENUE_GROWTH</t>
  </si>
  <si>
    <t>ARDR Stock Based Compensation Attributable to G&amp;AE</t>
  </si>
  <si>
    <t>ARDR_STK_BSD_COMP_ATTRIB_TO_G&amp;AE</t>
  </si>
  <si>
    <t>ARDR Stk Bsd Comp Attrib to Selling and Marketing</t>
  </si>
  <si>
    <t>ARDR_STK_BSD_COM_ATT_TO_S&amp;M</t>
  </si>
  <si>
    <t>ARDR Stock Based Compensation CF Pre Tax</t>
  </si>
  <si>
    <t>ARDR_STK_BSD_CMPNSTN_CF_PRE_TAX</t>
  </si>
  <si>
    <t>EBITDA Adjusted (One Time Items)</t>
  </si>
  <si>
    <t>ARDR_ADJUSTED_EBITDA</t>
  </si>
  <si>
    <t xml:space="preserve">  + Other Operating Expense (Income)</t>
  </si>
  <si>
    <t>Rental / Operating Lease Expense</t>
  </si>
  <si>
    <t>EBITDA (Incl. Operating Lease Expense)</t>
  </si>
  <si>
    <t>Balance Sheet</t>
  </si>
  <si>
    <t xml:space="preserve">  Current Assets</t>
  </si>
  <si>
    <t>Cash and Equivalents</t>
  </si>
  <si>
    <t>ARD_CASH_AND_EQUIVALENTS</t>
  </si>
  <si>
    <t>Accounts Receivable - Trade</t>
  </si>
  <si>
    <t>ARD_ACCTS_RECEIVABLE_TRADE</t>
  </si>
  <si>
    <t>Inventories</t>
  </si>
  <si>
    <t>ARD_INVENTORY</t>
  </si>
  <si>
    <t>Prepaid Expenses (Short-Term)</t>
  </si>
  <si>
    <t>ARD_PREPAID_EXPENSES_ST</t>
  </si>
  <si>
    <t>Restricted Cash (Short-Term)</t>
  </si>
  <si>
    <t>ARD_RESTRICTED_CASH_ST</t>
  </si>
  <si>
    <t>Allowance For Doubtful Accounts</t>
  </si>
  <si>
    <t>ARD_ALLOW_FOR_DOUBTFUL_ACCTS</t>
  </si>
  <si>
    <t>Short-Term Investments</t>
  </si>
  <si>
    <t>ARD_ST_INVEST</t>
  </si>
  <si>
    <t>Due From Parties/Affiliates (Short-Term)</t>
  </si>
  <si>
    <t>ARD_DUE_FROM_PARTIES_AFF_ST</t>
  </si>
  <si>
    <t>Short-Term Loans</t>
  </si>
  <si>
    <t>ARD_ST_LOANS</t>
  </si>
  <si>
    <t>Total Current Assets</t>
  </si>
  <si>
    <t>ARD_TOTAL_CUR_ASSETS</t>
  </si>
  <si>
    <t xml:space="preserve">  Noncurrent Assets</t>
  </si>
  <si>
    <t>Long Term Investments</t>
  </si>
  <si>
    <t>ARD_LT_INVEST</t>
  </si>
  <si>
    <t>Property Plant &amp; Equipment - Net</t>
  </si>
  <si>
    <t>ARD_PROPERTY_PLANT_EQUIP_NET</t>
  </si>
  <si>
    <t>Deferred Income Tax Asset (Long-Term)</t>
  </si>
  <si>
    <t>ARD_DEFERRED_INC_TAX_ASSET_LT</t>
  </si>
  <si>
    <t>Other Intangible Assets</t>
  </si>
  <si>
    <t>ARD_OTHER_INTANGIBLE_ASSET</t>
  </si>
  <si>
    <t>Goodwill</t>
  </si>
  <si>
    <t>ARD_GOODWLL</t>
  </si>
  <si>
    <t>Restricted Cash/Investments (Long-Term)</t>
  </si>
  <si>
    <t>ARD_RESTRICTED_CASH_INVEST_LT</t>
  </si>
  <si>
    <t>Other Noncurrent Assets</t>
  </si>
  <si>
    <t>ARD_OTHER_NONCURRENT_ASSET</t>
  </si>
  <si>
    <t>Prepaid Expenses (Long-Term)</t>
  </si>
  <si>
    <t>ARD_PREPAID_EXPENSES_LT</t>
  </si>
  <si>
    <t>Total Non-Current Assets</t>
  </si>
  <si>
    <t>ARD_TOTAL_NONCURRENT_ASSETS</t>
  </si>
  <si>
    <t>Total Assets</t>
  </si>
  <si>
    <t>ARD_TOT_ASSETS</t>
  </si>
  <si>
    <t xml:space="preserve">  Current Liabilities</t>
  </si>
  <si>
    <t>Accounts Payable - Trade</t>
  </si>
  <si>
    <t>ARD_ACCOUNTS_PAYABLE_TRADE</t>
  </si>
  <si>
    <t>Accrued Expenses</t>
  </si>
  <si>
    <t>ARD_ACCRUED_EXPENSES</t>
  </si>
  <si>
    <t>Deferred/Unearned Revenue (Short-Term)</t>
  </si>
  <si>
    <t>ARD_DEFERRED_UNEARNED_REV_ST</t>
  </si>
  <si>
    <t>Other Current Liabilities</t>
  </si>
  <si>
    <t>ARD_OTHER_CURRENT_LIABILITIES</t>
  </si>
  <si>
    <t>Income Taxes Accrued/Payable</t>
  </si>
  <si>
    <t>ARD_INCOME_TAX_ACCRUED_PAYABLE</t>
  </si>
  <si>
    <t>Short Term Operating Lease Liabilities</t>
  </si>
  <si>
    <t>ARD_ST_OPERATING_LEASE_LIABS</t>
  </si>
  <si>
    <t>Due To Parties/Affiliates</t>
  </si>
  <si>
    <t>ARD_DUE_TO_PARTIES_AFFILIATES</t>
  </si>
  <si>
    <t>ST Borrowings and Current Portion of LT Debt</t>
  </si>
  <si>
    <t>ARD_ST_BORROW_CUR_POR_LT_DEBT</t>
  </si>
  <si>
    <t>Notes Payable - Current Portion</t>
  </si>
  <si>
    <t>ARD_NOTES_PAYABLE_CUR_PORTION</t>
  </si>
  <si>
    <t>Convertible Debt</t>
  </si>
  <si>
    <t>ARD_CONVERT_DEBT</t>
  </si>
  <si>
    <t>Total Current Liabilities</t>
  </si>
  <si>
    <t>ARD_TOTAL_CURRENT_LIABILITIES</t>
  </si>
  <si>
    <t xml:space="preserve">  Non Current Liabilities</t>
  </si>
  <si>
    <t>Total Noncurrent Liabilities</t>
  </si>
  <si>
    <t>ARD_TOT_NONCURRENT_LIABILITIES</t>
  </si>
  <si>
    <t>Notes Payable (Long-Term)</t>
  </si>
  <si>
    <t>ARD_NOTES_PAYABLE_LT</t>
  </si>
  <si>
    <t>Long Term Debt</t>
  </si>
  <si>
    <t>ARD_LT_DEBT</t>
  </si>
  <si>
    <t>Mandatory Redeemable Preferred (Long-Term)</t>
  </si>
  <si>
    <t>ARD_MANDATORY_REDEEM_PFD_LT</t>
  </si>
  <si>
    <t>Deferred Income Taxes (Liabilities)</t>
  </si>
  <si>
    <t>ARD_DEFERRED_INCOME_TAXES_LIAB</t>
  </si>
  <si>
    <t>Deferred/Unearned Revenue (Long-Term)</t>
  </si>
  <si>
    <t>ARD_DEFERRED_UNEARNED_REV_LT</t>
  </si>
  <si>
    <t>Other Noncurrent Liabilities</t>
  </si>
  <si>
    <t>ARD_OTH_NONCURRENT_LIABILITIES</t>
  </si>
  <si>
    <t>Long Term Operating Lease Liabilities</t>
  </si>
  <si>
    <t>ARD_LT_OPERATING_LEASE_LIABS</t>
  </si>
  <si>
    <t>Accrued Expenses (Long-Term)</t>
  </si>
  <si>
    <t>ARD_ACCRUED_EXPENSES_LT</t>
  </si>
  <si>
    <t>Total Liabilities</t>
  </si>
  <si>
    <t>ARD_TOT_LIABILITIES</t>
  </si>
  <si>
    <t xml:space="preserve">  Stockholder Equity</t>
  </si>
  <si>
    <t>Minority/Non Controlling Int (Stckhldrs Eqty)</t>
  </si>
  <si>
    <t>ARD_MIN_NONCONTROL_INT_SE</t>
  </si>
  <si>
    <t>Common Stock</t>
  </si>
  <si>
    <t>ARD_COMMON_STOCK</t>
  </si>
  <si>
    <t>Additional Paid In Capital</t>
  </si>
  <si>
    <t>ARD_ADDITIONAL_PAID_IN_CAPITAL</t>
  </si>
  <si>
    <t>Accumulated Other Comprehensive Income</t>
  </si>
  <si>
    <t>ARD_ACC_OTH_COMPREHENSIVE_INC</t>
  </si>
  <si>
    <t>Retained Earnings (Accumulated Deficit)</t>
  </si>
  <si>
    <t>ARD_RETAINED_EARN_ACC_DEFICIT</t>
  </si>
  <si>
    <t>Shares Outstanding</t>
  </si>
  <si>
    <t>ARD_SHARES_OUTSTANDING</t>
  </si>
  <si>
    <t>Par Value</t>
  </si>
  <si>
    <t>ARD_PAR_VALUE</t>
  </si>
  <si>
    <t>Total Shareholders Equity</t>
  </si>
  <si>
    <t>ARD_TOTAL_SHAREHOLDERS_EQUITY</t>
  </si>
  <si>
    <t>Other Reserve</t>
  </si>
  <si>
    <t>ARD_OTHER_RESERVE</t>
  </si>
  <si>
    <t>Shares Authorized</t>
  </si>
  <si>
    <t>ARD_SHARES_AUTHORIZED</t>
  </si>
  <si>
    <t>Total Shareholders Equity Excluding Minority</t>
  </si>
  <si>
    <t>ARD_TOT_SHARE_EQY_EXCL_MINORITY</t>
  </si>
  <si>
    <t>Total Liabilities and Shareholders Equity</t>
  </si>
  <si>
    <t>ARD_TOT_LIAB_AND_SHAREHOLDER_EQY</t>
  </si>
  <si>
    <t xml:space="preserve">  Liabilities</t>
  </si>
  <si>
    <t>ARDR Number of RSU Beginning of the Period</t>
  </si>
  <si>
    <t>ARDR_NUM_OF_RSU_BEGIN_OF_PER</t>
  </si>
  <si>
    <t>ARDR Number of Restricted Stock Units Granted</t>
  </si>
  <si>
    <t>ARDR_NUMBER_OF_RSU_GRANTED</t>
  </si>
  <si>
    <t>ARDR Number of Restricted Stock Units Vested</t>
  </si>
  <si>
    <t>ARDR_NUMBER_OF_RSU_VESTED</t>
  </si>
  <si>
    <t>ARDR Number of RSU Forfeited Canceled</t>
  </si>
  <si>
    <t>ARDR_NUMBER_OF_RSU_FORFTD_CANCLD</t>
  </si>
  <si>
    <t>Prepaid Expenses (ST)</t>
  </si>
  <si>
    <t>ARDR_PREPAID_EXPENSES_ST</t>
  </si>
  <si>
    <t>Land</t>
  </si>
  <si>
    <t>ARDR_LAND</t>
  </si>
  <si>
    <t>Buildings</t>
  </si>
  <si>
    <t>ARDR_BUILDING</t>
  </si>
  <si>
    <t>Leasehold Improvements</t>
  </si>
  <si>
    <t>ARDR_LEASEHOLD_IMPROVEMENTS</t>
  </si>
  <si>
    <t>Construction In Progress</t>
  </si>
  <si>
    <t>ARDR_CONSTRUCTION_IN_PROGRESS</t>
  </si>
  <si>
    <t>Furniture/Machinery/Equipment</t>
  </si>
  <si>
    <t>ARDR_FURNITURE_MACHINERY_EQUIP</t>
  </si>
  <si>
    <t>Property Plant &amp; Equipment - Gross</t>
  </si>
  <si>
    <t>ARDR_PROPERTY_PLANT_EQUIP_GROSS</t>
  </si>
  <si>
    <t>Accumulated Depreciation</t>
  </si>
  <si>
    <t>ARDR_ACCUMULATED_DEPREC</t>
  </si>
  <si>
    <t>ARDR_PROPERTY_PLANT_EQUIP_NET</t>
  </si>
  <si>
    <t>Total Intangible Assets - Net</t>
  </si>
  <si>
    <t>ARDR_TOTAL_INTANGIBLE_ASSET_NET</t>
  </si>
  <si>
    <t>ARDR_OTHER_INTANGIBLE_ASSET</t>
  </si>
  <si>
    <t>Patents/Trademarks/Copyrights</t>
  </si>
  <si>
    <t>ARDR_PATENTS_TRADEMRK_COPYRIGHT</t>
  </si>
  <si>
    <t>Min/Non Cntrlling Int(Stckhldrs Eqty)</t>
  </si>
  <si>
    <t>ARDR_MIN_NONCONTROL_INT_SE</t>
  </si>
  <si>
    <t>ARDR_COMMON_STOCK</t>
  </si>
  <si>
    <t>ARDR_ADDITIONAL_PAID_IN_CAPITAL</t>
  </si>
  <si>
    <t>ARDR_ACC_OTH_COMPREHENSIVE_INC</t>
  </si>
  <si>
    <t>ARDR_RETAINED_EARN_ACC_DEFICIT</t>
  </si>
  <si>
    <t>ARDR_SHARES_OUTSTANDING</t>
  </si>
  <si>
    <t>ARDR_PAR_VALUE</t>
  </si>
  <si>
    <t>Other Gross Fixed Assets</t>
  </si>
  <si>
    <t>ARDR_OTHER_GROSS_FIXED_ASSETS</t>
  </si>
  <si>
    <t>Future Minimum Operating Lease Obligations</t>
  </si>
  <si>
    <t>ARDR_FUT_MIN_OPER_LEASE_OBLIG</t>
  </si>
  <si>
    <t>Rental Expense - Year 1</t>
  </si>
  <si>
    <t>ARDR_RENTAL_EXP_YR1</t>
  </si>
  <si>
    <t>Rental Expense - Year 2</t>
  </si>
  <si>
    <t>ARDR_RENTAL_EXP_YR2</t>
  </si>
  <si>
    <t>Rental Expense - Year 3</t>
  </si>
  <si>
    <t>ARDR_RENTAL_EXP_YR3</t>
  </si>
  <si>
    <t>Rental Expense - Year 4</t>
  </si>
  <si>
    <t>ARDR_RENTAL_EXP_YR4</t>
  </si>
  <si>
    <t>Rental Expense - Year 5</t>
  </si>
  <si>
    <t>ARDR_RENTAL_EXP_YR5</t>
  </si>
  <si>
    <t>Rental Expense - Beyond Year 5</t>
  </si>
  <si>
    <t>ARDR_RENTAL_EXP_BEYOND_YR5</t>
  </si>
  <si>
    <t>Deferred Tax Assets (LT)</t>
  </si>
  <si>
    <t>ARDR_DEFERRED_TAX_ASSETS_LT</t>
  </si>
  <si>
    <t>ARDR_ALLOW_FOR_DOUBTFUL_ACCTS</t>
  </si>
  <si>
    <t>Capitalized Software - Net</t>
  </si>
  <si>
    <t>ARDR_CAPITALIZED_SOFTWARE_NET</t>
  </si>
  <si>
    <t>ARDR_TOTAL_SHAREHOLDERS_EQUITY</t>
  </si>
  <si>
    <t>Prepaid Expenses (LT)</t>
  </si>
  <si>
    <t>ARDR_PREPAID_EXPENSES_LT</t>
  </si>
  <si>
    <t>Number of Employees</t>
  </si>
  <si>
    <t>ARDR_NUMBER_EMPLOYEES</t>
  </si>
  <si>
    <t>Accrued Expenses (LT)</t>
  </si>
  <si>
    <t>ARDR_ACCRUED_EXPENSES_LT</t>
  </si>
  <si>
    <t>Shares Outstanding From The Front Cover</t>
  </si>
  <si>
    <t>ARDR_SHARE_OUT_FROM_FRONT_COVER</t>
  </si>
  <si>
    <t>Licenses</t>
  </si>
  <si>
    <t>ARDR_LICENSES</t>
  </si>
  <si>
    <t>Options Granted During Period</t>
  </si>
  <si>
    <t>ARDR_OPTIONS_GRANTED_DURING_PER</t>
  </si>
  <si>
    <t>Options Outstanding End Period</t>
  </si>
  <si>
    <t>ARDR_OPTIONS_OUTSTANDING_END_PER</t>
  </si>
  <si>
    <t>ARDR_OTHER_RESERVE</t>
  </si>
  <si>
    <t>Total Shareholder Equity Excludes Minority</t>
  </si>
  <si>
    <t>ARDR_TOT_SHARE_EQY_EXCL_MINORITY</t>
  </si>
  <si>
    <t>Options Exercised During the Period</t>
  </si>
  <si>
    <t>ARDR_OPTIONS_EXERCISED_DUR_PER</t>
  </si>
  <si>
    <t>Purchase Obligations</t>
  </si>
  <si>
    <t>ARDR_PURCHASE_OBLIGATIONS</t>
  </si>
  <si>
    <t>Fair Value Assets Recur - Level 1</t>
  </si>
  <si>
    <t>ARDR_FV_ASSETS_REC_LEVEL_1</t>
  </si>
  <si>
    <t>Fair Value Assets Recur - Level 2</t>
  </si>
  <si>
    <t>ARDR_FV_ASSETS_REC_LEVEL_2</t>
  </si>
  <si>
    <t>Fair Value Assets Recur - Level 3</t>
  </si>
  <si>
    <t>ARDR_FV_ASSETS_REC_LEVEL_3</t>
  </si>
  <si>
    <t>Fair Value Assets Recur - Total</t>
  </si>
  <si>
    <t>ARDR_FV_ASSETS_REC_TOTAL</t>
  </si>
  <si>
    <t>Fair Value Liab Recur - Level 1</t>
  </si>
  <si>
    <t>ARDR_FV_LIAB_REC_LEVEL_1</t>
  </si>
  <si>
    <t>Fair Value Liab Recur - Level 2</t>
  </si>
  <si>
    <t>ARDR_FV_LIAB_REC_LEVEL_2</t>
  </si>
  <si>
    <t>Fair Value Liab Recur - Level 3</t>
  </si>
  <si>
    <t>ARDR_FV_LIAB_REC_LEVEL_3</t>
  </si>
  <si>
    <t>Fair Value Liab Recur - Total</t>
  </si>
  <si>
    <t>ARDR_FV_LIAB_REC_TOTAL</t>
  </si>
  <si>
    <t>Contractual Obligations - Year 1</t>
  </si>
  <si>
    <t>ARDR_CONTRACTUAL_OBLIG_YEAR_1</t>
  </si>
  <si>
    <t>Contractual Obligations Years - 2 &amp; 3</t>
  </si>
  <si>
    <t>ARDR_CONTRACTUAL_OBLIG_YEAR_2_3</t>
  </si>
  <si>
    <t>Contractual Obligations Years - 4 &amp; 5</t>
  </si>
  <si>
    <t>ARDR_CONTRACTUAL_OBLIG_YEAR_4_5</t>
  </si>
  <si>
    <t>Contractual Obligations - Beyond Year 5</t>
  </si>
  <si>
    <t>ARDR_CONT_OBLIG_BEYOND_YEAR_5</t>
  </si>
  <si>
    <t>Total Contractual Obligations</t>
  </si>
  <si>
    <t>ARDR_CONTRACTUAL_OBLIG_TOTAL</t>
  </si>
  <si>
    <t>Capital Lease Year 1</t>
  </si>
  <si>
    <t>ARDR_CAPITAL_LEASE_YEAR_1</t>
  </si>
  <si>
    <t>Capital Lease Year 2</t>
  </si>
  <si>
    <t>ARDR_CAPITAL_LEASE_YEAR_2</t>
  </si>
  <si>
    <t>Capital Lease Year 3</t>
  </si>
  <si>
    <t>ARDR_CAPITAL_LEASE_YEAR_3</t>
  </si>
  <si>
    <t>Capital Lease Year 4</t>
  </si>
  <si>
    <t>ARDR_CAPITAL_LEASE_YEAR_4</t>
  </si>
  <si>
    <t>Capital Lease Year 5</t>
  </si>
  <si>
    <t>ARDR_CAPITAL_LEASE_YEAR_5</t>
  </si>
  <si>
    <t>Capital Lease Beyond Year 5</t>
  </si>
  <si>
    <t>ARDR_CAPITAL_LEASE_BEYOND_YEAR_5</t>
  </si>
  <si>
    <t>Total Capital Lease</t>
  </si>
  <si>
    <t>ARDR_TOTAL_CAPITAL_LEASE</t>
  </si>
  <si>
    <t>Rental Expense - Years 2 - 3</t>
  </si>
  <si>
    <t>ARDR_RENTAL_EXPENSE_YEARS_2_3</t>
  </si>
  <si>
    <t>Rental Expense - Years 4 - 5</t>
  </si>
  <si>
    <t>ARDR_RENTAL_EXPENSE_YEARS_4_5</t>
  </si>
  <si>
    <t>PV of Future Min Op Lease Obligations</t>
  </si>
  <si>
    <t>ARDR_PV_FUTURE_MIN_OP_LEASE_OBL</t>
  </si>
  <si>
    <t>Stock Opt Valuation - Dividend Yield (%)</t>
  </si>
  <si>
    <t>ARDR_STOCK_OPTION_VAL_DVD_YLD</t>
  </si>
  <si>
    <t>Avg Exercise Price (Options Exercisable)</t>
  </si>
  <si>
    <t>ARDR_AVG_EXER_PX_OPT_EXERCISABLE</t>
  </si>
  <si>
    <t>Avg Exercise Price (Options Outstanding)</t>
  </si>
  <si>
    <t>ARDR_AVG_EXER_PX_OPT_OUTSTANDING</t>
  </si>
  <si>
    <t>Options Exercisable End of Period</t>
  </si>
  <si>
    <t>ARDR_OPTIONS_EXERCISABLE</t>
  </si>
  <si>
    <t>Capital Lease Interest</t>
  </si>
  <si>
    <t>ARD_CAPITAL_LEASE_INTEREST</t>
  </si>
  <si>
    <t>FV Assets Rec L1: Cash and Securities</t>
  </si>
  <si>
    <t>ARDR_FV_ASSETS_REC_L1_CASH_SECS</t>
  </si>
  <si>
    <t>FV Assets Rec L1: Fed Funds Sold</t>
  </si>
  <si>
    <t>ARDR_FV_ASTS_REC_L1_FF_SLD</t>
  </si>
  <si>
    <t>FV Assets Rec L1: Derivatives</t>
  </si>
  <si>
    <t>ARDR_FV_ASTS_REC_L1_DERIVATIVES</t>
  </si>
  <si>
    <t>FV Assets Rec L1: Other</t>
  </si>
  <si>
    <t>ARDR_FV_ASSETS_REC_L1_OTHER</t>
  </si>
  <si>
    <t>FV Assets Rec L2: Cash and Securities</t>
  </si>
  <si>
    <t>ARDR_FV_ASTS_REC_L2_CASH_SECS</t>
  </si>
  <si>
    <t>FV Assets Rec L2: Fed Funds Sold</t>
  </si>
  <si>
    <t>ARDR_FV_ASTS_REC_L2_FF_SLD</t>
  </si>
  <si>
    <t>FV Assets Rec L2: Derivatives</t>
  </si>
  <si>
    <t>ARDR_FV_ASTS_REC_L2_DERIVATIVES</t>
  </si>
  <si>
    <t>FV Assets Rec L2: Other</t>
  </si>
  <si>
    <t>ARDR_FV_ASSETS_REC_L2_OTH</t>
  </si>
  <si>
    <t>FV Assets Rec L3: Cash and Sec</t>
  </si>
  <si>
    <t>ARDR_FV_ASTS_REC_L3_CASH_SECS</t>
  </si>
  <si>
    <t>FV Assets Rec L3: Fed Funds Sold</t>
  </si>
  <si>
    <t>ARDR_FV_ASTS_REC_L3_FF_SLD</t>
  </si>
  <si>
    <t>FV Assets Rec L3: Derivatives</t>
  </si>
  <si>
    <t>ARDR_FV_ASTS_REC_L3_DERIVATIVES</t>
  </si>
  <si>
    <t>FV Assets Rec L3: Other</t>
  </si>
  <si>
    <t>ARDR_FV_ASSETS_REC_L3_OTHER</t>
  </si>
  <si>
    <t>FV Assets Rec Total: Fed Funds Sold</t>
  </si>
  <si>
    <t>ARDR_FV_ASTS_REC_TOT_FF_SLD</t>
  </si>
  <si>
    <t>FV Assets Rec Total: Derivatives</t>
  </si>
  <si>
    <t>ARDR_FV_ASTS_REC_TOT_DERIVATIVES</t>
  </si>
  <si>
    <t>FV Assets Rec Total: Other</t>
  </si>
  <si>
    <t>ARDR_FV_ASSETS_REC_TOT_OTHER</t>
  </si>
  <si>
    <t>FV Liabs Rec L1: Derivatives</t>
  </si>
  <si>
    <t>ARDR_FV_LIABS_REC_L1_DERIVATIVES</t>
  </si>
  <si>
    <t>FV Liabs Rec L1: Other</t>
  </si>
  <si>
    <t>ARDR_FV_LIABS_REC_L1_OTHER</t>
  </si>
  <si>
    <t>FV Liabs Rec L2: Derivatives</t>
  </si>
  <si>
    <t>ARDR_FV_LIABS_REC_L2_DERIVATIVES</t>
  </si>
  <si>
    <t>FV Liabs Rec L2: Other</t>
  </si>
  <si>
    <t>ARDR_FV_LIABS_REC_L2_OTHER</t>
  </si>
  <si>
    <t>FV Liabs Rec L3: Derivatives</t>
  </si>
  <si>
    <t>ARDR_FV_LIABS_REC_L3_DERIVATIVES</t>
  </si>
  <si>
    <t>FV Liabs Rec L3: Other</t>
  </si>
  <si>
    <t>ARDR_FV_LIABS_REC_L3_OTHER</t>
  </si>
  <si>
    <t>FV Liabs Rec Total: Derivatives</t>
  </si>
  <si>
    <t>ARDR_FV_LIABS_REC_TOT_DERV</t>
  </si>
  <si>
    <t>FV Liabs Rec Total: Other</t>
  </si>
  <si>
    <t>ARDR_FV_LIABS_REC_TOT_OTHER</t>
  </si>
  <si>
    <t>Options at Beginning of Period</t>
  </si>
  <si>
    <t>ARDR_OPTIONS_BEGINNING_OF_PERIOD</t>
  </si>
  <si>
    <t>Options Cancelled Forfeited or Expired</t>
  </si>
  <si>
    <t>ARDR_OPTIONS_CANCEL_FORFEIT_EXP</t>
  </si>
  <si>
    <t>As Reported Data Reference Restricted Stock Units</t>
  </si>
  <si>
    <t>ARDR_RESTRICTED_STOCK_UNITS</t>
  </si>
  <si>
    <t>ARDR Restricted Stock Unit WAvg FV PS</t>
  </si>
  <si>
    <t>ARDR_RSTR_STK_UNIT_WAVG_FV_PS</t>
  </si>
  <si>
    <t>Shareholder - Equity - Beginning Period</t>
  </si>
  <si>
    <t>ARDR_SHARHLDR_EQY_BEGIN_PERIOD</t>
  </si>
  <si>
    <t>Stock Option Valuation - RFR % - Low</t>
  </si>
  <si>
    <t>ARDR_STK_OPT_VALN_RFR_PCT_LO</t>
  </si>
  <si>
    <t>Stock Option Valuation - RFR % - High</t>
  </si>
  <si>
    <t>ARDR_STK_OPT_VALN_RFR_PCT_HI</t>
  </si>
  <si>
    <t>Stock Opt Val - Expected Life Years - Low</t>
  </si>
  <si>
    <t>ARDR_STK_OPT_VALN_EXPCTD_LF_Y_LO</t>
  </si>
  <si>
    <t>Stock Opt Val - Expected Life Years - High</t>
  </si>
  <si>
    <t>ARDR_STK_OPT_VALN_EXPCTD_LF_Y_HI</t>
  </si>
  <si>
    <t>Stock Opt Val - Expctd Volatility % - Low</t>
  </si>
  <si>
    <t>ARDR_STK_OPT_VALN_EXP_VOL_PCT_LO</t>
  </si>
  <si>
    <t>Stock Opt Val - Expctd Volatility % - High</t>
  </si>
  <si>
    <t>ARDR_STK_OPT_VALN_EXP_VOL_PCT_HI</t>
  </si>
  <si>
    <t>Sea Ltd (SE US) - Standardized</t>
  </si>
  <si>
    <t xml:space="preserve">  + Cash, Cash Equivalents &amp; STI</t>
  </si>
  <si>
    <t>CASH_CASH_EQTY_STI_DETAILED</t>
  </si>
  <si>
    <t xml:space="preserve">    + Cash &amp; Cash Equivalents</t>
  </si>
  <si>
    <t>BS_CASH_NEAR_CASH_ITEM</t>
  </si>
  <si>
    <t xml:space="preserve">    + ST Investments</t>
  </si>
  <si>
    <t>BS_MKT_SEC_OTHER_ST_INVEST</t>
  </si>
  <si>
    <t xml:space="preserve">  + Accounts &amp; Notes Receiv</t>
  </si>
  <si>
    <t>BS_ACCT_NOTE_RCV</t>
  </si>
  <si>
    <t xml:space="preserve">    + Accounts Receivable, Net</t>
  </si>
  <si>
    <t>BS_ACCTS_REC_EXCL_NOTES_REC</t>
  </si>
  <si>
    <t xml:space="preserve">    + Notes Receivable, Net</t>
  </si>
  <si>
    <t>NOTES_RECEIVABLE</t>
  </si>
  <si>
    <t xml:space="preserve">  + Inventories</t>
  </si>
  <si>
    <t>BS_INVENTORIES</t>
  </si>
  <si>
    <t xml:space="preserve">  + Other ST Assets</t>
  </si>
  <si>
    <t>OTHER_CURRENT_ASSETS_DETAILED</t>
  </si>
  <si>
    <t xml:space="preserve">    + Prepaid Expenses</t>
  </si>
  <si>
    <t>BS_PREPAY</t>
  </si>
  <si>
    <t xml:space="preserve">    + Derivative &amp; Hedging Assets</t>
  </si>
  <si>
    <t>BS_DERIV_HEDGING_ASST_ST</t>
  </si>
  <si>
    <t xml:space="preserve">    + Misc ST Assets</t>
  </si>
  <si>
    <t>BS_OTHER_CUR_ASSET_LESS_PREPAY</t>
  </si>
  <si>
    <t>BS_CUR_ASSET_REPORT</t>
  </si>
  <si>
    <t>BS_NET_FIX_ASSET</t>
  </si>
  <si>
    <t>BS_GROSS_FIX_ASSET</t>
  </si>
  <si>
    <t>BS_ACCUM_DEPR</t>
  </si>
  <si>
    <t xml:space="preserve">  + LT Investments &amp; Receivables</t>
  </si>
  <si>
    <t>BS_LT_INVEST</t>
  </si>
  <si>
    <t xml:space="preserve">    + LT Investments</t>
  </si>
  <si>
    <t>BS_LONG_TERM_INVESTMENTS</t>
  </si>
  <si>
    <t xml:space="preserve">  + Other LT Assets</t>
  </si>
  <si>
    <t>BS_OTHER_ASSETS_DEF_CHRG_OTHER</t>
  </si>
  <si>
    <t>BS_DISCLOSED_INTANGIBLES</t>
  </si>
  <si>
    <t xml:space="preserve">    + Goodwill</t>
  </si>
  <si>
    <t>OTHER_INTANGIBLE_ASSETS_DETAILED</t>
  </si>
  <si>
    <t xml:space="preserve">    + Prepaid Expense</t>
  </si>
  <si>
    <t>BS_PREPAID_EXPENSE_LT</t>
  </si>
  <si>
    <t xml:space="preserve">    + Deferred Tax Assets</t>
  </si>
  <si>
    <t>BS_DEFERRED_TAX_ASSETS_LT</t>
  </si>
  <si>
    <t>BS_DERIV_HEDGING_ASST_LT</t>
  </si>
  <si>
    <t xml:space="preserve">    + Misc LT Assets</t>
  </si>
  <si>
    <t>OTHER_NONCURRENT_ASSETS_DETAILED</t>
  </si>
  <si>
    <t>Total Noncurrent Assets</t>
  </si>
  <si>
    <t>BS_TOT_NON_CUR_ASSET</t>
  </si>
  <si>
    <t>BS_TOT_ASSET</t>
  </si>
  <si>
    <t>Liabilities &amp; Shareholders' Equity</t>
  </si>
  <si>
    <t xml:space="preserve">  + Payables &amp; Accruals</t>
  </si>
  <si>
    <t>ACCT_PAYABLE_ACCRUALS_DETAILED</t>
  </si>
  <si>
    <t xml:space="preserve">    + Accounts Payable</t>
  </si>
  <si>
    <t>BS_ACCT_PAYABLE</t>
  </si>
  <si>
    <t xml:space="preserve">    + Accrued Taxes</t>
  </si>
  <si>
    <t>BS_TAXES_PAYABLE</t>
  </si>
  <si>
    <t>BS_ACCRUAL</t>
  </si>
  <si>
    <t xml:space="preserve">  + ST Debt</t>
  </si>
  <si>
    <t>BS_ST_BORROW</t>
  </si>
  <si>
    <t>SHORT_TERM_DEBT_DETAILED</t>
  </si>
  <si>
    <t xml:space="preserve">    + ST Lease Liabilities</t>
  </si>
  <si>
    <t>ST_CAPITALIZED_LEASE_LIABILITIES</t>
  </si>
  <si>
    <t xml:space="preserve">      + ST Operating Leases</t>
  </si>
  <si>
    <t>BS_ST_OPERATING_LEASE_LIABS</t>
  </si>
  <si>
    <t xml:space="preserve">  + Other ST Liabilities</t>
  </si>
  <si>
    <t>OTHER_CURRENT_LIABS_SUB_DETAILED</t>
  </si>
  <si>
    <t xml:space="preserve">    + Deferred Revenue</t>
  </si>
  <si>
    <t>ST_DEFERRED_REVENUE</t>
  </si>
  <si>
    <t xml:space="preserve">    + Derivatives &amp; Hedging</t>
  </si>
  <si>
    <t>BS_DERIV_HEDGING_LIAB_ST</t>
  </si>
  <si>
    <t>OTHER_CURRENT_LIABS_DETAILED</t>
  </si>
  <si>
    <t>BS_CUR_LIAB</t>
  </si>
  <si>
    <t xml:space="preserve">  + LT Debt</t>
  </si>
  <si>
    <t>BS_LT_BORROW</t>
  </si>
  <si>
    <t xml:space="preserve">    + LT Borrowings</t>
  </si>
  <si>
    <t>LONG_TERM_BORROWINGS_DETAILED</t>
  </si>
  <si>
    <t xml:space="preserve">    + LT Lease Liabilities</t>
  </si>
  <si>
    <t>LT_CAPITALIZED_LEASE_LIABILITIES</t>
  </si>
  <si>
    <t xml:space="preserve">      + LT Operating Leases</t>
  </si>
  <si>
    <t>BS_LT_OPERATING_LEASE_LIABS</t>
  </si>
  <si>
    <t xml:space="preserve">  + Other LT Liabilities</t>
  </si>
  <si>
    <t>OTHER_NONCUR_LIABS_SUB_DETAILED</t>
  </si>
  <si>
    <t xml:space="preserve">    + Accrued Liabilities</t>
  </si>
  <si>
    <t>BS_ACCRUED_LIABILITIES</t>
  </si>
  <si>
    <t xml:space="preserve">    + Pension Liabilities</t>
  </si>
  <si>
    <t>PENSION_LIABILITIES</t>
  </si>
  <si>
    <t xml:space="preserve">    + Pensions</t>
  </si>
  <si>
    <t>BS_PENSIONS_LT_LIABS</t>
  </si>
  <si>
    <t xml:space="preserve">    + Other Post-Ret Benefits</t>
  </si>
  <si>
    <t>BS_OPRB_LT_LIABS</t>
  </si>
  <si>
    <t>LT_DEFERRED_REVENUE</t>
  </si>
  <si>
    <t xml:space="preserve">    + Deferred Tax Liabilities</t>
  </si>
  <si>
    <t>BS_DEFERRED_TAX_LIABILITIES_LT</t>
  </si>
  <si>
    <t>BS_DERIV_HEDGING_LIAB_LT</t>
  </si>
  <si>
    <t xml:space="preserve">    + Misc LT Liabilities</t>
  </si>
  <si>
    <t>OTHER_NONCURRENT_LIABS_DETAILED</t>
  </si>
  <si>
    <t>NON_CUR_LIAB</t>
  </si>
  <si>
    <t>BS_TOT_LIAB2</t>
  </si>
  <si>
    <t xml:space="preserve">  + Preferred Equity and Hybrid Capital</t>
  </si>
  <si>
    <t>PFD_EQTY_HYBRID_CAPITAL</t>
  </si>
  <si>
    <t xml:space="preserve">  + Share Capital &amp; APIC</t>
  </si>
  <si>
    <t>BS_SH_CAP_AND_APIC</t>
  </si>
  <si>
    <t xml:space="preserve">    + Common Stock</t>
  </si>
  <si>
    <t>BS_COMMON_STOCK</t>
  </si>
  <si>
    <t xml:space="preserve">    + Additional Paid in Capital</t>
  </si>
  <si>
    <t>BS_ADD_PAID_IN_CAP</t>
  </si>
  <si>
    <t xml:space="preserve">  - Treasury Stock</t>
  </si>
  <si>
    <t>BS_AMT_OF_TSY_STOCK</t>
  </si>
  <si>
    <t>BS_PURE_RETAINED_EARNINGS</t>
  </si>
  <si>
    <t>OTHER_EQUITY_RATIO</t>
  </si>
  <si>
    <t>Equity Before Minority Interest</t>
  </si>
  <si>
    <t>EQTY_BEF_MINORITY_INT_DETAILED</t>
  </si>
  <si>
    <t xml:space="preserve">  + Minority/Non Controlling Interest</t>
  </si>
  <si>
    <t>MINORITY_NONCONTROLLING_INTEREST</t>
  </si>
  <si>
    <t>Total Equity</t>
  </si>
  <si>
    <t>TOTAL_EQUITY</t>
  </si>
  <si>
    <t>Total Liabilities &amp; Equity</t>
  </si>
  <si>
    <t>TOT_LIAB_AND_EQY</t>
  </si>
  <si>
    <t>BS_SH_OUT</t>
  </si>
  <si>
    <t>Number of Treasury Shares</t>
  </si>
  <si>
    <t>BS_NUM_OF_TSY_SH</t>
  </si>
  <si>
    <t>Pension Obligations</t>
  </si>
  <si>
    <t>BS_PENSION_RSRV</t>
  </si>
  <si>
    <t>BS_FUTURE_MIN_OPER_LEASE_OBLIG</t>
  </si>
  <si>
    <t>BS_OPTIONS_GRANTED</t>
  </si>
  <si>
    <t>Options Outstanding at Period End</t>
  </si>
  <si>
    <t>BS_OPTIONS_OUTSTANDING</t>
  </si>
  <si>
    <t>Net Debt</t>
  </si>
  <si>
    <t>NET_DEBT</t>
  </si>
  <si>
    <t>Net Debt to Equity</t>
  </si>
  <si>
    <t>NET_DEBT_TO_SHRHLDR_EQTY</t>
  </si>
  <si>
    <t>Tangible Common Equity Ratio</t>
  </si>
  <si>
    <t>TCE_RATIO</t>
  </si>
  <si>
    <t>Current Ratio</t>
  </si>
  <si>
    <t>CUR_RATIO</t>
  </si>
  <si>
    <t>Cash Conversion Cycle</t>
  </si>
  <si>
    <t>CASH_CONVERSION_CYCLE</t>
  </si>
  <si>
    <t>NUM_OF_EMPLOYEES</t>
  </si>
  <si>
    <t xml:space="preserve">    + Accrued Expenses</t>
  </si>
  <si>
    <t xml:space="preserve">    + ST Borrowings (Incl Current Portion of ST debt) &amp; Convertible Debt</t>
  </si>
  <si>
    <t xml:space="preserve">    + Other Current Liabilities</t>
  </si>
  <si>
    <t xml:space="preserve">    + Due To Parties/Affiliates</t>
  </si>
  <si>
    <t xml:space="preserve">  + AOCI &amp; Other Reserve</t>
  </si>
  <si>
    <t>Cash from Operating Activities</t>
  </si>
  <si>
    <t xml:space="preserve">  + Net Income</t>
  </si>
  <si>
    <t>CF_NET_INC</t>
  </si>
  <si>
    <t xml:space="preserve">  + Depreciation &amp; Amortization</t>
  </si>
  <si>
    <t>CF_DEPR_AMORT</t>
  </si>
  <si>
    <t xml:space="preserve">  + Non-Cash Items</t>
  </si>
  <si>
    <t>NON_CASH_ITEMS_DETAILED</t>
  </si>
  <si>
    <t xml:space="preserve">    + Stock-Based Compensation</t>
  </si>
  <si>
    <t>CF_STOCK_BASED_COMPENSATION</t>
  </si>
  <si>
    <t xml:space="preserve">    + Deferred Income Taxes</t>
  </si>
  <si>
    <t>CF_DEF_INC_TAX</t>
  </si>
  <si>
    <t xml:space="preserve">    + Other Non-Cash Adj</t>
  </si>
  <si>
    <t>OTHER_NON_CASH_ADJ_LESS_DETAILED</t>
  </si>
  <si>
    <t xml:space="preserve">  + Chg in Non-Cash Work Cap</t>
  </si>
  <si>
    <t>CF_CHNG_NON_CASH_WORK_CAP</t>
  </si>
  <si>
    <t xml:space="preserve">    + (Inc) Dec in Accts Receiv</t>
  </si>
  <si>
    <t>CF_ACCT_RCV_UNBILLED_REV</t>
  </si>
  <si>
    <t xml:space="preserve">    + (Inc) Dec in Inventories</t>
  </si>
  <si>
    <t>CF_CHANGE_IN_INVENTORIES</t>
  </si>
  <si>
    <t xml:space="preserve">    + Inc (Dec) in Accts Payable</t>
  </si>
  <si>
    <t>CF_CHANGE_IN_ACCOUNTS_PAYABLE</t>
  </si>
  <si>
    <t xml:space="preserve">    + Inc (Dec) in Other</t>
  </si>
  <si>
    <t>INC_DEC_IN_OT_OP_AST_LIAB_DETAIL</t>
  </si>
  <si>
    <t xml:space="preserve">  + Net Cash From Disc Ops</t>
  </si>
  <si>
    <t>CF_NET_CASH_DISCONT_OPS_OPER</t>
  </si>
  <si>
    <t>CF_CASH_FROM_OPER</t>
  </si>
  <si>
    <t>Cash from Investing Activities</t>
  </si>
  <si>
    <t xml:space="preserve">  + Change in Fixed &amp; Intang</t>
  </si>
  <si>
    <t>FIXED_INTANG_ASST_CHANGE</t>
  </si>
  <si>
    <t xml:space="preserve">    + Disp in Fixed &amp; Intang</t>
  </si>
  <si>
    <t>DISPOSAL_OF_FIXED_INTANG</t>
  </si>
  <si>
    <t xml:space="preserve">    + Disp of Fixed Prod Assets</t>
  </si>
  <si>
    <t>CF_DISPOSAL_OF_FIXED_PROD_ASSETS</t>
  </si>
  <si>
    <t xml:space="preserve">    + Disp of Intangible Assets</t>
  </si>
  <si>
    <t>CF_DISPOSAL_OF_INTANGIBLE_ASSETS</t>
  </si>
  <si>
    <t xml:space="preserve">    + Acq of Fixed &amp; Intang</t>
  </si>
  <si>
    <t>ACQUIS_OF_FIXED_INTANG</t>
  </si>
  <si>
    <t xml:space="preserve">    + Acq of Fixed Prod Assets</t>
  </si>
  <si>
    <t>CF_PURCHASE_OF_FIXED_PROD_ASSETS</t>
  </si>
  <si>
    <t xml:space="preserve">    + Acq of Intangible Assets</t>
  </si>
  <si>
    <t>CF_ACQUISITION_OF_INTANG_ASSETS</t>
  </si>
  <si>
    <t xml:space="preserve">  + Net Change in LT Investment</t>
  </si>
  <si>
    <t>NET_CHG_IN_LT_INVEST_DETAILED</t>
  </si>
  <si>
    <t xml:space="preserve">    + Dec in LT Investment</t>
  </si>
  <si>
    <t>CF_DECR_INVEST</t>
  </si>
  <si>
    <t xml:space="preserve">    + Inc in LT Investment</t>
  </si>
  <si>
    <t>CF_INCR_INVEST</t>
  </si>
  <si>
    <t xml:space="preserve">  + Net Cash From Acq &amp; Div</t>
  </si>
  <si>
    <t>CF_NT_CSH_RCVD_PD_FOR_ACQUIS_DIV</t>
  </si>
  <si>
    <t xml:space="preserve">    + Cash from Divestitures</t>
  </si>
  <si>
    <t>CF_CASH_FOR_DIVESTITURES</t>
  </si>
  <si>
    <t xml:space="preserve">    + Cash for Acq of Subs</t>
  </si>
  <si>
    <t>CF_CASH_FOR_ACQUIS_SUBSIDIARIES</t>
  </si>
  <si>
    <t xml:space="preserve">    + Cash for JVs</t>
  </si>
  <si>
    <t>CF_CASH_FOR_JOINT_VENTURES_ASSOC</t>
  </si>
  <si>
    <t xml:space="preserve">  + Other Investing Activities</t>
  </si>
  <si>
    <t>OTHER_INVESTING_ACT_DETAILED</t>
  </si>
  <si>
    <t>CF_NET_CASH_DISCONTINUED_OPS_INV</t>
  </si>
  <si>
    <t>CF_CASH_FROM_INV_ACT</t>
  </si>
  <si>
    <t>Cash from Financing Activities</t>
  </si>
  <si>
    <t xml:space="preserve">  + Dividends Paid</t>
  </si>
  <si>
    <t>CF_DVD_PAID</t>
  </si>
  <si>
    <t xml:space="preserve">  + Cash From (Repayment) Debt</t>
  </si>
  <si>
    <t>PROC_FR_REPAYMNTS_BOR_DETAILED</t>
  </si>
  <si>
    <t xml:space="preserve">    + Cash From (Repay) ST Debt</t>
  </si>
  <si>
    <t>CF_NET_CHG_ST_DEBT_CPTL_LEAS</t>
  </si>
  <si>
    <t xml:space="preserve">    + Cash From LT Debt</t>
  </si>
  <si>
    <t>CF_LT_DEBT_CAP_LEAS_PROCEEDS</t>
  </si>
  <si>
    <t xml:space="preserve">    + Repayments of LT Debt</t>
  </si>
  <si>
    <t>CF_LT_DEBT_CAP_LEAS_PAYMENT</t>
  </si>
  <si>
    <t xml:space="preserve">  + Cash (Repurchase) of Equity</t>
  </si>
  <si>
    <t>PROC_FR_REPURCH_EQTY_DETAILED</t>
  </si>
  <si>
    <t xml:space="preserve">    + Increase in Capital Stock</t>
  </si>
  <si>
    <t>CF_INCR_CAP_STOCK</t>
  </si>
  <si>
    <t xml:space="preserve">    + Decrease in Capital Stock</t>
  </si>
  <si>
    <t>CF_DECR_CAP_STOCK</t>
  </si>
  <si>
    <t xml:space="preserve">  + Other Financing Activities</t>
  </si>
  <si>
    <t>OTHER_FIN_AND_DEC_CAP</t>
  </si>
  <si>
    <t>CF_NET_CASH_DISCONTINUED_OPS_FIN</t>
  </si>
  <si>
    <t>CFF_ACTIVITIES_DETAILED</t>
  </si>
  <si>
    <t xml:space="preserve">  Effect of Foreign Exchange Rates</t>
  </si>
  <si>
    <t>CF_EFFECT_FOREIGN_EXCHANGES</t>
  </si>
  <si>
    <t>Net Changes in Cash</t>
  </si>
  <si>
    <t>CF_NET_CHNG_CASH</t>
  </si>
  <si>
    <t>Cash Paid for Taxes</t>
  </si>
  <si>
    <t>CF_CASH_PAID_FOR_TAX</t>
  </si>
  <si>
    <t>Cash Paid for Interest</t>
  </si>
  <si>
    <t>CF_ACT_CASH_PAID_FOR_INT_DEBT</t>
  </si>
  <si>
    <t>Trailing 12M EBITDA Margin</t>
  </si>
  <si>
    <t>Net Cash Paid for Acquisitions</t>
  </si>
  <si>
    <t>CF_NET_CASH_PAID_FOR_AQUIS</t>
  </si>
  <si>
    <t>Tax Benefit from Stock Options</t>
  </si>
  <si>
    <t>CF_TAX_BENEFIT_FRM_STOCK_OPTIONS</t>
  </si>
  <si>
    <t>Free Cash Flow</t>
  </si>
  <si>
    <t>CF_FREE_CASH_FLOW</t>
  </si>
  <si>
    <t>Free Cash Flow to Firm</t>
  </si>
  <si>
    <t>CF_FREE_CASH_FLOW_FIRM</t>
  </si>
  <si>
    <t>Free Cash Flow to Equity</t>
  </si>
  <si>
    <t>FREE_CASH_FLOW_EQUITY</t>
  </si>
  <si>
    <t>Free Cash Flow per Basic Share</t>
  </si>
  <si>
    <t>FREE_CASH_FLOW_PER_SH</t>
  </si>
  <si>
    <t>Price to Free Cash Flow</t>
  </si>
  <si>
    <t>PX_TO_FREE_CASH_FLOW</t>
  </si>
  <si>
    <t>Cash Flow to Net Income</t>
  </si>
  <si>
    <t>CASH_FLOW_TO_NET_INC</t>
  </si>
  <si>
    <t>% Growth</t>
  </si>
  <si>
    <t>% Revenue</t>
  </si>
  <si>
    <t>% Debt Outstanding</t>
  </si>
  <si>
    <t>% Taxable Income</t>
  </si>
  <si>
    <t>New Issuance of Common Shares</t>
  </si>
  <si>
    <t>-</t>
  </si>
  <si>
    <t>Receivable Days</t>
  </si>
  <si>
    <t>Cost of Revenue</t>
  </si>
  <si>
    <t>Inventory Days</t>
  </si>
  <si>
    <t>SG&amp;A</t>
  </si>
  <si>
    <t>% SG&amp;A</t>
  </si>
  <si>
    <t>Depreciation &amp; Amortization</t>
  </si>
  <si>
    <t>Operating Lease Right-of-Use Assets, Net</t>
  </si>
  <si>
    <t xml:space="preserve">  + Operating Lease Right-of-Use Assets, Net</t>
  </si>
  <si>
    <t>Depreciation &amp; Amortization Expense</t>
  </si>
  <si>
    <t>Net Increase (Dec) / Purchase (Sales) of PPE</t>
  </si>
  <si>
    <t xml:space="preserve">  + Property, Plant &amp; Equip and Intangibles, Net</t>
  </si>
  <si>
    <t xml:space="preserve">  + E-commerce and Financial services   </t>
  </si>
  <si>
    <t>Net Purchase (Sales) of Intangibles</t>
  </si>
  <si>
    <t xml:space="preserve">    + Property, Plant &amp; Equip, Net</t>
  </si>
  <si>
    <t xml:space="preserve">    + Property, Plant &amp; Equip, Gross</t>
  </si>
  <si>
    <t>+ Intangible Assets, Net</t>
  </si>
  <si>
    <t xml:space="preserve">  - Accumulated Depreciation &amp; Amortization</t>
  </si>
  <si>
    <t xml:space="preserve">  + Intangible Assets, Gross</t>
  </si>
  <si>
    <t xml:space="preserve">   + Sales of goods</t>
  </si>
  <si>
    <t xml:space="preserve">   + Digital Entertainment Sales &amp; Services Cost</t>
  </si>
  <si>
    <t xml:space="preserve">   + Cost of Sales of goods</t>
  </si>
  <si>
    <t>% Last Year Net Property, Plant &amp; Equip and Intangibles</t>
  </si>
  <si>
    <t>Payable Days</t>
  </si>
  <si>
    <t>% Total Debt</t>
  </si>
  <si>
    <t>Total Debt</t>
  </si>
  <si>
    <t>Total Debt / Equity Ratio</t>
  </si>
  <si>
    <t xml:space="preserve">  - Total Cost of Revenue</t>
    <phoneticPr fontId="0" type="noConversion"/>
  </si>
  <si>
    <t>Change in APIC (Incl. Stock-Based Compensation)</t>
  </si>
  <si>
    <t>+ Net Income</t>
  </si>
  <si>
    <t>-Dividend</t>
  </si>
  <si>
    <t xml:space="preserve">  + Retained Earnings (Accumulated Deficit)</t>
  </si>
  <si>
    <t>% Cash &amp; Cash Equivalent</t>
  </si>
  <si>
    <t>Year</t>
  </si>
  <si>
    <t>Free cash flow calculation</t>
  </si>
  <si>
    <t>Profit after tax</t>
  </si>
  <si>
    <t>Tax =</t>
  </si>
  <si>
    <t>Weighted average cost of capital</t>
  </si>
  <si>
    <t>Terminal value</t>
  </si>
  <si>
    <t>Total</t>
  </si>
  <si>
    <t>Add in initial (year 0) cash and mkt. securities</t>
  </si>
  <si>
    <t>Asset value in year 0</t>
  </si>
  <si>
    <t>Subtract out value of firm's debt today</t>
  </si>
  <si>
    <t xml:space="preserve"> </t>
  </si>
  <si>
    <t>Subtract out value of firm's pref shares today</t>
  </si>
  <si>
    <t>Equity value</t>
  </si>
  <si>
    <t>Total number of shares</t>
  </si>
  <si>
    <t xml:space="preserve"> + increase in current liabilities</t>
  </si>
  <si>
    <t xml:space="preserve"> + increase in fixed assets at cost</t>
  </si>
  <si>
    <t xml:space="preserve"> + after-tax interest on debt</t>
  </si>
  <si>
    <t xml:space="preserve"> - after-tax interest on cash and mkt. securities</t>
  </si>
  <si>
    <t xml:space="preserve"> + provision for credit losses</t>
  </si>
  <si>
    <t xml:space="preserve"> + depreciation &amp; amortization</t>
  </si>
  <si>
    <t xml:space="preserve"> - increase in current assets</t>
  </si>
  <si>
    <t>Discounted Cash Flows</t>
  </si>
  <si>
    <t>Subtract out minority interest today</t>
  </si>
  <si>
    <t>Cost of Debt</t>
  </si>
  <si>
    <t>Cost of Equity</t>
  </si>
  <si>
    <t>APV</t>
  </si>
  <si>
    <t>D/V</t>
  </si>
  <si>
    <t>E/V</t>
  </si>
  <si>
    <t>Tax Rate</t>
  </si>
  <si>
    <t>Long-term free cash flow growth rate, g</t>
  </si>
  <si>
    <t>to 5.9%</t>
  </si>
  <si>
    <t>Free Cash Flow to Firm (FCFF)</t>
  </si>
  <si>
    <t xml:space="preserve"> + Net Borrowings</t>
  </si>
  <si>
    <t xml:space="preserve"> - After Tax Net Interest Expense (Income) </t>
  </si>
  <si>
    <t>Free Cash Flow to Firm (FCFE)</t>
  </si>
  <si>
    <t>FCFF</t>
  </si>
  <si>
    <t>FCFE</t>
  </si>
  <si>
    <t>Upside/ (Downside)</t>
  </si>
  <si>
    <t>Unlevered Cash Flow = FCFF</t>
  </si>
  <si>
    <t>Tax Shield from Interest Expense (Income)</t>
  </si>
  <si>
    <t>Terminal Value (Estimated with Levered WACC, assuming D/V remains constant perpetually)</t>
  </si>
  <si>
    <t>FCFF Approach</t>
  </si>
  <si>
    <t>FCFE Approach</t>
  </si>
  <si>
    <t>APV Approach</t>
  </si>
  <si>
    <t>Unlevered WACC, rA</t>
  </si>
  <si>
    <t>Sensitivity Analysis</t>
  </si>
  <si>
    <t>WACC</t>
  </si>
  <si>
    <t>Long-term Growth Rate</t>
  </si>
  <si>
    <t>Current Price:</t>
  </si>
  <si>
    <t>Source: BBG</t>
  </si>
  <si>
    <t>Sea Ltd (SE US) - Income Statement</t>
  </si>
  <si>
    <t>Sea Ltd (SE US) - Balance Sheet</t>
  </si>
  <si>
    <t>Sea Ltd (SE US) - Valuation</t>
  </si>
  <si>
    <t>Source: Haitong International report (IMF prediction)</t>
  </si>
  <si>
    <t>Ticker</t>
  </si>
  <si>
    <t>Name</t>
  </si>
  <si>
    <t>Mkt Cap (USD)</t>
  </si>
  <si>
    <t>P/E</t>
  </si>
  <si>
    <t>P/E FY1</t>
  </si>
  <si>
    <t>P/S</t>
  </si>
  <si>
    <t>P/S BEst 1yr</t>
  </si>
  <si>
    <t>EV/EBITDA</t>
  </si>
  <si>
    <t>EV/EBITDA FY1</t>
  </si>
  <si>
    <t>EV/Sales Curr</t>
  </si>
  <si>
    <t>EV/Next year sales</t>
  </si>
  <si>
    <t>P/B</t>
  </si>
  <si>
    <t>Net income</t>
  </si>
  <si>
    <t># of outstanding shares</t>
  </si>
  <si>
    <t>None (12 securities)</t>
  </si>
  <si>
    <t>E commerce incl. Sales of goods</t>
  </si>
  <si>
    <t>Median</t>
  </si>
  <si>
    <t>Digital entertainment</t>
  </si>
  <si>
    <t>SE US Equity</t>
  </si>
  <si>
    <t>SEA LTD-ADR</t>
  </si>
  <si>
    <t>SE US</t>
  </si>
  <si>
    <t>Digital Financial Services</t>
  </si>
  <si>
    <t>V US Equity</t>
  </si>
  <si>
    <t>VISA INC-CLASS A SHARES</t>
  </si>
  <si>
    <t>V US</t>
  </si>
  <si>
    <t>MA US Equity</t>
  </si>
  <si>
    <t>MASTERCARD INC - A</t>
  </si>
  <si>
    <t>MA US</t>
  </si>
  <si>
    <t>EPS</t>
  </si>
  <si>
    <t>Sales</t>
  </si>
  <si>
    <t>ADP US Equity</t>
  </si>
  <si>
    <t>AUTOMATIC DATA PROCESSING</t>
  </si>
  <si>
    <t>ADP US</t>
  </si>
  <si>
    <t>FI US Equity</t>
  </si>
  <si>
    <t>FISERV INC</t>
  </si>
  <si>
    <t>FI US</t>
  </si>
  <si>
    <t>PYPL US Equity</t>
  </si>
  <si>
    <t>PAYPAL HOLDINGS INC</t>
  </si>
  <si>
    <t>PYPL US</t>
  </si>
  <si>
    <t>ADYEN NA Equity</t>
  </si>
  <si>
    <t>ADYEN NV</t>
  </si>
  <si>
    <t>ADYEN NA</t>
  </si>
  <si>
    <t>FIS US Equity</t>
  </si>
  <si>
    <t>FIDELITY NATIONAL INFO SERV</t>
  </si>
  <si>
    <t>FIS US</t>
  </si>
  <si>
    <t>XYZ US Equity</t>
  </si>
  <si>
    <t>BLOCK INC</t>
  </si>
  <si>
    <t>XYZ US</t>
  </si>
  <si>
    <t>GPN US Equity</t>
  </si>
  <si>
    <t>GLOBAL PAYMENTS INC</t>
  </si>
  <si>
    <t>GPN US</t>
  </si>
  <si>
    <t>AFRM US Equity</t>
  </si>
  <si>
    <t>AFFIRM HOLDINGS INC</t>
  </si>
  <si>
    <t>AFRM US</t>
  </si>
  <si>
    <t>Implied EV by business lines</t>
  </si>
  <si>
    <t>NU US Equity</t>
  </si>
  <si>
    <t>NU HOLDINGS LTD/CAYMAN ISL-A</t>
  </si>
  <si>
    <t>NU US</t>
  </si>
  <si>
    <t>None (11 securities)</t>
  </si>
  <si>
    <t>Cash</t>
  </si>
  <si>
    <t>700 HK Equity</t>
  </si>
  <si>
    <t>TENCENT HOLDINGS LTD</t>
  </si>
  <si>
    <t>700 HK</t>
  </si>
  <si>
    <t xml:space="preserve">Implied equity value </t>
  </si>
  <si>
    <t>NTES US Equity</t>
  </si>
  <si>
    <t>NETEASE INC-ADR</t>
  </si>
  <si>
    <t>NTES US</t>
  </si>
  <si>
    <t>implied share price</t>
  </si>
  <si>
    <t>EA US Equity</t>
  </si>
  <si>
    <t>ELECTRONIC ARTS INC</t>
  </si>
  <si>
    <t>EA US</t>
  </si>
  <si>
    <t>7832 JP Equity</t>
  </si>
  <si>
    <t>BANDAI NAMCO HOLDINGS INC</t>
  </si>
  <si>
    <t>7832 JP</t>
  </si>
  <si>
    <t>9766 JP Equity</t>
  </si>
  <si>
    <t>KONAMI GROUP CORP</t>
  </si>
  <si>
    <t>9766 JP</t>
  </si>
  <si>
    <t>3659 JP Equity</t>
  </si>
  <si>
    <t>NEXON CO LTD</t>
  </si>
  <si>
    <t>3659 JP</t>
  </si>
  <si>
    <t>Revenue split by business lines 2025E</t>
  </si>
  <si>
    <t>259960 KS Equity</t>
  </si>
  <si>
    <t>KRAFTON INC</t>
  </si>
  <si>
    <t>259960 KS</t>
  </si>
  <si>
    <t>251270 KS Equity</t>
  </si>
  <si>
    <t>NETMARBLE CORP</t>
  </si>
  <si>
    <t>251270 KS</t>
  </si>
  <si>
    <t>263750 KS Equity</t>
  </si>
  <si>
    <t>PEARL ABYSS CORP</t>
  </si>
  <si>
    <t>263750 KS</t>
  </si>
  <si>
    <t>078340 KS Equity</t>
  </si>
  <si>
    <t>COM2US CORP</t>
  </si>
  <si>
    <t>078340 KS</t>
  </si>
  <si>
    <t>--</t>
  </si>
  <si>
    <t>None (10 securities)</t>
  </si>
  <si>
    <t>AMZN US Equity</t>
  </si>
  <si>
    <t>AMAZON.COM INC</t>
  </si>
  <si>
    <t>AMZN US</t>
  </si>
  <si>
    <t>BABA US Equity</t>
  </si>
  <si>
    <t>ALIBABA GROUP HOLDING-SP ADR</t>
  </si>
  <si>
    <t>BABA US</t>
  </si>
  <si>
    <t>PDD US Equity</t>
  </si>
  <si>
    <t>PDD HOLDINGS INC</t>
  </si>
  <si>
    <t>PDD US</t>
  </si>
  <si>
    <t>3690 HK Equity</t>
  </si>
  <si>
    <t>MEITUAN-CLASS B</t>
  </si>
  <si>
    <t>3690 HK</t>
  </si>
  <si>
    <t>MELI US Equity</t>
  </si>
  <si>
    <t>MERCADOLIBRE INC</t>
  </si>
  <si>
    <t>MELI US</t>
  </si>
  <si>
    <t>JD US Equity</t>
  </si>
  <si>
    <t>JD.COM INC-ADR</t>
  </si>
  <si>
    <t>JD US</t>
  </si>
  <si>
    <t>CPNG US Equity</t>
  </si>
  <si>
    <t>COUPANG INC</t>
  </si>
  <si>
    <t>CPNG US</t>
  </si>
  <si>
    <t>EBAY US Equity</t>
  </si>
  <si>
    <t>EBAY INC</t>
  </si>
  <si>
    <t>EBAY US</t>
  </si>
  <si>
    <t>ZAL GR Equity</t>
  </si>
  <si>
    <t>ZALANDO SE</t>
  </si>
  <si>
    <t>ZAL GR</t>
  </si>
  <si>
    <t>we assume that opex share the same percentage split for each respective business line as total revenue in 2025E</t>
  </si>
  <si>
    <t>Assume cost of revenue for ecommerce and financial services is split accordingly to their weighted percentage of revenue generated in 2025E</t>
  </si>
  <si>
    <t xml:space="preserve">   + Digital Entertainment</t>
  </si>
  <si>
    <t>Digital financial services</t>
  </si>
  <si>
    <t xml:space="preserve">  + E-commerce </t>
  </si>
  <si>
    <t xml:space="preserve">  + Digital Financial services   </t>
  </si>
  <si>
    <t>OPEX per business line</t>
  </si>
  <si>
    <t>EBITDA per business line</t>
  </si>
  <si>
    <t>Assume Net income percentage split is the same as total revenue</t>
  </si>
  <si>
    <t>Net income per business line</t>
  </si>
  <si>
    <t>we asssume that opex share the same percentage split for each respective business line as total revenue</t>
  </si>
  <si>
    <t>cost of revenue</t>
  </si>
  <si>
    <t>E commerce</t>
  </si>
  <si>
    <t>digital financial services</t>
  </si>
  <si>
    <t>Segment</t>
  </si>
  <si>
    <t>Digital Entertainment</t>
  </si>
  <si>
    <t>E-commerce incl. Sales of goods</t>
  </si>
  <si>
    <t>Implied Enterprise Value (EV)</t>
  </si>
  <si>
    <t>Debt</t>
  </si>
  <si>
    <t>Identifier (GRID_REPORT.RIC)</t>
  </si>
  <si>
    <t>Company Name</t>
  </si>
  <si>
    <t>BABA.N</t>
  </si>
  <si>
    <t>Alibaba Group Holding Ltd</t>
  </si>
  <si>
    <t>AMZN.O</t>
  </si>
  <si>
    <t>Amazon.com Inc</t>
  </si>
  <si>
    <t>9618.HK</t>
  </si>
  <si>
    <t>JD.Com Inc</t>
  </si>
  <si>
    <t>3690.HK</t>
  </si>
  <si>
    <t>Meituan</t>
  </si>
  <si>
    <t>MELI.O</t>
  </si>
  <si>
    <t>MercadoLibre Inc</t>
  </si>
  <si>
    <t>PDD.OQ</t>
  </si>
  <si>
    <t>PDD Holdings Inc</t>
  </si>
  <si>
    <t>0700.HK</t>
  </si>
  <si>
    <t>Tencent Holdings Ltd</t>
  </si>
  <si>
    <t>Implied EV as a whole</t>
  </si>
  <si>
    <t>Implied share price</t>
  </si>
  <si>
    <t>52w Trading Range</t>
  </si>
  <si>
    <t>Current Analyst Forecast</t>
  </si>
  <si>
    <t>Comps by Segments</t>
  </si>
  <si>
    <t>Comps as a Whole</t>
  </si>
  <si>
    <t>Low</t>
  </si>
  <si>
    <t>Diff</t>
  </si>
  <si>
    <t>High</t>
  </si>
  <si>
    <t>Valuation of Sea Ltd</t>
  </si>
  <si>
    <t>X</t>
  </si>
  <si>
    <t>Y</t>
  </si>
  <si>
    <t>DCF (FCFF, FCFE, APV)</t>
  </si>
  <si>
    <t>SE: Valuation (US$ m)</t>
  </si>
  <si>
    <t>Equity value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</si>
</sst>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164" formatCode="#,##0.0"/>
    <numFmt numFmtId="165" formatCode="0.0%"/>
    <numFmt numFmtId="166" formatCode="&quot;FY &quot;0000&quot;E&quot;"/>
    <numFmt numFmtId="167" formatCode="0_);\(0\)"/>
    <numFmt numFmtId="168" formatCode="#,##0;\(#,##0\)"/>
    <numFmt numFmtId="169" formatCode="_-* #,##0.00_-;\-* #,##0.00_-;_-* &quot;-&quot;??_-;_-@_-"/>
    <numFmt numFmtId="170" formatCode="_(* #,##0_);_(* \(#,##0\);_(* &quot;-&quot;??_);_(@_)"/>
    <numFmt numFmtId="171" formatCode="#,##0.0;\(#,##0.0\)"/>
    <numFmt numFmtId="172" formatCode="#,##0.0_);\(#,##0.0\)"/>
    <numFmt numFmtId="173" formatCode="_([$$-409]* #,##0.00_);_([$$-409]* \(#,##0.00\);_([$$-409]* &quot;-&quot;??_);_(@_)"/>
    <numFmt numFmtId="174" formatCode="_(* #,##0.0_);_(* \(#,##0.0\);_(* &quot;-&quot;??_);_(@_)"/>
  </numFmts>
  <fonts count="36" x14ac:knownFonts="1">
    <font>
      <sz val="11"/>
      <color theme="1"/>
      <name val="Aptos Narrow"/>
      <family val="2"/>
      <scheme val="minor"/>
    </font>
    <font>
      <b/>
      <sz val="11"/>
      <color indexed="9"/>
      <name val="Calibri"/>
      <family val="2"/>
    </font>
    <font>
      <b/>
      <sz val="16"/>
      <color indexed="9"/>
      <name val="Arial"/>
      <family val="2"/>
    </font>
    <font>
      <sz val="10"/>
      <name val="Calibri"/>
      <family val="2"/>
    </font>
    <font>
      <b/>
      <sz val="10"/>
      <color indexed="9"/>
      <name val="Arial"/>
      <family val="2"/>
    </font>
    <font>
      <b/>
      <sz val="10"/>
      <color indexed="8"/>
      <name val="Arial"/>
      <family val="2"/>
    </font>
    <font>
      <sz val="10"/>
      <color indexed="63"/>
      <name val="Arial"/>
      <family val="2"/>
    </font>
    <font>
      <sz val="10"/>
      <color indexed="8"/>
      <name val="Arial"/>
      <family val="2"/>
    </font>
    <font>
      <i/>
      <sz val="10"/>
      <color indexed="63"/>
      <name val="Arial"/>
      <family val="2"/>
    </font>
    <font>
      <i/>
      <sz val="10"/>
      <color indexed="8"/>
      <name val="Arial"/>
      <family val="2"/>
    </font>
    <font>
      <b/>
      <sz val="10"/>
      <color indexed="63"/>
      <name val="Arial"/>
      <family val="2"/>
    </font>
    <font>
      <sz val="10"/>
      <color theme="3" tint="0.499984740745262"/>
      <name val="Arial"/>
      <family val="2"/>
    </font>
    <font>
      <i/>
      <sz val="10"/>
      <color theme="3" tint="0.499984740745262"/>
      <name val="Arial"/>
      <family val="2"/>
    </font>
    <font>
      <sz val="11"/>
      <color theme="3" tint="0.499984740745262"/>
      <name val="Aptos Narrow"/>
      <family val="2"/>
      <scheme val="minor"/>
    </font>
    <font>
      <sz val="10"/>
      <color rgb="FF00B050"/>
      <name val="Arial"/>
      <family val="2"/>
    </font>
    <font>
      <sz val="11"/>
      <color theme="1"/>
      <name val="Aptos Narrow"/>
      <family val="2"/>
      <scheme val="minor"/>
    </font>
    <font>
      <sz val="10"/>
      <name val="Arial"/>
      <family val="2"/>
    </font>
    <font>
      <i/>
      <sz val="11"/>
      <color theme="1"/>
      <name val="Aptos Narrow"/>
      <family val="2"/>
      <scheme val="minor"/>
    </font>
    <font>
      <b/>
      <sz val="11"/>
      <color theme="1"/>
      <name val="Aptos Narrow"/>
      <family val="2"/>
      <scheme val="minor"/>
    </font>
    <font>
      <sz val="10"/>
      <color theme="6" tint="0.39997558519241921"/>
      <name val="Arial"/>
      <family val="2"/>
    </font>
    <font>
      <b/>
      <sz val="10"/>
      <name val="Arial"/>
      <family val="2"/>
    </font>
    <font>
      <b/>
      <sz val="14"/>
      <name val="Arial"/>
      <family val="2"/>
    </font>
    <font>
      <sz val="11"/>
      <name val="Arial"/>
      <family val="2"/>
    </font>
    <font>
      <b/>
      <u/>
      <sz val="10"/>
      <name val="Arial"/>
      <family val="2"/>
    </font>
    <font>
      <b/>
      <i/>
      <sz val="10"/>
      <name val="Arial"/>
      <family val="2"/>
    </font>
    <font>
      <sz val="10"/>
      <color theme="1"/>
      <name val="Arial"/>
      <family val="2"/>
    </font>
    <font>
      <b/>
      <i/>
      <sz val="10"/>
      <color theme="1"/>
      <name val="Arial"/>
      <family val="2"/>
    </font>
    <font>
      <b/>
      <sz val="10"/>
      <color theme="1"/>
      <name val="Arial"/>
      <family val="2"/>
    </font>
    <font>
      <b/>
      <u/>
      <sz val="10"/>
      <color theme="1"/>
      <name val="Arial"/>
      <family val="2"/>
    </font>
    <font>
      <sz val="9"/>
      <name val="Calibri"/>
      <family val="2"/>
    </font>
    <font>
      <b/>
      <sz val="9"/>
      <name val="Calibri"/>
      <family val="2"/>
    </font>
    <font>
      <b/>
      <sz val="11"/>
      <name val="Arial"/>
      <family val="2"/>
    </font>
    <font>
      <sz val="11"/>
      <name val="Calibri"/>
      <family val="2"/>
    </font>
    <font>
      <b/>
      <sz val="11"/>
      <color theme="1"/>
      <name val="Aptos Narrow"/>
      <family val="2"/>
      <charset val="204"/>
      <scheme val="minor"/>
    </font>
    <font>
      <b/>
      <sz val="12"/>
      <color theme="1"/>
      <name val="Arial"/>
      <family val="2"/>
    </font>
    <font>
      <sz val="12"/>
      <color theme="1"/>
      <name val="Aptos Narrow"/>
      <family val="2"/>
      <scheme val="minor"/>
    </font>
  </fonts>
  <fills count="13">
    <fill>
      <patternFill patternType="none"/>
    </fill>
    <fill>
      <patternFill patternType="gray125"/>
    </fill>
    <fill>
      <patternFill patternType="solid">
        <fgColor rgb="FF4F81BD"/>
        <bgColor indexed="64"/>
      </patternFill>
    </fill>
    <fill>
      <patternFill patternType="solid">
        <fgColor rgb="FFFFFFFF"/>
        <bgColor indexed="64"/>
      </patternFill>
    </fill>
    <fill>
      <patternFill patternType="solid">
        <fgColor rgb="FFD8D8D8"/>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0"/>
        <bgColor indexed="64"/>
      </patternFill>
    </fill>
    <fill>
      <patternFill patternType="solid">
        <fgColor theme="9"/>
        <bgColor indexed="64"/>
      </patternFill>
    </fill>
    <fill>
      <patternFill patternType="solid">
        <fgColor rgb="FFB8C2AD"/>
      </patternFill>
    </fill>
    <fill>
      <patternFill patternType="solid">
        <fgColor theme="6" tint="0.59999389629810485"/>
        <bgColor indexed="64"/>
      </patternFill>
    </fill>
  </fills>
  <borders count="18">
    <border>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indexed="64"/>
      </left>
      <right style="thin">
        <color indexed="64"/>
      </right>
      <top/>
      <bottom/>
      <diagonal/>
    </border>
    <border>
      <left/>
      <right/>
      <top style="thin">
        <color indexed="64"/>
      </top>
      <bottom/>
      <diagonal/>
    </border>
    <border>
      <left style="thin">
        <color auto="1"/>
      </left>
      <right/>
      <top/>
      <bottom style="thin">
        <color indexed="64"/>
      </bottom>
      <diagonal/>
    </border>
    <border>
      <left/>
      <right/>
      <top style="thin">
        <color indexed="64"/>
      </top>
      <bottom style="double">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diagonal/>
    </border>
    <border>
      <left/>
      <right style="thin">
        <color auto="1"/>
      </right>
      <top/>
      <bottom style="thin">
        <color auto="1"/>
      </bottom>
      <diagonal/>
    </border>
    <border>
      <left style="thin">
        <color indexed="64"/>
      </left>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thin">
        <color auto="1"/>
      </left>
      <right style="medium">
        <color indexed="64"/>
      </right>
      <top/>
      <bottom/>
      <diagonal/>
    </border>
  </borders>
  <cellStyleXfs count="32">
    <xf numFmtId="0" fontId="0" fillId="0" borderId="0"/>
    <xf numFmtId="0" fontId="1" fillId="2" borderId="0"/>
    <xf numFmtId="0" fontId="2" fillId="2" borderId="1" applyNumberFormat="0" applyProtection="0">
      <alignment horizontal="left" vertical="center" readingOrder="1"/>
    </xf>
    <xf numFmtId="0" fontId="3" fillId="3" borderId="0" applyNumberFormat="0" applyBorder="0" applyProtection="0">
      <alignment horizontal="center"/>
    </xf>
    <xf numFmtId="0" fontId="4" fillId="2" borderId="2">
      <alignment horizontal="left"/>
    </xf>
    <xf numFmtId="0" fontId="4" fillId="2" borderId="2">
      <alignment horizontal="right"/>
    </xf>
    <xf numFmtId="0" fontId="4" fillId="2" borderId="3">
      <alignment horizontal="left"/>
    </xf>
    <xf numFmtId="0" fontId="4" fillId="2" borderId="3">
      <alignment horizontal="right"/>
    </xf>
    <xf numFmtId="0" fontId="5" fillId="3" borderId="4"/>
    <xf numFmtId="164" fontId="5" fillId="3" borderId="5">
      <alignment horizontal="right"/>
    </xf>
    <xf numFmtId="164" fontId="5" fillId="4" borderId="5">
      <alignment horizontal="right"/>
    </xf>
    <xf numFmtId="0" fontId="6" fillId="3" borderId="4"/>
    <xf numFmtId="164" fontId="7" fillId="3" borderId="5">
      <alignment horizontal="right"/>
    </xf>
    <xf numFmtId="164" fontId="7" fillId="4" borderId="5">
      <alignment horizontal="right"/>
    </xf>
    <xf numFmtId="0" fontId="8" fillId="3" borderId="4"/>
    <xf numFmtId="164" fontId="9" fillId="3" borderId="5">
      <alignment horizontal="right"/>
    </xf>
    <xf numFmtId="164" fontId="9" fillId="4" borderId="5">
      <alignment horizontal="right"/>
    </xf>
    <xf numFmtId="3" fontId="5" fillId="3" borderId="5">
      <alignment horizontal="right"/>
    </xf>
    <xf numFmtId="3" fontId="5" fillId="4" borderId="5">
      <alignment horizontal="right"/>
    </xf>
    <xf numFmtId="4" fontId="5" fillId="3" borderId="5">
      <alignment horizontal="right"/>
    </xf>
    <xf numFmtId="4" fontId="5" fillId="4" borderId="5">
      <alignment horizontal="right"/>
    </xf>
    <xf numFmtId="3" fontId="7" fillId="3" borderId="5">
      <alignment horizontal="right"/>
    </xf>
    <xf numFmtId="3" fontId="7" fillId="4" borderId="5">
      <alignment horizontal="right"/>
    </xf>
    <xf numFmtId="4" fontId="7" fillId="3" borderId="5">
      <alignment horizontal="right"/>
    </xf>
    <xf numFmtId="4" fontId="7" fillId="4" borderId="5">
      <alignment horizontal="right"/>
    </xf>
    <xf numFmtId="0" fontId="9" fillId="5" borderId="6" applyNumberFormat="0" applyAlignment="0" applyProtection="0"/>
    <xf numFmtId="9" fontId="15" fillId="0" borderId="0" applyFont="0" applyFill="0" applyBorder="0" applyAlignment="0" applyProtection="0"/>
    <xf numFmtId="169" fontId="15" fillId="0" borderId="0" applyFont="0" applyFill="0" applyBorder="0" applyAlignment="0" applyProtection="0"/>
    <xf numFmtId="0" fontId="29" fillId="0" borderId="0"/>
    <xf numFmtId="0" fontId="29" fillId="0" borderId="0"/>
    <xf numFmtId="0" fontId="30" fillId="11" borderId="0">
      <alignment horizontal="center"/>
    </xf>
    <xf numFmtId="169" fontId="32" fillId="0" borderId="0" applyFont="0" applyFill="0" applyBorder="0" applyAlignment="0" applyProtection="0"/>
  </cellStyleXfs>
  <cellXfs count="326">
    <xf numFmtId="0" fontId="0" fillId="0" borderId="0" xfId="0"/>
    <xf numFmtId="0" fontId="1" fillId="2" borderId="0" xfId="1"/>
    <xf numFmtId="0" fontId="2" fillId="2" borderId="1" xfId="2">
      <alignment horizontal="left" vertical="center" readingOrder="1"/>
    </xf>
    <xf numFmtId="0" fontId="3" fillId="3" borderId="0" xfId="3">
      <alignment horizontal="center"/>
    </xf>
    <xf numFmtId="0" fontId="4" fillId="2" borderId="2" xfId="4">
      <alignment horizontal="left"/>
    </xf>
    <xf numFmtId="0" fontId="4" fillId="2" borderId="2" xfId="5">
      <alignment horizontal="right"/>
    </xf>
    <xf numFmtId="0" fontId="4" fillId="2" borderId="3" xfId="6">
      <alignment horizontal="left"/>
    </xf>
    <xf numFmtId="0" fontId="4" fillId="2" borderId="3" xfId="7">
      <alignment horizontal="right"/>
    </xf>
    <xf numFmtId="0" fontId="5" fillId="3" borderId="4" xfId="8"/>
    <xf numFmtId="164" fontId="5" fillId="3" borderId="5" xfId="9">
      <alignment horizontal="right"/>
    </xf>
    <xf numFmtId="164" fontId="5" fillId="4" borderId="5" xfId="10">
      <alignment horizontal="right"/>
    </xf>
    <xf numFmtId="0" fontId="6" fillId="3" borderId="4" xfId="11"/>
    <xf numFmtId="164" fontId="7" fillId="3" borderId="5" xfId="12">
      <alignment horizontal="right"/>
    </xf>
    <xf numFmtId="164" fontId="7" fillId="4" borderId="5" xfId="13">
      <alignment horizontal="right"/>
    </xf>
    <xf numFmtId="0" fontId="8" fillId="3" borderId="4" xfId="14"/>
    <xf numFmtId="164" fontId="9" fillId="3" borderId="5" xfId="15">
      <alignment horizontal="right"/>
    </xf>
    <xf numFmtId="164" fontId="9" fillId="4" borderId="5" xfId="16">
      <alignment horizontal="right"/>
    </xf>
    <xf numFmtId="3" fontId="5" fillId="3" borderId="5" xfId="17">
      <alignment horizontal="right"/>
    </xf>
    <xf numFmtId="3" fontId="5" fillId="4" borderId="5" xfId="18">
      <alignment horizontal="right"/>
    </xf>
    <xf numFmtId="4" fontId="5" fillId="3" borderId="5" xfId="19">
      <alignment horizontal="right"/>
    </xf>
    <xf numFmtId="4" fontId="5" fillId="4" borderId="5" xfId="20">
      <alignment horizontal="right"/>
    </xf>
    <xf numFmtId="3" fontId="7" fillId="3" borderId="5" xfId="21">
      <alignment horizontal="right"/>
    </xf>
    <xf numFmtId="3" fontId="7" fillId="4" borderId="5" xfId="22">
      <alignment horizontal="right"/>
    </xf>
    <xf numFmtId="4" fontId="7" fillId="3" borderId="5" xfId="23">
      <alignment horizontal="right"/>
    </xf>
    <xf numFmtId="4" fontId="7" fillId="4" borderId="5" xfId="24">
      <alignment horizontal="right"/>
    </xf>
    <xf numFmtId="0" fontId="9" fillId="5" borderId="6" xfId="25"/>
    <xf numFmtId="14" fontId="4" fillId="2" borderId="3" xfId="7" applyNumberFormat="1">
      <alignment horizontal="right"/>
    </xf>
    <xf numFmtId="164" fontId="5" fillId="3" borderId="4" xfId="8" applyNumberFormat="1"/>
    <xf numFmtId="0" fontId="10" fillId="3" borderId="4" xfId="11" applyFont="1"/>
    <xf numFmtId="164" fontId="5" fillId="3" borderId="5" xfId="12" applyFont="1">
      <alignment horizontal="right"/>
    </xf>
    <xf numFmtId="0" fontId="8" fillId="3" borderId="4" xfId="14" applyAlignment="1">
      <alignment horizontal="left" indent="1"/>
    </xf>
    <xf numFmtId="164" fontId="0" fillId="0" borderId="0" xfId="0" applyNumberFormat="1"/>
    <xf numFmtId="0" fontId="6" fillId="3" borderId="4" xfId="11" quotePrefix="1" applyAlignment="1">
      <alignment horizontal="left" indent="1"/>
    </xf>
    <xf numFmtId="0" fontId="6" fillId="6" borderId="4" xfId="11" applyFill="1"/>
    <xf numFmtId="0" fontId="6" fillId="0" borderId="4" xfId="11" applyFill="1"/>
    <xf numFmtId="164" fontId="11" fillId="3" borderId="4" xfId="11" applyNumberFormat="1" applyFont="1"/>
    <xf numFmtId="164" fontId="9" fillId="6" borderId="5" xfId="16" applyFill="1">
      <alignment horizontal="right"/>
    </xf>
    <xf numFmtId="164" fontId="7" fillId="6" borderId="5" xfId="12" applyFill="1">
      <alignment horizontal="right"/>
    </xf>
    <xf numFmtId="164" fontId="9" fillId="0" borderId="5" xfId="15" applyFill="1">
      <alignment horizontal="right"/>
    </xf>
    <xf numFmtId="164" fontId="7" fillId="0" borderId="5" xfId="12" applyFill="1">
      <alignment horizontal="right"/>
    </xf>
    <xf numFmtId="164" fontId="6" fillId="3" borderId="4" xfId="11" applyNumberFormat="1"/>
    <xf numFmtId="164" fontId="11" fillId="3" borderId="5" xfId="12" applyFont="1">
      <alignment horizontal="right"/>
    </xf>
    <xf numFmtId="10" fontId="7" fillId="3" borderId="5" xfId="23" applyNumberFormat="1">
      <alignment horizontal="right"/>
    </xf>
    <xf numFmtId="10" fontId="7" fillId="7" borderId="5" xfId="23" applyNumberFormat="1" applyFill="1">
      <alignment horizontal="right"/>
    </xf>
    <xf numFmtId="164" fontId="12" fillId="3" borderId="5" xfId="15" applyFont="1">
      <alignment horizontal="right"/>
    </xf>
    <xf numFmtId="0" fontId="5" fillId="3" borderId="7" xfId="8" applyBorder="1"/>
    <xf numFmtId="3" fontId="5" fillId="3" borderId="3" xfId="17" applyBorder="1">
      <alignment horizontal="right"/>
    </xf>
    <xf numFmtId="166" fontId="4" fillId="2" borderId="2" xfId="5" applyNumberFormat="1">
      <alignment horizontal="right"/>
    </xf>
    <xf numFmtId="0" fontId="7" fillId="8" borderId="4" xfId="8" applyFont="1" applyFill="1" applyAlignment="1">
      <alignment horizontal="right"/>
    </xf>
    <xf numFmtId="0" fontId="6" fillId="8" borderId="4" xfId="11" applyFill="1"/>
    <xf numFmtId="164" fontId="7" fillId="8" borderId="5" xfId="12" applyFill="1">
      <alignment horizontal="right"/>
    </xf>
    <xf numFmtId="164" fontId="7" fillId="8" borderId="5" xfId="13" applyFill="1">
      <alignment horizontal="right"/>
    </xf>
    <xf numFmtId="165" fontId="7" fillId="8" borderId="5" xfId="9" applyNumberFormat="1" applyFont="1" applyFill="1">
      <alignment horizontal="right"/>
    </xf>
    <xf numFmtId="165" fontId="7" fillId="8" borderId="5" xfId="12" applyNumberFormat="1" applyFill="1">
      <alignment horizontal="right"/>
    </xf>
    <xf numFmtId="164" fontId="5" fillId="0" borderId="5" xfId="10" applyFill="1">
      <alignment horizontal="right"/>
    </xf>
    <xf numFmtId="165" fontId="5" fillId="0" borderId="5" xfId="9" applyNumberFormat="1" applyFill="1">
      <alignment horizontal="right"/>
    </xf>
    <xf numFmtId="164" fontId="7" fillId="0" borderId="5" xfId="13" applyFill="1">
      <alignment horizontal="right"/>
    </xf>
    <xf numFmtId="164" fontId="9" fillId="0" borderId="5" xfId="16" applyFill="1">
      <alignment horizontal="right"/>
    </xf>
    <xf numFmtId="3" fontId="5" fillId="0" borderId="5" xfId="18" applyFill="1">
      <alignment horizontal="right"/>
    </xf>
    <xf numFmtId="4" fontId="5" fillId="0" borderId="5" xfId="20" applyFill="1">
      <alignment horizontal="right"/>
    </xf>
    <xf numFmtId="3" fontId="7" fillId="0" borderId="5" xfId="22" applyFill="1">
      <alignment horizontal="right"/>
    </xf>
    <xf numFmtId="10" fontId="7" fillId="0" borderId="5" xfId="23" applyNumberFormat="1" applyFill="1">
      <alignment horizontal="right"/>
    </xf>
    <xf numFmtId="4" fontId="7" fillId="0" borderId="5" xfId="24" applyFill="1">
      <alignment horizontal="right"/>
    </xf>
    <xf numFmtId="0" fontId="9" fillId="0" borderId="6" xfId="25" applyFill="1"/>
    <xf numFmtId="0" fontId="8" fillId="8" borderId="4" xfId="14" applyFill="1" applyAlignment="1">
      <alignment horizontal="right" indent="1"/>
    </xf>
    <xf numFmtId="0" fontId="8" fillId="8" borderId="4" xfId="14" applyFill="1"/>
    <xf numFmtId="165" fontId="9" fillId="8" borderId="5" xfId="15" applyNumberFormat="1" applyFill="1">
      <alignment horizontal="right"/>
    </xf>
    <xf numFmtId="164" fontId="9" fillId="8" borderId="5" xfId="16" applyFill="1">
      <alignment horizontal="right"/>
    </xf>
    <xf numFmtId="164" fontId="9" fillId="8" borderId="5" xfId="15" applyFill="1">
      <alignment horizontal="right"/>
    </xf>
    <xf numFmtId="0" fontId="7" fillId="0" borderId="4" xfId="8" applyFont="1" applyFill="1" applyAlignment="1">
      <alignment horizontal="right"/>
    </xf>
    <xf numFmtId="165" fontId="7" fillId="0" borderId="5" xfId="12" applyNumberFormat="1" applyFill="1">
      <alignment horizontal="right"/>
    </xf>
    <xf numFmtId="165" fontId="7" fillId="0" borderId="5" xfId="9" applyNumberFormat="1" applyFont="1" applyFill="1">
      <alignment horizontal="right"/>
    </xf>
    <xf numFmtId="0" fontId="5" fillId="0" borderId="4" xfId="8" applyFill="1" applyAlignment="1">
      <alignment horizontal="right"/>
    </xf>
    <xf numFmtId="0" fontId="5" fillId="0" borderId="4" xfId="8" applyFill="1"/>
    <xf numFmtId="164" fontId="5" fillId="0" borderId="5" xfId="9" applyFill="1">
      <alignment horizontal="right"/>
    </xf>
    <xf numFmtId="164" fontId="11" fillId="0" borderId="5" xfId="13" applyFont="1" applyFill="1">
      <alignment horizontal="right"/>
    </xf>
    <xf numFmtId="0" fontId="8" fillId="6" borderId="4" xfId="14" applyFill="1" applyAlignment="1">
      <alignment horizontal="left" indent="1"/>
    </xf>
    <xf numFmtId="0" fontId="8" fillId="6" borderId="4" xfId="14" applyFill="1" applyAlignment="1">
      <alignment horizontal="right" indent="1"/>
    </xf>
    <xf numFmtId="164" fontId="5" fillId="0" borderId="4" xfId="8" applyNumberFormat="1" applyFill="1"/>
    <xf numFmtId="0" fontId="11" fillId="0" borderId="4" xfId="11" applyFont="1" applyFill="1"/>
    <xf numFmtId="0" fontId="6" fillId="8" borderId="4" xfId="11" applyFill="1" applyAlignment="1">
      <alignment horizontal="right"/>
    </xf>
    <xf numFmtId="4" fontId="5" fillId="0" borderId="5" xfId="19" applyFill="1">
      <alignment horizontal="right"/>
    </xf>
    <xf numFmtId="2" fontId="5" fillId="0" borderId="4" xfId="8" applyNumberFormat="1" applyFill="1"/>
    <xf numFmtId="0" fontId="0" fillId="0" borderId="2" xfId="0" applyBorder="1"/>
    <xf numFmtId="0" fontId="0" fillId="0" borderId="5" xfId="0" applyBorder="1"/>
    <xf numFmtId="0" fontId="0" fillId="0" borderId="3" xfId="0" applyBorder="1"/>
    <xf numFmtId="164" fontId="0" fillId="0" borderId="5" xfId="0" applyNumberFormat="1" applyBorder="1"/>
    <xf numFmtId="164" fontId="13" fillId="0" borderId="5" xfId="0" applyNumberFormat="1" applyFont="1" applyBorder="1"/>
    <xf numFmtId="164" fontId="14" fillId="3" borderId="5" xfId="21" applyNumberFormat="1" applyFont="1">
      <alignment horizontal="right"/>
    </xf>
    <xf numFmtId="165" fontId="0" fillId="8" borderId="5" xfId="0" applyNumberFormat="1" applyFill="1" applyBorder="1"/>
    <xf numFmtId="164" fontId="7" fillId="3" borderId="5" xfId="15" applyFont="1">
      <alignment horizontal="right"/>
    </xf>
    <xf numFmtId="0" fontId="6" fillId="3" borderId="4" xfId="14" applyFont="1" applyAlignment="1">
      <alignment horizontal="right" indent="1"/>
    </xf>
    <xf numFmtId="165" fontId="0" fillId="0" borderId="5" xfId="0" applyNumberFormat="1" applyBorder="1"/>
    <xf numFmtId="0" fontId="6" fillId="0" borderId="4" xfId="11" applyFill="1" applyAlignment="1">
      <alignment horizontal="right"/>
    </xf>
    <xf numFmtId="164" fontId="7" fillId="0" borderId="5" xfId="15" applyFont="1" applyFill="1">
      <alignment horizontal="right"/>
    </xf>
    <xf numFmtId="164" fontId="7" fillId="9" borderId="5" xfId="12" applyFill="1">
      <alignment horizontal="right"/>
    </xf>
    <xf numFmtId="164" fontId="7" fillId="9" borderId="5" xfId="13" applyFill="1">
      <alignment horizontal="right"/>
    </xf>
    <xf numFmtId="0" fontId="6" fillId="3" borderId="4" xfId="14" quotePrefix="1" applyFont="1" applyAlignment="1">
      <alignment horizontal="left" indent="2"/>
    </xf>
    <xf numFmtId="0" fontId="0" fillId="8" borderId="0" xfId="0" applyFill="1"/>
    <xf numFmtId="0" fontId="0" fillId="0" borderId="0" xfId="0" applyAlignment="1">
      <alignment horizontal="left" indent="1"/>
    </xf>
    <xf numFmtId="0" fontId="7" fillId="8" borderId="5" xfId="12" applyNumberFormat="1" applyFill="1">
      <alignment horizontal="right"/>
    </xf>
    <xf numFmtId="10" fontId="7" fillId="8" borderId="5" xfId="26" applyNumberFormat="1" applyFont="1" applyFill="1" applyBorder="1" applyAlignment="1">
      <alignment horizontal="right"/>
    </xf>
    <xf numFmtId="10" fontId="7" fillId="8" borderId="5" xfId="9" applyNumberFormat="1" applyFont="1" applyFill="1">
      <alignment horizontal="right"/>
    </xf>
    <xf numFmtId="0" fontId="7" fillId="9" borderId="5" xfId="9" applyNumberFormat="1" applyFont="1" applyFill="1">
      <alignment horizontal="right"/>
    </xf>
    <xf numFmtId="164" fontId="5" fillId="0" borderId="5" xfId="13" applyFont="1" applyFill="1">
      <alignment horizontal="right"/>
    </xf>
    <xf numFmtId="164" fontId="5" fillId="4" borderId="5" xfId="13" applyFont="1">
      <alignment horizontal="right"/>
    </xf>
    <xf numFmtId="0" fontId="8" fillId="8" borderId="4" xfId="11" applyFont="1" applyFill="1" applyAlignment="1">
      <alignment horizontal="right"/>
    </xf>
    <xf numFmtId="165" fontId="9" fillId="8" borderId="5" xfId="12" applyNumberFormat="1" applyFont="1" applyFill="1">
      <alignment horizontal="right"/>
    </xf>
    <xf numFmtId="165" fontId="7" fillId="6" borderId="5" xfId="9" applyNumberFormat="1" applyFont="1" applyFill="1">
      <alignment horizontal="right"/>
    </xf>
    <xf numFmtId="0" fontId="6" fillId="0" borderId="4" xfId="11" applyFill="1" applyAlignment="1">
      <alignment horizontal="left" indent="1"/>
    </xf>
    <xf numFmtId="165" fontId="9" fillId="6" borderId="5" xfId="15" applyNumberFormat="1" applyFill="1">
      <alignment horizontal="right"/>
    </xf>
    <xf numFmtId="165" fontId="7" fillId="6" borderId="5" xfId="15" applyNumberFormat="1" applyFont="1" applyFill="1">
      <alignment horizontal="right"/>
    </xf>
    <xf numFmtId="0" fontId="5" fillId="10" borderId="4" xfId="8" applyFill="1"/>
    <xf numFmtId="164" fontId="5" fillId="10" borderId="5" xfId="9" applyFill="1">
      <alignment horizontal="right"/>
    </xf>
    <xf numFmtId="164" fontId="5" fillId="10" borderId="5" xfId="10" applyFill="1">
      <alignment horizontal="right"/>
    </xf>
    <xf numFmtId="164" fontId="16" fillId="3" borderId="5" xfId="21" applyNumberFormat="1" applyFont="1">
      <alignment horizontal="right"/>
    </xf>
    <xf numFmtId="4" fontId="16" fillId="3" borderId="5" xfId="21" applyNumberFormat="1" applyFont="1">
      <alignment horizontal="right"/>
    </xf>
    <xf numFmtId="4" fontId="11" fillId="3" borderId="5" xfId="21" applyNumberFormat="1" applyFont="1">
      <alignment horizontal="right"/>
    </xf>
    <xf numFmtId="165" fontId="17" fillId="8" borderId="5" xfId="0" applyNumberFormat="1" applyFont="1" applyFill="1" applyBorder="1"/>
    <xf numFmtId="164" fontId="7" fillId="3" borderId="5" xfId="23" applyNumberFormat="1">
      <alignment horizontal="right"/>
    </xf>
    <xf numFmtId="164" fontId="7" fillId="9" borderId="5" xfId="9" applyFont="1" applyFill="1">
      <alignment horizontal="right"/>
    </xf>
    <xf numFmtId="0" fontId="6" fillId="3" borderId="4" xfId="11" applyAlignment="1">
      <alignment horizontal="right"/>
    </xf>
    <xf numFmtId="0" fontId="6" fillId="3" borderId="4" xfId="11" quotePrefix="1" applyAlignment="1">
      <alignment horizontal="right"/>
    </xf>
    <xf numFmtId="0" fontId="6" fillId="3" borderId="4" xfId="11" quotePrefix="1"/>
    <xf numFmtId="164" fontId="19" fillId="3" borderId="5" xfId="12" applyFont="1">
      <alignment horizontal="right"/>
    </xf>
    <xf numFmtId="165" fontId="9" fillId="6" borderId="5" xfId="16" applyNumberFormat="1" applyFill="1">
      <alignment horizontal="right"/>
    </xf>
    <xf numFmtId="164" fontId="7" fillId="0" borderId="5" xfId="9" applyFont="1" applyFill="1">
      <alignment horizontal="right"/>
    </xf>
    <xf numFmtId="167" fontId="20" fillId="0" borderId="0" xfId="0" applyNumberFormat="1" applyFont="1"/>
    <xf numFmtId="0" fontId="20" fillId="0" borderId="0" xfId="0" applyFont="1"/>
    <xf numFmtId="168" fontId="20" fillId="0" borderId="0" xfId="0" applyNumberFormat="1" applyFont="1" applyAlignment="1">
      <alignment horizontal="center"/>
    </xf>
    <xf numFmtId="167" fontId="0" fillId="0" borderId="0" xfId="0" applyNumberFormat="1"/>
    <xf numFmtId="168" fontId="0" fillId="0" borderId="0" xfId="0" applyNumberFormat="1"/>
    <xf numFmtId="0" fontId="21" fillId="0" borderId="0" xfId="0" applyFont="1"/>
    <xf numFmtId="10" fontId="16" fillId="6" borderId="0" xfId="0" applyNumberFormat="1" applyFont="1" applyFill="1"/>
    <xf numFmtId="0" fontId="16" fillId="0" borderId="0" xfId="0" applyFont="1"/>
    <xf numFmtId="0" fontId="22" fillId="0" borderId="0" xfId="0" applyFont="1"/>
    <xf numFmtId="167" fontId="20" fillId="0" borderId="0" xfId="0" applyNumberFormat="1" applyFont="1" applyAlignment="1">
      <alignment horizontal="center"/>
    </xf>
    <xf numFmtId="170" fontId="15" fillId="0" borderId="0" xfId="27" applyNumberFormat="1"/>
    <xf numFmtId="0" fontId="2" fillId="2" borderId="6" xfId="2" applyBorder="1">
      <alignment horizontal="left" vertical="center" readingOrder="1"/>
    </xf>
    <xf numFmtId="0" fontId="2" fillId="0" borderId="0" xfId="2" applyFill="1" applyBorder="1">
      <alignment horizontal="left" vertical="center" readingOrder="1"/>
    </xf>
    <xf numFmtId="171" fontId="0" fillId="0" borderId="0" xfId="0" applyNumberFormat="1"/>
    <xf numFmtId="0" fontId="0" fillId="0" borderId="8" xfId="0" applyBorder="1"/>
    <xf numFmtId="168" fontId="0" fillId="0" borderId="8" xfId="0" applyNumberFormat="1" applyBorder="1"/>
    <xf numFmtId="171" fontId="0" fillId="0" borderId="8" xfId="0" applyNumberFormat="1" applyBorder="1"/>
    <xf numFmtId="10" fontId="0" fillId="0" borderId="0" xfId="0" applyNumberFormat="1"/>
    <xf numFmtId="10" fontId="16" fillId="0" borderId="0" xfId="0" applyNumberFormat="1" applyFont="1"/>
    <xf numFmtId="0" fontId="10" fillId="3" borderId="0" xfId="11" applyFont="1" applyBorder="1"/>
    <xf numFmtId="0" fontId="6" fillId="3" borderId="7" xfId="11" quotePrefix="1" applyBorder="1"/>
    <xf numFmtId="0" fontId="0" fillId="0" borderId="9" xfId="0" applyBorder="1"/>
    <xf numFmtId="168" fontId="0" fillId="0" borderId="9" xfId="0" applyNumberFormat="1" applyBorder="1"/>
    <xf numFmtId="171" fontId="0" fillId="0" borderId="9" xfId="0" applyNumberFormat="1" applyBorder="1"/>
    <xf numFmtId="0" fontId="18" fillId="0" borderId="0" xfId="0" applyFont="1"/>
    <xf numFmtId="0" fontId="10" fillId="3" borderId="8" xfId="11" applyFont="1" applyBorder="1"/>
    <xf numFmtId="167" fontId="23" fillId="0" borderId="0" xfId="0" applyNumberFormat="1" applyFont="1"/>
    <xf numFmtId="8" fontId="0" fillId="0" borderId="0" xfId="0" applyNumberFormat="1"/>
    <xf numFmtId="165" fontId="16" fillId="6" borderId="10" xfId="0" applyNumberFormat="1" applyFont="1" applyFill="1" applyBorder="1"/>
    <xf numFmtId="165" fontId="16" fillId="6" borderId="9" xfId="0" applyNumberFormat="1" applyFont="1" applyFill="1" applyBorder="1"/>
    <xf numFmtId="9" fontId="18" fillId="0" borderId="0" xfId="0" applyNumberFormat="1" applyFont="1"/>
    <xf numFmtId="173" fontId="4" fillId="2" borderId="6" xfId="2" applyNumberFormat="1" applyFont="1" applyBorder="1">
      <alignment horizontal="left" vertical="center" readingOrder="1"/>
    </xf>
    <xf numFmtId="0" fontId="4" fillId="2" borderId="6" xfId="2" applyFont="1" applyBorder="1">
      <alignment horizontal="left" vertical="center" readingOrder="1"/>
    </xf>
    <xf numFmtId="0" fontId="24" fillId="0" borderId="0" xfId="0" applyFont="1"/>
    <xf numFmtId="167" fontId="25" fillId="0" borderId="0" xfId="0" applyNumberFormat="1" applyFont="1"/>
    <xf numFmtId="0" fontId="26" fillId="0" borderId="0" xfId="0" applyFont="1"/>
    <xf numFmtId="167" fontId="28" fillId="0" borderId="0" xfId="0" applyNumberFormat="1" applyFont="1"/>
    <xf numFmtId="0" fontId="28" fillId="0" borderId="0" xfId="0" applyFont="1" applyAlignment="1">
      <alignment horizontal="right"/>
    </xf>
    <xf numFmtId="0" fontId="25" fillId="0" borderId="0" xfId="0" applyFont="1"/>
    <xf numFmtId="2" fontId="25" fillId="0" borderId="0" xfId="0" applyNumberFormat="1" applyFont="1"/>
    <xf numFmtId="165" fontId="25" fillId="0" borderId="9" xfId="0" applyNumberFormat="1" applyFont="1" applyBorder="1"/>
    <xf numFmtId="165" fontId="25" fillId="6" borderId="1" xfId="0" applyNumberFormat="1" applyFont="1" applyFill="1" applyBorder="1"/>
    <xf numFmtId="165" fontId="25" fillId="0" borderId="10" xfId="0" applyNumberFormat="1" applyFont="1" applyBorder="1"/>
    <xf numFmtId="2" fontId="25" fillId="6" borderId="0" xfId="0" applyNumberFormat="1" applyFont="1" applyFill="1"/>
    <xf numFmtId="165" fontId="25" fillId="0" borderId="0" xfId="0" applyNumberFormat="1" applyFont="1"/>
    <xf numFmtId="171" fontId="25" fillId="0" borderId="0" xfId="0" applyNumberFormat="1" applyFont="1"/>
    <xf numFmtId="168" fontId="25" fillId="0" borderId="0" xfId="0" applyNumberFormat="1" applyFont="1"/>
    <xf numFmtId="0" fontId="22" fillId="0" borderId="0" xfId="28" applyFont="1" applyAlignment="1">
      <alignment horizontal="left"/>
    </xf>
    <xf numFmtId="0" fontId="22" fillId="0" borderId="0" xfId="29" applyFont="1"/>
    <xf numFmtId="0" fontId="15" fillId="0" borderId="0" xfId="0" applyFont="1"/>
    <xf numFmtId="0" fontId="31" fillId="11" borderId="0" xfId="30" applyFont="1">
      <alignment horizontal="center"/>
    </xf>
    <xf numFmtId="0" fontId="22" fillId="9" borderId="0" xfId="30" applyFont="1" applyFill="1">
      <alignment horizontal="center"/>
    </xf>
    <xf numFmtId="0" fontId="22" fillId="0" borderId="0" xfId="29" applyFont="1" applyAlignment="1">
      <alignment horizontal="left"/>
    </xf>
    <xf numFmtId="2" fontId="22" fillId="0" borderId="0" xfId="29" applyNumberFormat="1" applyFont="1" applyAlignment="1">
      <alignment horizontal="right"/>
    </xf>
    <xf numFmtId="0" fontId="22" fillId="6" borderId="0" xfId="29" applyFont="1" applyFill="1" applyAlignment="1">
      <alignment horizontal="left"/>
    </xf>
    <xf numFmtId="2" fontId="22" fillId="6" borderId="0" xfId="29" applyNumberFormat="1" applyFont="1" applyFill="1" applyAlignment="1">
      <alignment horizontal="right"/>
    </xf>
    <xf numFmtId="164" fontId="15" fillId="0" borderId="0" xfId="0" applyNumberFormat="1" applyFont="1"/>
    <xf numFmtId="10" fontId="0" fillId="0" borderId="0" xfId="26" applyNumberFormat="1" applyFont="1"/>
    <xf numFmtId="2" fontId="22" fillId="0" borderId="0" xfId="29" quotePrefix="1" applyNumberFormat="1" applyFont="1" applyAlignment="1">
      <alignment horizontal="right"/>
    </xf>
    <xf numFmtId="169" fontId="22" fillId="0" borderId="0" xfId="31" applyFont="1" applyAlignment="1" applyProtection="1">
      <alignment horizontal="right"/>
    </xf>
    <xf numFmtId="165" fontId="0" fillId="0" borderId="0" xfId="26" applyNumberFormat="1" applyFont="1"/>
    <xf numFmtId="165" fontId="0" fillId="0" borderId="0" xfId="0" applyNumberFormat="1"/>
    <xf numFmtId="9" fontId="0" fillId="0" borderId="0" xfId="0" applyNumberFormat="1"/>
    <xf numFmtId="0" fontId="18" fillId="0" borderId="11" xfId="0" applyFont="1" applyBorder="1"/>
    <xf numFmtId="3" fontId="0" fillId="0" borderId="0" xfId="0" applyNumberFormat="1"/>
    <xf numFmtId="164" fontId="3" fillId="3" borderId="0" xfId="3" applyNumberFormat="1">
      <alignment horizontal="center"/>
    </xf>
    <xf numFmtId="0" fontId="15" fillId="0" borderId="0" xfId="0" applyFont="1" applyAlignment="1">
      <alignment horizontal="center"/>
    </xf>
    <xf numFmtId="4" fontId="15" fillId="0" borderId="0" xfId="0" applyNumberFormat="1" applyFont="1"/>
    <xf numFmtId="164" fontId="7" fillId="9" borderId="0" xfId="9" applyFont="1" applyFill="1" applyBorder="1">
      <alignment horizontal="right"/>
    </xf>
    <xf numFmtId="10" fontId="7" fillId="0" borderId="10" xfId="23" applyNumberFormat="1" applyFill="1" applyBorder="1">
      <alignment horizontal="right"/>
    </xf>
    <xf numFmtId="164" fontId="7" fillId="0" borderId="10" xfId="13" applyFill="1" applyBorder="1">
      <alignment horizontal="right"/>
    </xf>
    <xf numFmtId="4" fontId="7" fillId="0" borderId="10" xfId="24" applyFill="1" applyBorder="1">
      <alignment horizontal="right"/>
    </xf>
    <xf numFmtId="166" fontId="4" fillId="2" borderId="12" xfId="5" applyNumberFormat="1" applyBorder="1">
      <alignment horizontal="right"/>
    </xf>
    <xf numFmtId="0" fontId="4" fillId="2" borderId="13" xfId="7" applyBorder="1">
      <alignment horizontal="right"/>
    </xf>
    <xf numFmtId="164" fontId="5" fillId="0" borderId="10" xfId="10" applyFill="1" applyBorder="1">
      <alignment horizontal="right"/>
    </xf>
    <xf numFmtId="165" fontId="5" fillId="0" borderId="10" xfId="9" applyNumberFormat="1" applyFill="1" applyBorder="1">
      <alignment horizontal="right"/>
    </xf>
    <xf numFmtId="165" fontId="7" fillId="8" borderId="10" xfId="9" applyNumberFormat="1" applyFont="1" applyFill="1" applyBorder="1">
      <alignment horizontal="right"/>
    </xf>
    <xf numFmtId="164" fontId="7" fillId="9" borderId="10" xfId="9" applyFont="1" applyFill="1" applyBorder="1">
      <alignment horizontal="right"/>
    </xf>
    <xf numFmtId="164" fontId="5" fillId="0" borderId="10" xfId="13" applyFont="1" applyFill="1" applyBorder="1">
      <alignment horizontal="right"/>
    </xf>
    <xf numFmtId="164" fontId="7" fillId="0" borderId="10" xfId="9" applyFont="1" applyFill="1" applyBorder="1">
      <alignment horizontal="right"/>
    </xf>
    <xf numFmtId="164" fontId="5" fillId="3" borderId="10" xfId="9" applyBorder="1">
      <alignment horizontal="right"/>
    </xf>
    <xf numFmtId="164" fontId="7" fillId="3" borderId="10" xfId="12" applyBorder="1">
      <alignment horizontal="right"/>
    </xf>
    <xf numFmtId="164" fontId="9" fillId="0" borderId="10" xfId="16" applyFill="1" applyBorder="1">
      <alignment horizontal="right"/>
    </xf>
    <xf numFmtId="165" fontId="9" fillId="8" borderId="10" xfId="9" applyNumberFormat="1" applyFont="1" applyFill="1" applyBorder="1">
      <alignment horizontal="right"/>
    </xf>
    <xf numFmtId="164" fontId="7" fillId="0" borderId="10" xfId="12" applyFill="1" applyBorder="1">
      <alignment horizontal="right"/>
    </xf>
    <xf numFmtId="165" fontId="9" fillId="0" borderId="10" xfId="16" applyNumberFormat="1" applyFill="1" applyBorder="1">
      <alignment horizontal="right"/>
    </xf>
    <xf numFmtId="164" fontId="11" fillId="0" borderId="10" xfId="13" applyFont="1" applyFill="1" applyBorder="1">
      <alignment horizontal="right"/>
    </xf>
    <xf numFmtId="165" fontId="9" fillId="8" borderId="10" xfId="15" applyNumberFormat="1" applyFill="1" applyBorder="1">
      <alignment horizontal="right"/>
    </xf>
    <xf numFmtId="164" fontId="11" fillId="3" borderId="0" xfId="11" applyNumberFormat="1" applyFont="1" applyBorder="1"/>
    <xf numFmtId="164" fontId="5" fillId="0" borderId="10" xfId="9" applyFill="1" applyBorder="1">
      <alignment horizontal="right"/>
    </xf>
    <xf numFmtId="164" fontId="5" fillId="12" borderId="0" xfId="8" applyNumberFormat="1" applyFill="1" applyBorder="1"/>
    <xf numFmtId="3" fontId="5" fillId="0" borderId="10" xfId="18" applyFill="1" applyBorder="1">
      <alignment horizontal="right"/>
    </xf>
    <xf numFmtId="164" fontId="5" fillId="0" borderId="0" xfId="8" applyNumberFormat="1" applyFill="1" applyBorder="1"/>
    <xf numFmtId="164" fontId="7" fillId="8" borderId="10" xfId="13" applyFill="1" applyBorder="1">
      <alignment horizontal="right"/>
    </xf>
    <xf numFmtId="4" fontId="5" fillId="3" borderId="10" xfId="19" applyBorder="1">
      <alignment horizontal="right"/>
    </xf>
    <xf numFmtId="3" fontId="7" fillId="0" borderId="10" xfId="22" applyFill="1" applyBorder="1">
      <alignment horizontal="right"/>
    </xf>
    <xf numFmtId="0" fontId="3" fillId="3" borderId="0" xfId="3" applyBorder="1">
      <alignment horizontal="center"/>
    </xf>
    <xf numFmtId="165" fontId="9" fillId="8" borderId="5" xfId="9" applyNumberFormat="1" applyFont="1" applyFill="1">
      <alignment horizontal="right"/>
    </xf>
    <xf numFmtId="0" fontId="8" fillId="0" borderId="4" xfId="14" applyFill="1" applyAlignment="1">
      <alignment horizontal="left" indent="1"/>
    </xf>
    <xf numFmtId="0" fontId="8" fillId="0" borderId="4" xfId="14" applyFill="1"/>
    <xf numFmtId="0" fontId="8" fillId="0" borderId="4" xfId="14" applyFill="1" applyAlignment="1">
      <alignment horizontal="right" indent="1"/>
    </xf>
    <xf numFmtId="165" fontId="9" fillId="0" borderId="5" xfId="15" applyNumberFormat="1" applyFill="1">
      <alignment horizontal="right"/>
    </xf>
    <xf numFmtId="165" fontId="9" fillId="0" borderId="5" xfId="16" applyNumberFormat="1" applyFill="1">
      <alignment horizontal="right"/>
    </xf>
    <xf numFmtId="0" fontId="5" fillId="12" borderId="4" xfId="8" applyFill="1"/>
    <xf numFmtId="164" fontId="5" fillId="12" borderId="4" xfId="8" applyNumberFormat="1" applyFill="1"/>
    <xf numFmtId="2" fontId="5" fillId="0" borderId="7" xfId="8" applyNumberFormat="1" applyFill="1" applyBorder="1"/>
    <xf numFmtId="4" fontId="5" fillId="3" borderId="3" xfId="19" applyBorder="1">
      <alignment horizontal="right"/>
    </xf>
    <xf numFmtId="4" fontId="5" fillId="3" borderId="13" xfId="19" applyBorder="1">
      <alignment horizontal="right"/>
    </xf>
    <xf numFmtId="0" fontId="7" fillId="8" borderId="5" xfId="8" applyFont="1" applyFill="1" applyBorder="1" applyAlignment="1">
      <alignment horizontal="right"/>
    </xf>
    <xf numFmtId="0" fontId="0" fillId="0" borderId="12" xfId="0" applyBorder="1"/>
    <xf numFmtId="164" fontId="0" fillId="0" borderId="10" xfId="0" applyNumberFormat="1" applyBorder="1"/>
    <xf numFmtId="0" fontId="0" fillId="0" borderId="10" xfId="0" applyBorder="1"/>
    <xf numFmtId="164" fontId="7" fillId="8" borderId="10" xfId="12" applyFill="1" applyBorder="1">
      <alignment horizontal="right"/>
    </xf>
    <xf numFmtId="164" fontId="13" fillId="0" borderId="10" xfId="0" applyNumberFormat="1" applyFont="1" applyBorder="1"/>
    <xf numFmtId="165" fontId="7" fillId="8" borderId="10" xfId="12" applyNumberFormat="1" applyFill="1" applyBorder="1">
      <alignment horizontal="right"/>
    </xf>
    <xf numFmtId="164" fontId="11" fillId="3" borderId="10" xfId="12" applyFont="1" applyBorder="1">
      <alignment horizontal="right"/>
    </xf>
    <xf numFmtId="165" fontId="0" fillId="8" borderId="10" xfId="0" applyNumberFormat="1" applyFill="1" applyBorder="1"/>
    <xf numFmtId="165" fontId="0" fillId="0" borderId="10" xfId="0" applyNumberFormat="1" applyBorder="1"/>
    <xf numFmtId="165" fontId="17" fillId="8" borderId="10" xfId="0" applyNumberFormat="1" applyFont="1" applyFill="1" applyBorder="1"/>
    <xf numFmtId="164" fontId="12" fillId="3" borderId="10" xfId="15" applyFont="1" applyBorder="1">
      <alignment horizontal="right"/>
    </xf>
    <xf numFmtId="0" fontId="0" fillId="0" borderId="13" xfId="0" applyBorder="1"/>
    <xf numFmtId="0" fontId="4" fillId="2" borderId="15" xfId="5" applyBorder="1">
      <alignment horizontal="right"/>
    </xf>
    <xf numFmtId="0" fontId="4" fillId="2" borderId="16" xfId="7" applyBorder="1">
      <alignment horizontal="right"/>
    </xf>
    <xf numFmtId="3" fontId="5" fillId="3" borderId="17" xfId="17" applyBorder="1">
      <alignment horizontal="right"/>
    </xf>
    <xf numFmtId="164" fontId="7" fillId="3" borderId="17" xfId="12" applyBorder="1">
      <alignment horizontal="right"/>
    </xf>
    <xf numFmtId="164" fontId="7" fillId="8" borderId="17" xfId="12" applyFill="1" applyBorder="1">
      <alignment horizontal="right"/>
    </xf>
    <xf numFmtId="164" fontId="11" fillId="3" borderId="17" xfId="12" applyFont="1" applyBorder="1">
      <alignment horizontal="right"/>
    </xf>
    <xf numFmtId="165" fontId="7" fillId="8" borderId="17" xfId="12" applyNumberFormat="1" applyFill="1" applyBorder="1">
      <alignment horizontal="right"/>
    </xf>
    <xf numFmtId="164" fontId="5" fillId="3" borderId="17" xfId="9" applyBorder="1">
      <alignment horizontal="right"/>
    </xf>
    <xf numFmtId="164" fontId="7" fillId="0" borderId="17" xfId="12" applyFill="1" applyBorder="1">
      <alignment horizontal="right"/>
    </xf>
    <xf numFmtId="164" fontId="0" fillId="0" borderId="17" xfId="0" applyNumberFormat="1" applyBorder="1"/>
    <xf numFmtId="164" fontId="7" fillId="3" borderId="17" xfId="15" applyFont="1" applyBorder="1">
      <alignment horizontal="right"/>
    </xf>
    <xf numFmtId="165" fontId="7" fillId="0" borderId="17" xfId="12" applyNumberFormat="1" applyFill="1" applyBorder="1">
      <alignment horizontal="right"/>
    </xf>
    <xf numFmtId="164" fontId="9" fillId="3" borderId="17" xfId="15" applyBorder="1">
      <alignment horizontal="right"/>
    </xf>
    <xf numFmtId="165" fontId="9" fillId="8" borderId="17" xfId="12" applyNumberFormat="1" applyFont="1" applyFill="1" applyBorder="1">
      <alignment horizontal="right"/>
    </xf>
    <xf numFmtId="164" fontId="12" fillId="3" borderId="17" xfId="15" applyFont="1" applyBorder="1">
      <alignment horizontal="right"/>
    </xf>
    <xf numFmtId="3" fontId="5" fillId="3" borderId="16" xfId="17" applyBorder="1">
      <alignment horizontal="right"/>
    </xf>
    <xf numFmtId="165" fontId="5" fillId="0" borderId="17" xfId="9" applyNumberFormat="1" applyFill="1" applyBorder="1">
      <alignment horizontal="right"/>
    </xf>
    <xf numFmtId="165" fontId="7" fillId="8" borderId="17" xfId="9" applyNumberFormat="1" applyFont="1" applyFill="1" applyBorder="1">
      <alignment horizontal="right"/>
    </xf>
    <xf numFmtId="164" fontId="7" fillId="9" borderId="17" xfId="9" applyFont="1" applyFill="1" applyBorder="1">
      <alignment horizontal="right"/>
    </xf>
    <xf numFmtId="164" fontId="5" fillId="3" borderId="17" xfId="12" applyFont="1" applyBorder="1">
      <alignment horizontal="right"/>
    </xf>
    <xf numFmtId="164" fontId="7" fillId="0" borderId="17" xfId="9" applyFont="1" applyFill="1" applyBorder="1">
      <alignment horizontal="right"/>
    </xf>
    <xf numFmtId="10" fontId="7" fillId="8" borderId="17" xfId="26" applyNumberFormat="1" applyFont="1" applyFill="1" applyBorder="1" applyAlignment="1">
      <alignment horizontal="right"/>
    </xf>
    <xf numFmtId="10" fontId="7" fillId="8" borderId="17" xfId="9" applyNumberFormat="1" applyFont="1" applyFill="1" applyBorder="1">
      <alignment horizontal="right"/>
    </xf>
    <xf numFmtId="165" fontId="9" fillId="8" borderId="17" xfId="15" applyNumberFormat="1" applyFill="1" applyBorder="1">
      <alignment horizontal="right"/>
    </xf>
    <xf numFmtId="165" fontId="7" fillId="0" borderId="17" xfId="9" applyNumberFormat="1" applyFont="1" applyFill="1" applyBorder="1">
      <alignment horizontal="right"/>
    </xf>
    <xf numFmtId="164" fontId="9" fillId="0" borderId="17" xfId="15" applyFill="1" applyBorder="1">
      <alignment horizontal="right"/>
    </xf>
    <xf numFmtId="165" fontId="9" fillId="0" borderId="17" xfId="15" applyNumberFormat="1" applyFill="1" applyBorder="1">
      <alignment horizontal="right"/>
    </xf>
    <xf numFmtId="164" fontId="11" fillId="3" borderId="17" xfId="11" applyNumberFormat="1" applyFont="1" applyBorder="1"/>
    <xf numFmtId="164" fontId="5" fillId="0" borderId="17" xfId="9" applyFill="1" applyBorder="1">
      <alignment horizontal="right"/>
    </xf>
    <xf numFmtId="164" fontId="5" fillId="12" borderId="17" xfId="8" applyNumberFormat="1" applyFill="1" applyBorder="1"/>
    <xf numFmtId="164" fontId="5" fillId="0" borderId="17" xfId="8" applyNumberFormat="1" applyFill="1" applyBorder="1"/>
    <xf numFmtId="4" fontId="5" fillId="3" borderId="17" xfId="19" applyBorder="1">
      <alignment horizontal="right"/>
    </xf>
    <xf numFmtId="4" fontId="5" fillId="3" borderId="16" xfId="19" applyBorder="1">
      <alignment horizontal="right"/>
    </xf>
    <xf numFmtId="3" fontId="7" fillId="3" borderId="17" xfId="21" applyBorder="1">
      <alignment horizontal="right"/>
    </xf>
    <xf numFmtId="10" fontId="7" fillId="3" borderId="17" xfId="23" applyNumberFormat="1" applyBorder="1">
      <alignment horizontal="right"/>
    </xf>
    <xf numFmtId="164" fontId="6" fillId="3" borderId="17" xfId="11" applyNumberFormat="1" applyBorder="1"/>
    <xf numFmtId="4" fontId="7" fillId="3" borderId="17" xfId="23" applyBorder="1">
      <alignment horizontal="right"/>
    </xf>
    <xf numFmtId="164" fontId="7" fillId="3" borderId="16" xfId="12" applyBorder="1">
      <alignment horizontal="right"/>
    </xf>
    <xf numFmtId="3" fontId="7" fillId="3" borderId="10" xfId="21" applyBorder="1">
      <alignment horizontal="right"/>
    </xf>
    <xf numFmtId="164" fontId="14" fillId="3" borderId="10" xfId="21" applyNumberFormat="1" applyFont="1" applyBorder="1">
      <alignment horizontal="right"/>
    </xf>
    <xf numFmtId="164" fontId="16" fillId="3" borderId="10" xfId="21" applyNumberFormat="1" applyFont="1" applyBorder="1">
      <alignment horizontal="right"/>
    </xf>
    <xf numFmtId="4" fontId="11" fillId="3" borderId="10" xfId="21" applyNumberFormat="1" applyFont="1" applyBorder="1">
      <alignment horizontal="right"/>
    </xf>
    <xf numFmtId="3" fontId="5" fillId="3" borderId="15" xfId="17" applyBorder="1">
      <alignment horizontal="right"/>
    </xf>
    <xf numFmtId="164" fontId="14" fillId="3" borderId="17" xfId="21" applyNumberFormat="1" applyFont="1" applyBorder="1">
      <alignment horizontal="right"/>
    </xf>
    <xf numFmtId="164" fontId="16" fillId="3" borderId="17" xfId="21" applyNumberFormat="1" applyFont="1" applyBorder="1">
      <alignment horizontal="right"/>
    </xf>
    <xf numFmtId="4" fontId="16" fillId="3" borderId="17" xfId="21" applyNumberFormat="1" applyFont="1" applyBorder="1">
      <alignment horizontal="right"/>
    </xf>
    <xf numFmtId="4" fontId="7" fillId="3" borderId="16" xfId="23" applyBorder="1">
      <alignment horizontal="right"/>
    </xf>
    <xf numFmtId="0" fontId="2" fillId="2" borderId="14" xfId="2" applyBorder="1">
      <alignment horizontal="left" vertical="center" readingOrder="1"/>
    </xf>
    <xf numFmtId="0" fontId="16" fillId="3" borderId="4" xfId="3" applyFont="1" applyBorder="1">
      <alignment horizontal="center"/>
    </xf>
    <xf numFmtId="0" fontId="33" fillId="0" borderId="0" xfId="0" applyFont="1" applyAlignment="1">
      <alignment wrapText="1"/>
    </xf>
    <xf numFmtId="4" fontId="0" fillId="0" borderId="0" xfId="0" applyNumberFormat="1"/>
    <xf numFmtId="0" fontId="33" fillId="0" borderId="0" xfId="0" applyFont="1"/>
    <xf numFmtId="169" fontId="22" fillId="0" borderId="0" xfId="31" applyFont="1" applyAlignment="1">
      <alignment horizontal="right"/>
    </xf>
    <xf numFmtId="2" fontId="0" fillId="0" borderId="0" xfId="0" applyNumberFormat="1"/>
    <xf numFmtId="0" fontId="0" fillId="0" borderId="0" xfId="0" applyAlignment="1">
      <alignment horizontal="center"/>
    </xf>
    <xf numFmtId="0" fontId="27" fillId="8" borderId="0" xfId="0" applyFont="1" applyFill="1"/>
    <xf numFmtId="0" fontId="18" fillId="8" borderId="0" xfId="0" applyFont="1" applyFill="1"/>
    <xf numFmtId="167" fontId="25" fillId="8" borderId="0" xfId="0" applyNumberFormat="1" applyFont="1" applyFill="1"/>
    <xf numFmtId="167" fontId="27" fillId="8" borderId="0" xfId="0" applyNumberFormat="1" applyFont="1" applyFill="1"/>
    <xf numFmtId="167" fontId="34" fillId="0" borderId="9" xfId="0" applyNumberFormat="1" applyFont="1" applyBorder="1"/>
    <xf numFmtId="0" fontId="35" fillId="0" borderId="9" xfId="0" applyFont="1" applyBorder="1"/>
    <xf numFmtId="0" fontId="34" fillId="0" borderId="9" xfId="0" applyFont="1" applyBorder="1" applyAlignment="1">
      <alignment horizontal="center"/>
    </xf>
    <xf numFmtId="172" fontId="27" fillId="8" borderId="0" xfId="0" applyNumberFormat="1" applyFont="1" applyFill="1" applyAlignment="1">
      <alignment horizontal="right"/>
    </xf>
    <xf numFmtId="170" fontId="27" fillId="8" borderId="0" xfId="27" applyNumberFormat="1" applyFont="1" applyFill="1" applyBorder="1" applyAlignment="1">
      <alignment horizontal="right"/>
    </xf>
    <xf numFmtId="172" fontId="25" fillId="0" borderId="0" xfId="0" applyNumberFormat="1" applyFont="1" applyAlignment="1">
      <alignment horizontal="right"/>
    </xf>
    <xf numFmtId="170" fontId="25" fillId="0" borderId="0" xfId="27" applyNumberFormat="1" applyFont="1" applyFill="1" applyBorder="1" applyAlignment="1">
      <alignment horizontal="right"/>
    </xf>
    <xf numFmtId="172" fontId="25" fillId="8" borderId="0" xfId="0" applyNumberFormat="1" applyFont="1" applyFill="1" applyAlignment="1">
      <alignment horizontal="right"/>
    </xf>
    <xf numFmtId="170" fontId="25" fillId="8" borderId="0" xfId="27" applyNumberFormat="1" applyFont="1" applyFill="1" applyBorder="1" applyAlignment="1">
      <alignment horizontal="right"/>
    </xf>
    <xf numFmtId="174" fontId="25" fillId="8" borderId="0" xfId="27" applyNumberFormat="1" applyFont="1" applyFill="1" applyBorder="1" applyAlignment="1">
      <alignment horizontal="right"/>
    </xf>
    <xf numFmtId="164" fontId="25" fillId="0" borderId="0" xfId="0" applyNumberFormat="1" applyFont="1" applyAlignment="1">
      <alignment horizontal="right"/>
    </xf>
    <xf numFmtId="2" fontId="27" fillId="8" borderId="0" xfId="0" applyNumberFormat="1" applyFont="1" applyFill="1" applyAlignment="1">
      <alignment horizontal="right"/>
    </xf>
    <xf numFmtId="165" fontId="25" fillId="0" borderId="0" xfId="0" applyNumberFormat="1" applyFont="1" applyAlignment="1">
      <alignment horizontal="right"/>
    </xf>
    <xf numFmtId="0" fontId="27" fillId="0" borderId="9" xfId="0" applyFont="1" applyBorder="1" applyAlignment="1">
      <alignment horizontal="center"/>
    </xf>
    <xf numFmtId="0" fontId="27" fillId="0" borderId="10" xfId="0" applyFont="1" applyBorder="1" applyAlignment="1">
      <alignment vertical="center" textRotation="90" wrapText="1"/>
    </xf>
    <xf numFmtId="0" fontId="0" fillId="0" borderId="0" xfId="0" applyFill="1"/>
    <xf numFmtId="164" fontId="0" fillId="0" borderId="0" xfId="0" applyNumberFormat="1" applyFill="1"/>
    <xf numFmtId="0" fontId="7" fillId="0" borderId="5" xfId="9" applyNumberFormat="1" applyFont="1" applyFill="1">
      <alignment horizontal="right"/>
    </xf>
    <xf numFmtId="164" fontId="5" fillId="0" borderId="5" xfId="12" applyFont="1" applyFill="1">
      <alignment horizontal="right"/>
    </xf>
  </cellXfs>
  <cellStyles count="32">
    <cellStyle name="blp_column_header" xfId="1" xr:uid="{AF5E9FD9-E1CC-4488-9F49-99449398F9F8}"/>
    <cellStyle name="blp_title_header_row_left" xfId="2" xr:uid="{AD3005F5-B573-4EAB-BD68-BA242F7B5E33}"/>
    <cellStyle name="Comma 2" xfId="27" xr:uid="{A28551DF-1012-48E5-89CC-E7B4F849CC72}"/>
    <cellStyle name="Comma 2 2" xfId="31" xr:uid="{487D0B95-4428-4EFB-BE11-F4CE988E13A5}"/>
    <cellStyle name="defaultsheetstyle" xfId="29" xr:uid="{054908A0-C79C-45C5-A3AA-D8D5D29E32A4}"/>
    <cellStyle name="fa_column_header_bottom 2" xfId="7" xr:uid="{89DD1841-CB1B-402A-8347-2394D10ADE01}"/>
    <cellStyle name="fa_column_header_bottom_left 2" xfId="6" xr:uid="{5DE4E114-D7E3-41FB-AF52-DD2B01C490A6}"/>
    <cellStyle name="fa_column_header_empty" xfId="3" xr:uid="{82EC6045-30FF-4E1E-9863-DD764AD1EBB4}"/>
    <cellStyle name="fa_column_header_top 2" xfId="5" xr:uid="{739732CC-E3AC-4C7C-9B6C-7AF0CCE1A5A5}"/>
    <cellStyle name="fa_column_header_top_left 2" xfId="4" xr:uid="{AE2BCF61-C819-44E2-9030-C24A60F0C22E}"/>
    <cellStyle name="fa_data_bold_0_grouped" xfId="17" xr:uid="{63CDA8FE-0938-4FBA-84DA-5C1E25AD2BDA}"/>
    <cellStyle name="fa_data_bold_1_grouped" xfId="9" xr:uid="{6359FB8E-E99D-42FC-8CAB-835073915D54}"/>
    <cellStyle name="fa_data_bold_2_grouped" xfId="19" xr:uid="{FA717CFC-C6E1-429A-ABFF-35A664E3D85B}"/>
    <cellStyle name="fa_data_current_bold_0_grouped" xfId="18" xr:uid="{CFCCC057-74FA-4E20-9B8E-5C82FE7D4186}"/>
    <cellStyle name="fa_data_current_bold_1_grouped" xfId="10" xr:uid="{B4EDE9EB-3AF6-403C-B6E1-B9EB28D685AC}"/>
    <cellStyle name="fa_data_current_bold_2_grouped" xfId="20" xr:uid="{84B02A12-D98C-4D06-9CD3-C3FF5658010A}"/>
    <cellStyle name="fa_data_current_italic_1_grouped" xfId="16" xr:uid="{63FB0AE1-89FC-4FC2-A96B-494524F4A62F}"/>
    <cellStyle name="fa_data_current_standard_0_grouped" xfId="22" xr:uid="{8139DE1A-2303-4792-9DC1-A1D85F6844EA}"/>
    <cellStyle name="fa_data_current_standard_1_grouped" xfId="13" xr:uid="{D40E1010-6E8B-4B2D-9F43-F050C1E48D69}"/>
    <cellStyle name="fa_data_current_standard_2_grouped" xfId="24" xr:uid="{9FEB0961-D5F2-4678-A1B1-AD55F58F6AE9}"/>
    <cellStyle name="fa_data_italic_1_grouped" xfId="15" xr:uid="{7ED01D11-6CA3-4EC0-973F-02676B69A5B1}"/>
    <cellStyle name="fa_data_standard_0_grouped" xfId="21" xr:uid="{B34CA922-D0FE-402E-8EA1-F3D6BC7FE8DE}"/>
    <cellStyle name="fa_data_standard_1_grouped" xfId="12" xr:uid="{DA6C653E-2F16-4FBF-BCA3-A529939C6F72}"/>
    <cellStyle name="fa_data_standard_2_grouped" xfId="23" xr:uid="{3A8E2879-0FEB-4F16-8914-46E4C916EDED}"/>
    <cellStyle name="fa_footer_italic" xfId="25" xr:uid="{236C852C-DCEE-4DA8-BFF2-FAF381AF8319}"/>
    <cellStyle name="fa_row_header_bold 2" xfId="8" xr:uid="{E6B925C8-C3EA-4251-B482-ABA3E77812C1}"/>
    <cellStyle name="fa_row_header_italic" xfId="14" xr:uid="{9E9D6173-189A-4D21-9C42-3C9084B4C17B}"/>
    <cellStyle name="fa_row_header_standard 2" xfId="11" xr:uid="{C37A9181-5669-426F-9905-9BE5247AF187}"/>
    <cellStyle name="Normal" xfId="0" builtinId="0"/>
    <cellStyle name="Percent" xfId="26" builtinId="5"/>
    <cellStyle name="plainText" xfId="28" xr:uid="{4547C5DC-9FB8-44E5-8EA1-DD0D0990C7A7}"/>
    <cellStyle name="tablesubHeader" xfId="30" xr:uid="{3B7E0E42-4E6C-48EC-B988-DDBA7C0399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Valuation!$U$42</c:f>
          <c:strCache>
            <c:ptCount val="1"/>
            <c:pt idx="0">
              <c:v>Valuation of Sea Ltd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Valuation!$U$43:$U$47</c:f>
              <c:strCache>
                <c:ptCount val="5"/>
                <c:pt idx="0">
                  <c:v>52w Trading Range</c:v>
                </c:pt>
                <c:pt idx="1">
                  <c:v>Current Analyst Forecast</c:v>
                </c:pt>
                <c:pt idx="2">
                  <c:v>DCF (FCFF, FCFE, APV)</c:v>
                </c:pt>
                <c:pt idx="3">
                  <c:v>Comps by Segments</c:v>
                </c:pt>
                <c:pt idx="4">
                  <c:v>Comps as a Whole</c:v>
                </c:pt>
              </c:strCache>
            </c:strRef>
          </c:cat>
          <c:val>
            <c:numRef>
              <c:f>Valuation!$V$43:$V$47</c:f>
              <c:numCache>
                <c:formatCode>#,##0.00</c:formatCode>
                <c:ptCount val="5"/>
                <c:pt idx="0">
                  <c:v>55</c:v>
                </c:pt>
                <c:pt idx="1">
                  <c:v>29</c:v>
                </c:pt>
                <c:pt idx="2" formatCode="0.00">
                  <c:v>141.02127890877367</c:v>
                </c:pt>
                <c:pt idx="3">
                  <c:v>19.368635351276257</c:v>
                </c:pt>
                <c:pt idx="4">
                  <c:v>18.276305543984734</c:v>
                </c:pt>
              </c:numCache>
            </c:numRef>
          </c:val>
          <c:extLst>
            <c:ext xmlns:c16="http://schemas.microsoft.com/office/drawing/2014/chart" uri="{C3380CC4-5D6E-409C-BE32-E72D297353CC}">
              <c16:uniqueId val="{00000000-8D41-4D11-9F88-2E07F69725B8}"/>
            </c:ext>
          </c:extLst>
        </c:ser>
        <c:ser>
          <c:idx val="1"/>
          <c:order val="1"/>
          <c:spPr>
            <a:solidFill>
              <a:schemeClr val="tx2">
                <a:lumMod val="50000"/>
                <a:lumOff val="50000"/>
              </a:schemeClr>
            </a:solidFill>
            <a:ln>
              <a:noFill/>
            </a:ln>
            <a:effectLst/>
          </c:spPr>
          <c:invertIfNegative val="0"/>
          <c:cat>
            <c:strRef>
              <c:f>Valuation!$U$43:$U$47</c:f>
              <c:strCache>
                <c:ptCount val="5"/>
                <c:pt idx="0">
                  <c:v>52w Trading Range</c:v>
                </c:pt>
                <c:pt idx="1">
                  <c:v>Current Analyst Forecast</c:v>
                </c:pt>
                <c:pt idx="2">
                  <c:v>DCF (FCFF, FCFE, APV)</c:v>
                </c:pt>
                <c:pt idx="3">
                  <c:v>Comps by Segments</c:v>
                </c:pt>
                <c:pt idx="4">
                  <c:v>Comps as a Whole</c:v>
                </c:pt>
              </c:strCache>
            </c:strRef>
          </c:cat>
          <c:val>
            <c:numRef>
              <c:f>Valuation!$W$43:$W$47</c:f>
              <c:numCache>
                <c:formatCode>#,##0.00</c:formatCode>
                <c:ptCount val="5"/>
                <c:pt idx="0">
                  <c:v>92.72829999999999</c:v>
                </c:pt>
                <c:pt idx="1">
                  <c:v>153</c:v>
                </c:pt>
                <c:pt idx="2">
                  <c:v>14.859623254815574</c:v>
                </c:pt>
                <c:pt idx="3">
                  <c:v>87.707506308222491</c:v>
                </c:pt>
                <c:pt idx="4">
                  <c:v>82.514803751281789</c:v>
                </c:pt>
              </c:numCache>
            </c:numRef>
          </c:val>
          <c:extLst>
            <c:ext xmlns:c16="http://schemas.microsoft.com/office/drawing/2014/chart" uri="{C3380CC4-5D6E-409C-BE32-E72D297353CC}">
              <c16:uniqueId val="{00000001-8D41-4D11-9F88-2E07F69725B8}"/>
            </c:ext>
          </c:extLst>
        </c:ser>
        <c:dLbls>
          <c:showLegendKey val="0"/>
          <c:showVal val="0"/>
          <c:showCatName val="0"/>
          <c:showSerName val="0"/>
          <c:showPercent val="0"/>
          <c:showBubbleSize val="0"/>
        </c:dLbls>
        <c:gapWidth val="150"/>
        <c:overlap val="100"/>
        <c:axId val="1437190336"/>
        <c:axId val="809820640"/>
      </c:barChart>
      <c:scatterChart>
        <c:scatterStyle val="lineMarker"/>
        <c:varyColors val="0"/>
        <c:ser>
          <c:idx val="2"/>
          <c:order val="2"/>
          <c:tx>
            <c:v>Share price</c:v>
          </c:tx>
          <c:spPr>
            <a:ln w="28575" cap="rnd">
              <a:solidFill>
                <a:srgbClr val="FF0000"/>
              </a:solidFill>
              <a:prstDash val="dash"/>
              <a:round/>
            </a:ln>
            <a:effectLst/>
          </c:spPr>
          <c:marker>
            <c:symbol val="circle"/>
            <c:size val="5"/>
            <c:spPr>
              <a:noFill/>
              <a:ln w="9525">
                <a:no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4-8D41-4D11-9F88-2E07F69725B8}"/>
                </c:ext>
              </c:extLst>
            </c:dLbl>
            <c:dLbl>
              <c:idx val="1"/>
              <c:layout>
                <c:manualLayout>
                  <c:x val="-5.6065239551478081E-2"/>
                  <c:y val="-4.166666666666667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D41-4D11-9F88-2E07F69725B8}"/>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Valuation!$V$51:$V$52</c:f>
              <c:numCache>
                <c:formatCode>#,##0.00</c:formatCode>
                <c:ptCount val="2"/>
                <c:pt idx="0">
                  <c:v>130.66999999999999</c:v>
                </c:pt>
                <c:pt idx="1">
                  <c:v>130.66999999999999</c:v>
                </c:pt>
              </c:numCache>
            </c:numRef>
          </c:xVal>
          <c:yVal>
            <c:numRef>
              <c:f>Valuation!$W$51:$W$52</c:f>
              <c:numCache>
                <c:formatCode>General</c:formatCode>
                <c:ptCount val="2"/>
                <c:pt idx="0">
                  <c:v>0</c:v>
                </c:pt>
                <c:pt idx="1">
                  <c:v>7</c:v>
                </c:pt>
              </c:numCache>
            </c:numRef>
          </c:yVal>
          <c:smooth val="0"/>
          <c:extLst>
            <c:ext xmlns:c16="http://schemas.microsoft.com/office/drawing/2014/chart" uri="{C3380CC4-5D6E-409C-BE32-E72D297353CC}">
              <c16:uniqueId val="{00000002-8D41-4D11-9F88-2E07F69725B8}"/>
            </c:ext>
          </c:extLst>
        </c:ser>
        <c:ser>
          <c:idx val="3"/>
          <c:order val="3"/>
          <c:tx>
            <c:v>Data labels</c:v>
          </c:tx>
          <c:spPr>
            <a:ln w="28575" cap="rnd">
              <a:noFill/>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Valuation!$Y$43:$Y$47</c:f>
              <c:numCache>
                <c:formatCode>#,##0.00</c:formatCode>
                <c:ptCount val="5"/>
                <c:pt idx="0">
                  <c:v>147.72829999999999</c:v>
                </c:pt>
                <c:pt idx="1">
                  <c:v>182</c:v>
                </c:pt>
                <c:pt idx="2" formatCode="0.00">
                  <c:v>155.88090216358924</c:v>
                </c:pt>
                <c:pt idx="3">
                  <c:v>107.07614165949875</c:v>
                </c:pt>
                <c:pt idx="4">
                  <c:v>100.79110929526652</c:v>
                </c:pt>
              </c:numCache>
            </c:numRef>
          </c:xVal>
          <c:yVal>
            <c:numRef>
              <c:f>Valuation!$X$43:$X$47</c:f>
              <c:numCache>
                <c:formatCode>General</c:formatCode>
                <c:ptCount val="5"/>
                <c:pt idx="0">
                  <c:v>6.3</c:v>
                </c:pt>
                <c:pt idx="1">
                  <c:v>4.9000000000000004</c:v>
                </c:pt>
                <c:pt idx="2">
                  <c:v>3.5000000000000004</c:v>
                </c:pt>
                <c:pt idx="3">
                  <c:v>2.1000000000000005</c:v>
                </c:pt>
                <c:pt idx="4">
                  <c:v>0.70000000000000062</c:v>
                </c:pt>
              </c:numCache>
            </c:numRef>
          </c:yVal>
          <c:smooth val="0"/>
          <c:extLst>
            <c:ext xmlns:c16="http://schemas.microsoft.com/office/drawing/2014/chart" uri="{C3380CC4-5D6E-409C-BE32-E72D297353CC}">
              <c16:uniqueId val="{00000003-8D41-4D11-9F88-2E07F69725B8}"/>
            </c:ext>
          </c:extLst>
        </c:ser>
        <c:dLbls>
          <c:showLegendKey val="0"/>
          <c:showVal val="0"/>
          <c:showCatName val="0"/>
          <c:showSerName val="0"/>
          <c:showPercent val="0"/>
          <c:showBubbleSize val="0"/>
        </c:dLbls>
        <c:axId val="1434383712"/>
        <c:axId val="1434384576"/>
      </c:scatterChart>
      <c:catAx>
        <c:axId val="1437190336"/>
        <c:scaling>
          <c:orientation val="maxMin"/>
        </c:scaling>
        <c:delete val="0"/>
        <c:axPos val="l"/>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9820640"/>
        <c:crosses val="autoZero"/>
        <c:auto val="1"/>
        <c:lblAlgn val="ctr"/>
        <c:lblOffset val="100"/>
        <c:noMultiLvlLbl val="0"/>
      </c:catAx>
      <c:valAx>
        <c:axId val="809820640"/>
        <c:scaling>
          <c:orientation val="minMax"/>
          <c:max val="190"/>
          <c:min val="0"/>
        </c:scaling>
        <c:delete val="0"/>
        <c:axPos val="b"/>
        <c:title>
          <c:tx>
            <c:rich>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GB" sz="900">
                    <a:solidFill>
                      <a:sysClr val="windowText" lastClr="000000"/>
                    </a:solidFill>
                  </a:rPr>
                  <a:t>Implied share price</a:t>
                </a:r>
              </a:p>
            </c:rich>
          </c:tx>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itle>
        <c:numFmt formatCode="#,##0.0" sourceLinked="0"/>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1437190336"/>
        <c:crosses val="max"/>
        <c:crossBetween val="between"/>
      </c:valAx>
      <c:valAx>
        <c:axId val="1434384576"/>
        <c:scaling>
          <c:orientation val="minMax"/>
          <c:max val="7"/>
        </c:scaling>
        <c:delete val="1"/>
        <c:axPos val="r"/>
        <c:numFmt formatCode="General" sourceLinked="1"/>
        <c:majorTickMark val="out"/>
        <c:minorTickMark val="none"/>
        <c:tickLblPos val="nextTo"/>
        <c:crossAx val="1434383712"/>
        <c:crosses val="max"/>
        <c:crossBetween val="midCat"/>
      </c:valAx>
      <c:valAx>
        <c:axId val="1434383712"/>
        <c:scaling>
          <c:orientation val="minMax"/>
        </c:scaling>
        <c:delete val="1"/>
        <c:axPos val="b"/>
        <c:numFmt formatCode="#,##0.00" sourceLinked="1"/>
        <c:majorTickMark val="out"/>
        <c:minorTickMark val="none"/>
        <c:tickLblPos val="nextTo"/>
        <c:crossAx val="1434384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6046634700194"/>
          <c:y val="0.19386628754738991"/>
          <c:w val="0.82705657210363981"/>
          <c:h val="0.69910469524642749"/>
        </c:manualLayout>
      </c:layout>
      <c:barChart>
        <c:barDir val="col"/>
        <c:grouping val="clustered"/>
        <c:varyColors val="0"/>
        <c:ser>
          <c:idx val="0"/>
          <c:order val="0"/>
          <c:tx>
            <c:strRef>
              <c:f>Valuation!$A$53</c:f>
              <c:strCache>
                <c:ptCount val="1"/>
                <c:pt idx="0">
                  <c:v>Equity value per share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Valuation!$D$44:$F$44</c:f>
              <c:strCache>
                <c:ptCount val="3"/>
                <c:pt idx="0">
                  <c:v>FCFF</c:v>
                </c:pt>
                <c:pt idx="1">
                  <c:v>FCFE</c:v>
                </c:pt>
                <c:pt idx="2">
                  <c:v>APV</c:v>
                </c:pt>
              </c:strCache>
            </c:strRef>
          </c:cat>
          <c:val>
            <c:numRef>
              <c:f>Valuation!$D$53:$F$53</c:f>
              <c:numCache>
                <c:formatCode>0.00</c:formatCode>
                <c:ptCount val="3"/>
                <c:pt idx="0">
                  <c:v>146.55325655521725</c:v>
                </c:pt>
                <c:pt idx="1">
                  <c:v>155.88090216358924</c:v>
                </c:pt>
                <c:pt idx="2">
                  <c:v>141.02127890877367</c:v>
                </c:pt>
              </c:numCache>
            </c:numRef>
          </c:val>
          <c:extLst>
            <c:ext xmlns:c16="http://schemas.microsoft.com/office/drawing/2014/chart" uri="{C3380CC4-5D6E-409C-BE32-E72D297353CC}">
              <c16:uniqueId val="{00000000-96DD-4E45-A822-6E3EDA423144}"/>
            </c:ext>
          </c:extLst>
        </c:ser>
        <c:dLbls>
          <c:showLegendKey val="0"/>
          <c:showVal val="0"/>
          <c:showCatName val="0"/>
          <c:showSerName val="0"/>
          <c:showPercent val="0"/>
          <c:showBubbleSize val="0"/>
        </c:dLbls>
        <c:gapWidth val="139"/>
        <c:axId val="981252576"/>
        <c:axId val="981253536"/>
      </c:barChart>
      <c:scatterChart>
        <c:scatterStyle val="lineMarker"/>
        <c:varyColors val="0"/>
        <c:ser>
          <c:idx val="1"/>
          <c:order val="1"/>
          <c:tx>
            <c:v>Current price</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96DD-4E45-A822-6E3EDA423144}"/>
                </c:ext>
              </c:extLst>
            </c:dLbl>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Valuation!$M$47:$M$48</c:f>
              <c:numCache>
                <c:formatCode>General</c:formatCode>
                <c:ptCount val="2"/>
                <c:pt idx="0">
                  <c:v>0</c:v>
                </c:pt>
                <c:pt idx="1">
                  <c:v>4</c:v>
                </c:pt>
              </c:numCache>
            </c:numRef>
          </c:xVal>
          <c:yVal>
            <c:numRef>
              <c:f>Valuation!$N$47:$N$48</c:f>
              <c:numCache>
                <c:formatCode>General</c:formatCode>
                <c:ptCount val="2"/>
                <c:pt idx="0">
                  <c:v>130.66999999999999</c:v>
                </c:pt>
                <c:pt idx="1">
                  <c:v>130.66999999999999</c:v>
                </c:pt>
              </c:numCache>
            </c:numRef>
          </c:yVal>
          <c:smooth val="0"/>
          <c:extLst>
            <c:ext xmlns:c16="http://schemas.microsoft.com/office/drawing/2014/chart" uri="{C3380CC4-5D6E-409C-BE32-E72D297353CC}">
              <c16:uniqueId val="{00000003-96DD-4E45-A822-6E3EDA423144}"/>
            </c:ext>
          </c:extLst>
        </c:ser>
        <c:dLbls>
          <c:showLegendKey val="0"/>
          <c:showVal val="0"/>
          <c:showCatName val="0"/>
          <c:showSerName val="0"/>
          <c:showPercent val="0"/>
          <c:showBubbleSize val="0"/>
        </c:dLbls>
        <c:axId val="981252576"/>
        <c:axId val="981253536"/>
      </c:scatterChart>
      <c:catAx>
        <c:axId val="981252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81253536"/>
        <c:crosses val="autoZero"/>
        <c:auto val="1"/>
        <c:lblAlgn val="ctr"/>
        <c:lblOffset val="100"/>
        <c:noMultiLvlLbl val="0"/>
      </c:catAx>
      <c:valAx>
        <c:axId val="98125353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81252576"/>
        <c:crosses val="autoZero"/>
        <c:crossBetween val="between"/>
      </c:valAx>
      <c:spPr>
        <a:noFill/>
        <a:ln>
          <a:noFill/>
        </a:ln>
        <a:effectLst/>
      </c:spPr>
    </c:plotArea>
    <c:legend>
      <c:legendPos val="t"/>
      <c:layout>
        <c:manualLayout>
          <c:xMode val="edge"/>
          <c:yMode val="edge"/>
          <c:x val="0.193956305359997"/>
          <c:y val="1.3888888888888888E-2"/>
          <c:w val="0.42539356714830195"/>
          <c:h val="0.1753477690288713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Revenue</a:t>
            </a:r>
            <a:r>
              <a:rPr lang="en-SG" baseline="0"/>
              <a:t> and Net Margin</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G"/>
        </a:p>
      </c:txPr>
    </c:title>
    <c:autoTitleDeleted val="0"/>
    <c:plotArea>
      <c:layout/>
      <c:barChart>
        <c:barDir val="col"/>
        <c:grouping val="clustered"/>
        <c:varyColors val="0"/>
        <c:ser>
          <c:idx val="0"/>
          <c:order val="0"/>
          <c:tx>
            <c:strRef>
              <c:f>'IS Model'!$A$5</c:f>
              <c:strCache>
                <c:ptCount val="1"/>
                <c:pt idx="0">
                  <c:v>Revenue</c:v>
                </c:pt>
              </c:strCache>
            </c:strRef>
          </c:tx>
          <c:spPr>
            <a:solidFill>
              <a:schemeClr val="accent1"/>
            </a:solidFill>
            <a:ln>
              <a:noFill/>
            </a:ln>
            <a:effectLst/>
          </c:spPr>
          <c:invertIfNegative val="0"/>
          <c:cat>
            <c:strRef>
              <c:f>'IS Model'!$D$3:$I$3</c:f>
              <c:strCache>
                <c:ptCount val="6"/>
                <c:pt idx="0">
                  <c:v>FY 2021</c:v>
                </c:pt>
                <c:pt idx="1">
                  <c:v>FY 2022</c:v>
                </c:pt>
                <c:pt idx="2">
                  <c:v>FY 2023</c:v>
                </c:pt>
                <c:pt idx="3">
                  <c:v>FY 2024</c:v>
                </c:pt>
                <c:pt idx="4">
                  <c:v>FY 2025E</c:v>
                </c:pt>
                <c:pt idx="5">
                  <c:v>FY 2026E</c:v>
                </c:pt>
              </c:strCache>
            </c:strRef>
          </c:cat>
          <c:val>
            <c:numRef>
              <c:f>'IS Model'!$D$5:$I$5</c:f>
              <c:numCache>
                <c:formatCode>#,##0.0</c:formatCode>
                <c:ptCount val="6"/>
                <c:pt idx="0">
                  <c:v>9955.19</c:v>
                </c:pt>
                <c:pt idx="1">
                  <c:v>12449.705</c:v>
                </c:pt>
                <c:pt idx="2">
                  <c:v>13063.56</c:v>
                </c:pt>
                <c:pt idx="3">
                  <c:v>16819.866000000002</c:v>
                </c:pt>
                <c:pt idx="4">
                  <c:v>21154.576106884386</c:v>
                </c:pt>
                <c:pt idx="5">
                  <c:v>26498.461411798744</c:v>
                </c:pt>
              </c:numCache>
            </c:numRef>
          </c:val>
          <c:extLst>
            <c:ext xmlns:c16="http://schemas.microsoft.com/office/drawing/2014/chart" uri="{C3380CC4-5D6E-409C-BE32-E72D297353CC}">
              <c16:uniqueId val="{00000000-2D63-4FCF-9174-E9C45518F9BD}"/>
            </c:ext>
          </c:extLst>
        </c:ser>
        <c:dLbls>
          <c:showLegendKey val="0"/>
          <c:showVal val="0"/>
          <c:showCatName val="0"/>
          <c:showSerName val="0"/>
          <c:showPercent val="0"/>
          <c:showBubbleSize val="0"/>
        </c:dLbls>
        <c:gapWidth val="219"/>
        <c:axId val="1678808032"/>
        <c:axId val="1693308944"/>
      </c:barChart>
      <c:lineChart>
        <c:grouping val="standard"/>
        <c:varyColors val="0"/>
        <c:ser>
          <c:idx val="1"/>
          <c:order val="1"/>
          <c:tx>
            <c:strRef>
              <c:f>'IS Model'!$A$40</c:f>
              <c:strCache>
                <c:ptCount val="1"/>
                <c:pt idx="0">
                  <c:v>Operating Margin</c:v>
                </c:pt>
              </c:strCache>
            </c:strRef>
          </c:tx>
          <c:spPr>
            <a:ln w="28575" cap="rnd">
              <a:solidFill>
                <a:schemeClr val="accent2"/>
              </a:solidFill>
              <a:round/>
            </a:ln>
            <a:effectLst/>
          </c:spPr>
          <c:marker>
            <c:symbol val="none"/>
          </c:marker>
          <c:cat>
            <c:multiLvlStrRef>
              <c:f>'IS Model'!$D$3:$I$4</c:f>
              <c:multiLvlStrCache>
                <c:ptCount val="6"/>
                <c:lvl>
                  <c:pt idx="0">
                    <c:v>12/31/2021</c:v>
                  </c:pt>
                  <c:pt idx="1">
                    <c:v>12/31/2022</c:v>
                  </c:pt>
                  <c:pt idx="2">
                    <c:v>12/31/2023</c:v>
                  </c:pt>
                  <c:pt idx="3">
                    <c:v>12/31/2024</c:v>
                  </c:pt>
                  <c:pt idx="4">
                    <c:v>12/31/2025</c:v>
                  </c:pt>
                  <c:pt idx="5">
                    <c:v>12/31/2026</c:v>
                  </c:pt>
                </c:lvl>
                <c:lvl>
                  <c:pt idx="0">
                    <c:v>FY 2021</c:v>
                  </c:pt>
                  <c:pt idx="1">
                    <c:v>FY 2022</c:v>
                  </c:pt>
                  <c:pt idx="2">
                    <c:v>FY 2023</c:v>
                  </c:pt>
                  <c:pt idx="3">
                    <c:v>FY 2024</c:v>
                  </c:pt>
                  <c:pt idx="4">
                    <c:v>FY 2025E</c:v>
                  </c:pt>
                  <c:pt idx="5">
                    <c:v>FY 2026E</c:v>
                  </c:pt>
                </c:lvl>
              </c:multiLvlStrCache>
            </c:multiLvlStrRef>
          </c:cat>
          <c:val>
            <c:numRef>
              <c:f>'IS Model'!$D$40:$I$40</c:f>
              <c:numCache>
                <c:formatCode>0.0%</c:formatCode>
                <c:ptCount val="6"/>
                <c:pt idx="0">
                  <c:v>-1.6025015487899188</c:v>
                </c:pt>
                <c:pt idx="1">
                  <c:v>-1.0347075566981909</c:v>
                </c:pt>
                <c:pt idx="2">
                  <c:v>0.19809046076402662</c:v>
                </c:pt>
                <c:pt idx="3">
                  <c:v>0.52232299918119962</c:v>
                </c:pt>
                <c:pt idx="4">
                  <c:v>0.23034248329764875</c:v>
                </c:pt>
                <c:pt idx="5">
                  <c:v>0.43570444718086082</c:v>
                </c:pt>
              </c:numCache>
            </c:numRef>
          </c:val>
          <c:smooth val="0"/>
          <c:extLst>
            <c:ext xmlns:c16="http://schemas.microsoft.com/office/drawing/2014/chart" uri="{C3380CC4-5D6E-409C-BE32-E72D297353CC}">
              <c16:uniqueId val="{00000001-2D63-4FCF-9174-E9C45518F9BD}"/>
            </c:ext>
          </c:extLst>
        </c:ser>
        <c:dLbls>
          <c:showLegendKey val="0"/>
          <c:showVal val="0"/>
          <c:showCatName val="0"/>
          <c:showSerName val="0"/>
          <c:showPercent val="0"/>
          <c:showBubbleSize val="0"/>
        </c:dLbls>
        <c:marker val="1"/>
        <c:smooth val="0"/>
        <c:axId val="1701386176"/>
        <c:axId val="1701387616"/>
      </c:lineChart>
      <c:catAx>
        <c:axId val="167880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08944"/>
        <c:crosses val="autoZero"/>
        <c:auto val="1"/>
        <c:lblAlgn val="ctr"/>
        <c:lblOffset val="100"/>
        <c:noMultiLvlLbl val="0"/>
      </c:catAx>
      <c:valAx>
        <c:axId val="169330894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808032"/>
        <c:crosses val="autoZero"/>
        <c:crossBetween val="between"/>
      </c:valAx>
      <c:valAx>
        <c:axId val="170138761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386176"/>
        <c:crosses val="max"/>
        <c:crossBetween val="between"/>
      </c:valAx>
      <c:catAx>
        <c:axId val="1701386176"/>
        <c:scaling>
          <c:orientation val="minMax"/>
        </c:scaling>
        <c:delete val="1"/>
        <c:axPos val="b"/>
        <c:numFmt formatCode="General" sourceLinked="1"/>
        <c:majorTickMark val="out"/>
        <c:minorTickMark val="none"/>
        <c:tickLblPos val="nextTo"/>
        <c:crossAx val="17013876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25</xdr:col>
      <xdr:colOff>449580</xdr:colOff>
      <xdr:row>39</xdr:row>
      <xdr:rowOff>22860</xdr:rowOff>
    </xdr:from>
    <xdr:to>
      <xdr:col>34</xdr:col>
      <xdr:colOff>327660</xdr:colOff>
      <xdr:row>54</xdr:row>
      <xdr:rowOff>7620</xdr:rowOff>
    </xdr:to>
    <xdr:graphicFrame macro="">
      <xdr:nvGraphicFramePr>
        <xdr:cNvPr id="7" name="Chart 6">
          <a:extLst>
            <a:ext uri="{FF2B5EF4-FFF2-40B4-BE49-F238E27FC236}">
              <a16:creationId xmlns:a16="http://schemas.microsoft.com/office/drawing/2014/main" id="{B1EDFC23-E307-461D-B7E9-6A22E7BE6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260316</xdr:colOff>
      <xdr:row>39</xdr:row>
      <xdr:rowOff>8239</xdr:rowOff>
    </xdr:from>
    <xdr:to>
      <xdr:col>41</xdr:col>
      <xdr:colOff>348873</xdr:colOff>
      <xdr:row>53</xdr:row>
      <xdr:rowOff>178351</xdr:rowOff>
    </xdr:to>
    <xdr:graphicFrame macro="">
      <xdr:nvGraphicFramePr>
        <xdr:cNvPr id="2" name="Chart 1">
          <a:extLst>
            <a:ext uri="{FF2B5EF4-FFF2-40B4-BE49-F238E27FC236}">
              <a16:creationId xmlns:a16="http://schemas.microsoft.com/office/drawing/2014/main" id="{EEA510C1-35AE-17C4-2088-B2E934459F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66</xdr:row>
      <xdr:rowOff>142875</xdr:rowOff>
    </xdr:from>
    <xdr:to>
      <xdr:col>10</xdr:col>
      <xdr:colOff>1024890</xdr:colOff>
      <xdr:row>82</xdr:row>
      <xdr:rowOff>1939</xdr:rowOff>
    </xdr:to>
    <xdr:pic>
      <xdr:nvPicPr>
        <xdr:cNvPr id="3" name="Picture 1">
          <a:extLst>
            <a:ext uri="{FF2B5EF4-FFF2-40B4-BE49-F238E27FC236}">
              <a16:creationId xmlns:a16="http://schemas.microsoft.com/office/drawing/2014/main" id="{58695B89-CA6C-45FE-86A6-75948C40ADD7}"/>
            </a:ext>
          </a:extLst>
        </xdr:cNvPr>
        <xdr:cNvPicPr>
          <a:picLocks noChangeAspect="1"/>
        </xdr:cNvPicPr>
      </xdr:nvPicPr>
      <xdr:blipFill>
        <a:blip xmlns:r="http://schemas.openxmlformats.org/officeDocument/2006/relationships" r:embed="rId1"/>
        <a:stretch>
          <a:fillRect/>
        </a:stretch>
      </xdr:blipFill>
      <xdr:spPr>
        <a:xfrm>
          <a:off x="0" y="12449175"/>
          <a:ext cx="11906250" cy="27851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19050</xdr:colOff>
      <xdr:row>3</xdr:row>
      <xdr:rowOff>66675</xdr:rowOff>
    </xdr:from>
    <xdr:to>
      <xdr:col>36</xdr:col>
      <xdr:colOff>289832</xdr:colOff>
      <xdr:row>25</xdr:row>
      <xdr:rowOff>107496</xdr:rowOff>
    </xdr:to>
    <xdr:pic>
      <xdr:nvPicPr>
        <xdr:cNvPr id="2" name="Picture 1">
          <a:extLst>
            <a:ext uri="{FF2B5EF4-FFF2-40B4-BE49-F238E27FC236}">
              <a16:creationId xmlns:a16="http://schemas.microsoft.com/office/drawing/2014/main" id="{87B0E142-E53A-4C4B-9CBD-D1AC014FD3B6}"/>
            </a:ext>
          </a:extLst>
        </xdr:cNvPr>
        <xdr:cNvPicPr>
          <a:picLocks noChangeAspect="1"/>
        </xdr:cNvPicPr>
      </xdr:nvPicPr>
      <xdr:blipFill>
        <a:blip xmlns:r="http://schemas.openxmlformats.org/officeDocument/2006/relationships" r:embed="rId1"/>
        <a:stretch>
          <a:fillRect/>
        </a:stretch>
      </xdr:blipFill>
      <xdr:spPr>
        <a:xfrm>
          <a:off x="9191625" y="638175"/>
          <a:ext cx="16120382" cy="4231821"/>
        </a:xfrm>
        <a:prstGeom prst="rect">
          <a:avLst/>
        </a:prstGeom>
      </xdr:spPr>
    </xdr:pic>
    <xdr:clientData/>
  </xdr:twoCellAnchor>
  <xdr:twoCellAnchor editAs="oneCell">
    <xdr:from>
      <xdr:col>10</xdr:col>
      <xdr:colOff>314325</xdr:colOff>
      <xdr:row>24</xdr:row>
      <xdr:rowOff>161925</xdr:rowOff>
    </xdr:from>
    <xdr:to>
      <xdr:col>23</xdr:col>
      <xdr:colOff>143957</xdr:colOff>
      <xdr:row>61</xdr:row>
      <xdr:rowOff>162909</xdr:rowOff>
    </xdr:to>
    <xdr:pic>
      <xdr:nvPicPr>
        <xdr:cNvPr id="3" name="Picture 2">
          <a:extLst>
            <a:ext uri="{FF2B5EF4-FFF2-40B4-BE49-F238E27FC236}">
              <a16:creationId xmlns:a16="http://schemas.microsoft.com/office/drawing/2014/main" id="{EF2D472C-FEE4-49E0-8C59-39750031DFC3}"/>
            </a:ext>
          </a:extLst>
        </xdr:cNvPr>
        <xdr:cNvPicPr>
          <a:picLocks noChangeAspect="1"/>
        </xdr:cNvPicPr>
      </xdr:nvPicPr>
      <xdr:blipFill>
        <a:blip xmlns:r="http://schemas.openxmlformats.org/officeDocument/2006/relationships" r:embed="rId2"/>
        <a:stretch>
          <a:fillRect/>
        </a:stretch>
      </xdr:blipFill>
      <xdr:spPr>
        <a:xfrm>
          <a:off x="9486900" y="4733925"/>
          <a:ext cx="7754432" cy="70494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xdr:colOff>
      <xdr:row>1</xdr:row>
      <xdr:rowOff>7620</xdr:rowOff>
    </xdr:from>
    <xdr:to>
      <xdr:col>8</xdr:col>
      <xdr:colOff>320040</xdr:colOff>
      <xdr:row>16</xdr:row>
      <xdr:rowOff>34290</xdr:rowOff>
    </xdr:to>
    <xdr:graphicFrame macro="">
      <xdr:nvGraphicFramePr>
        <xdr:cNvPr id="2" name="Chart 1">
          <a:extLst>
            <a:ext uri="{FF2B5EF4-FFF2-40B4-BE49-F238E27FC236}">
              <a16:creationId xmlns:a16="http://schemas.microsoft.com/office/drawing/2014/main" id="{93070A94-BD75-4F87-8BA4-814881130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nus%20corp%20fin\SE%20FS%20-%20Chang%20v3.xlsx" TargetMode="External"/><Relationship Id="rId1" Type="http://schemas.openxmlformats.org/officeDocument/2006/relationships/externalLinkPath" Target="file:///C:\Users\User\Desktop\nus%20corp%20fin\SE%20FS%20-%20Chang%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S Model (w digi fin"/>
      <sheetName val="Sheet1"/>
      <sheetName val="BS Model"/>
      <sheetName val="Valuation"/>
      <sheetName val="Income - Actual"/>
      <sheetName val="Balance Sheet - Actual"/>
      <sheetName val="Cash Flow - Actual"/>
    </sheetNames>
    <sheetDataSet>
      <sheetData sheetId="0"/>
      <sheetData sheetId="1"/>
      <sheetData sheetId="2">
        <row r="6">
          <cell r="C6">
            <v>6292.9790000000003</v>
          </cell>
          <cell r="D6">
            <v>10159.043000000001</v>
          </cell>
          <cell r="E6">
            <v>6894.1170000000002</v>
          </cell>
          <cell r="F6">
            <v>5358.7</v>
          </cell>
          <cell r="G6">
            <v>8620.5759999999991</v>
          </cell>
          <cell r="H6">
            <v>11775.550345123058</v>
          </cell>
          <cell r="I6">
            <v>14390.745440022214</v>
          </cell>
          <cell r="J6">
            <v>17628.718701410722</v>
          </cell>
          <cell r="K6">
            <v>22171.613430437857</v>
          </cell>
          <cell r="L6">
            <v>27834.502968513323</v>
          </cell>
          <cell r="M6">
            <v>35471.687055599301</v>
          </cell>
          <cell r="N6">
            <v>44466.600272155076</v>
          </cell>
          <cell r="O6">
            <v>55108.648100746803</v>
          </cell>
          <cell r="P6">
            <v>67613.083431536972</v>
          </cell>
          <cell r="Q6">
            <v>82306.772404337418</v>
          </cell>
        </row>
        <row r="121">
          <cell r="C121">
            <v>2092.7819999999997</v>
          </cell>
          <cell r="D121">
            <v>4253.5150000000003</v>
          </cell>
          <cell r="E121">
            <v>4485.183</v>
          </cell>
          <cell r="F121">
            <v>4447.835</v>
          </cell>
          <cell r="G121">
            <v>4110.6329999999998</v>
          </cell>
          <cell r="H121">
            <v>4918.6821086000245</v>
          </cell>
          <cell r="I121">
            <v>5941.0580882153008</v>
          </cell>
          <cell r="J121">
            <v>7239.7480076273669</v>
          </cell>
          <cell r="K121">
            <v>9080.7243722776166</v>
          </cell>
          <cell r="L121">
            <v>11348.759057621537</v>
          </cell>
          <cell r="M121">
            <v>14433.799073808903</v>
          </cell>
          <cell r="N121">
            <v>18053.030656686224</v>
          </cell>
          <cell r="O121">
            <v>22318.978055072406</v>
          </cell>
          <cell r="P121">
            <v>27330.845936927017</v>
          </cell>
          <cell r="Q121">
            <v>33215.518809624496</v>
          </cell>
        </row>
      </sheetData>
      <sheetData sheetId="3"/>
      <sheetData sheetId="4">
        <row r="8">
          <cell r="D8">
            <v>4320.0129999999999</v>
          </cell>
          <cell r="E8">
            <v>3877.163</v>
          </cell>
          <cell r="F8">
            <v>2172.009</v>
          </cell>
          <cell r="G8">
            <v>1910.5889999999999</v>
          </cell>
        </row>
        <row r="13">
          <cell r="C13">
            <v>353.78500000000003</v>
          </cell>
          <cell r="D13">
            <v>831.70299999999997</v>
          </cell>
          <cell r="E13">
            <v>1376.501</v>
          </cell>
          <cell r="F13">
            <v>1164.126</v>
          </cell>
          <cell r="G13">
            <v>1206.05</v>
          </cell>
        </row>
        <row r="14">
          <cell r="C14">
            <v>1830.875</v>
          </cell>
          <cell r="D14">
            <v>3829.7429999999999</v>
          </cell>
          <cell r="E14">
            <v>3269.223</v>
          </cell>
          <cell r="F14">
            <v>2779.223</v>
          </cell>
          <cell r="G14">
            <v>3472.6860000000001</v>
          </cell>
        </row>
        <row r="15">
          <cell r="C15">
            <v>57.509</v>
          </cell>
          <cell r="D15">
            <v>117.42700000000001</v>
          </cell>
          <cell r="E15">
            <v>513.69000000000005</v>
          </cell>
          <cell r="F15">
            <v>633.94200000000001</v>
          </cell>
          <cell r="G15">
            <v>776.93700000000001</v>
          </cell>
        </row>
        <row r="16">
          <cell r="C16">
            <v>599.70600000000002</v>
          </cell>
          <cell r="D16">
            <v>987.86800000000005</v>
          </cell>
          <cell r="E16">
            <v>1437.6120000000001</v>
          </cell>
          <cell r="F16">
            <v>1134.7239999999999</v>
          </cell>
          <cell r="G16">
            <v>1267.7059999999999</v>
          </cell>
        </row>
        <row r="19">
          <cell r="C19">
            <v>0</v>
          </cell>
          <cell r="D19">
            <v>0</v>
          </cell>
          <cell r="E19">
            <v>354.94299999999998</v>
          </cell>
          <cell r="F19">
            <v>117.875</v>
          </cell>
          <cell r="G19">
            <v>0</v>
          </cell>
        </row>
        <row r="22">
          <cell r="C22">
            <v>-189.64500000000001</v>
          </cell>
          <cell r="D22">
            <v>-287.94600000000003</v>
          </cell>
          <cell r="E22">
            <v>-279.18400000000003</v>
          </cell>
          <cell r="F22">
            <v>-221.02099999999999</v>
          </cell>
          <cell r="G22">
            <v>-180.44300000000001</v>
          </cell>
        </row>
        <row r="23">
          <cell r="C23">
            <v>3026.759</v>
          </cell>
          <cell r="D23">
            <v>6059.4549999999999</v>
          </cell>
          <cell r="E23">
            <v>7264.4279999999999</v>
          </cell>
          <cell r="F23">
            <v>7229.9129999999996</v>
          </cell>
          <cell r="G23">
            <v>9614.7780000000002</v>
          </cell>
        </row>
        <row r="25">
          <cell r="C25">
            <v>123.843</v>
          </cell>
          <cell r="D25">
            <v>136.876</v>
          </cell>
          <cell r="E25">
            <v>45.396000000000001</v>
          </cell>
          <cell r="F25">
            <v>41.075000000000003</v>
          </cell>
          <cell r="G25">
            <v>38.341000000000001</v>
          </cell>
        </row>
        <row r="26">
          <cell r="C26">
            <v>38.567</v>
          </cell>
          <cell r="D26">
            <v>-14.241</v>
          </cell>
          <cell r="E26">
            <v>75.510000000000005</v>
          </cell>
          <cell r="F26">
            <v>-4.4870000000000001</v>
          </cell>
          <cell r="G26">
            <v>3.246</v>
          </cell>
        </row>
        <row r="27">
          <cell r="C27">
            <v>-24.803999999999998</v>
          </cell>
          <cell r="D27">
            <v>-36.082000000000001</v>
          </cell>
          <cell r="E27">
            <v>-115.515</v>
          </cell>
          <cell r="F27">
            <v>-331.31</v>
          </cell>
          <cell r="G27">
            <v>-365.81700000000001</v>
          </cell>
        </row>
        <row r="30">
          <cell r="C30">
            <v>24.4</v>
          </cell>
          <cell r="D30">
            <v>2.069</v>
          </cell>
          <cell r="E30">
            <v>-199.697</v>
          </cell>
          <cell r="F30">
            <v>-38.549999999999997</v>
          </cell>
          <cell r="G30">
            <v>-42.621000000000002</v>
          </cell>
        </row>
        <row r="31">
          <cell r="C31">
            <v>17.82</v>
          </cell>
          <cell r="D31">
            <v>43.502000000000002</v>
          </cell>
          <cell r="E31">
            <v>207.33099999999999</v>
          </cell>
          <cell r="F31">
            <v>125.65600000000001</v>
          </cell>
          <cell r="G31">
            <v>250.22</v>
          </cell>
        </row>
        <row r="33">
          <cell r="C33">
            <v>-0.72099999999999997</v>
          </cell>
          <cell r="D33">
            <v>-5.0190000000000001</v>
          </cell>
          <cell r="E33">
            <v>-11.156000000000001</v>
          </cell>
          <cell r="F33">
            <v>7.032</v>
          </cell>
          <cell r="G33">
            <v>9.7880000000000003</v>
          </cell>
        </row>
        <row r="35">
          <cell r="C35">
            <v>-6.101</v>
          </cell>
          <cell r="D35">
            <v>3.7290000000000001</v>
          </cell>
          <cell r="E35">
            <v>-6.351</v>
          </cell>
          <cell r="F35">
            <v>11.956</v>
          </cell>
          <cell r="G35">
            <v>3.5059999999999998</v>
          </cell>
        </row>
        <row r="55">
          <cell r="A55" t="str">
            <v>Depreciation and Amortization</v>
          </cell>
          <cell r="C55">
            <v>180.761</v>
          </cell>
          <cell r="D55">
            <v>279.03199999999998</v>
          </cell>
          <cell r="E55">
            <v>428.34399999999999</v>
          </cell>
          <cell r="F55">
            <v>440.84500000000003</v>
          </cell>
          <cell r="G55">
            <v>389.673</v>
          </cell>
        </row>
        <row r="61">
          <cell r="C61">
            <v>477.26488799999998</v>
          </cell>
          <cell r="D61">
            <v>532.70579599999996</v>
          </cell>
          <cell r="E61">
            <v>558.11990000000003</v>
          </cell>
          <cell r="F61">
            <v>566.61279999999999</v>
          </cell>
          <cell r="G61">
            <v>574.96630000000005</v>
          </cell>
        </row>
        <row r="63">
          <cell r="C63">
            <v>477.26488799999998</v>
          </cell>
          <cell r="D63">
            <v>532.70579599999996</v>
          </cell>
          <cell r="E63">
            <v>558.11990000000003</v>
          </cell>
        </row>
        <row r="73">
          <cell r="C73">
            <v>169.09100000000001</v>
          </cell>
          <cell r="D73">
            <v>333.84</v>
          </cell>
          <cell r="E73">
            <v>308.94799999999998</v>
          </cell>
          <cell r="F73">
            <v>357.23099999999999</v>
          </cell>
          <cell r="G73">
            <v>321.2</v>
          </cell>
        </row>
        <row r="74">
          <cell r="C74">
            <v>-27.451000000000001</v>
          </cell>
          <cell r="D74">
            <v>-0.97499999999999998</v>
          </cell>
          <cell r="E74">
            <v>-140.553</v>
          </cell>
          <cell r="F74">
            <v>-94.551000000000002</v>
          </cell>
          <cell r="G74">
            <v>0</v>
          </cell>
        </row>
      </sheetData>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Chang Boon Poh" id="{1F896624-3622-4B62-8B49-2168C06A5D7C}" userId="S::e1383593@u.nus.edu::3f42ddca-f0d2-430e-951a-4d2c1729b055"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https://www.bing.com/financeapi/forcetrigger?t=a22qp2&amp;q=XNYS%3aSE&amp;form=skydnc</v>
    <v>Learn more on Bing</v>
  </rv>
  <rv s="1">
    <v>en-SG</v>
    <v>a22qp2</v>
    <v>268435456</v>
    <v>1</v>
    <v>Powered by Refinitiv</v>
    <v>0</v>
    <v>SEA LIMITED (XNYS:SE)</v>
    <v>2</v>
    <v>3</v>
    <v>Finance</v>
    <v>4</v>
    <v>147.72829999999999</v>
    <v>55</v>
    <v>1.6143000000000001</v>
    <v>3.28</v>
    <v>-1.0530000000000001E-3</v>
    <v>2.3567999999999999E-2</v>
    <v>-0.15</v>
    <v>USD</v>
    <v>Sea Limited is a consumer Internet company. The Company, through its subsidiaries, operates three core businesses of e-commerce, digital financial services, and digital entertainment, known as Shopee, SeaMoney and Garena. Its segments are e-commerce, digital financial services, and digital entertainment. The platform of Garena offers mobile and personal computer online games and develops mobile games for the global market. It offers e-sports and provides access to other entertainment content and social features, such as live-streaming of gameplay, user chat, and online forums. The platform of Shopee is a mobile-centric, social-focused marketplace. It provides users a shopping environment with integrated payment, logistics infrastructure, and seller services. SeaMoney provides digital financial services and products, including mobile wallet services, payment processing, credit, banking, and Insurtech. It operates in Indonesia, Taiwan, Thailand, Singapore, Malaysia, and the Philippines.</v>
    <v>80700</v>
    <v>New York Stock Exchange</v>
    <v>XNYS</v>
    <v>XNYS</v>
    <v>1 Fusionopolis Place, #17-10 Galaxis, 138522 SG</v>
    <v>143.97999999999999</v>
    <v>Software &amp; IT Services</v>
    <v>Stock</v>
    <v>45789.999950971876</v>
    <v>0</v>
    <v>139.12</v>
    <v>84333249000</v>
    <v>SEA LIMITED</v>
    <v>SEA LIMITED</v>
    <v>143.02000000000001</v>
    <v>196.9228</v>
    <v>139.16999999999999</v>
    <v>142.44999999999999</v>
    <v>142.30000000000001</v>
    <v>592020000</v>
    <v>SE</v>
    <v>SEA LIMITED (XNYS:SE)</v>
    <v>7194392</v>
    <v>5116434</v>
    <v>2009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54" dT="2025-03-27T02:33:32.14" personId="{1F896624-3622-4B62-8B49-2168C06A5D7C}" id="{90203FE7-954B-45D3-8A75-6417D3EB2641}">
    <text>FS not yet disclosed</text>
  </threadedComment>
  <threadedComment ref="H55" dT="2025-03-27T02:35:09.17" personId="{1F896624-3622-4B62-8B49-2168C06A5D7C}" id="{335BBA1B-E316-45CC-A07D-01E65BE84AC6}">
    <text>Assume no deferred tax</text>
  </threadedComment>
</ThreadedComments>
</file>

<file path=xl/threadedComments/threadedComment2.xml><?xml version="1.0" encoding="utf-8"?>
<ThreadedComments xmlns="http://schemas.microsoft.com/office/spreadsheetml/2018/threadedcomments" xmlns:x="http://schemas.openxmlformats.org/spreadsheetml/2006/main">
  <threadedComment ref="G54" dT="2025-03-27T02:33:32.14" personId="{1F896624-3622-4B62-8B49-2168C06A5D7C}" id="{90203FE7-954B-45D2-8A75-6417D3EB2641}">
    <text>FS not yet disclosed</text>
  </threadedComment>
  <threadedComment ref="H55" dT="2025-03-27T02:35:09.17" personId="{1F896624-3622-4B62-8B49-2168C06A5D7C}" id="{335BBA1B-E316-45CB-A07D-01E65BE84AC6}">
    <text>Assume no deferred tax</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3-26T12:24:31.26" personId="{1F896624-3622-4B62-8B49-2168C06A5D7C}" id="{3263F83F-62E9-4660-AAF4-11D6DFD0B244}">
    <text>Restricted cash + ST loans + Due From Parties/Affiliates (Short-Term)</text>
  </threadedComment>
  <threadedComment ref="G24" dT="2025-03-27T04:03:15.72" personId="{1F896624-3622-4B62-8B49-2168C06A5D7C}" id="{39EC422A-4F86-42D7-AD70-6BC477742612}">
    <text>Not reported yet</text>
  </threadedComment>
  <threadedComment ref="G33" dT="2025-03-27T04:03:31.03" personId="{1F896624-3622-4B62-8B49-2168C06A5D7C}" id="{02710646-AA33-46E2-A5EC-62F1DF04B847}">
    <text>Estimated</text>
  </threadedComment>
  <threadedComment ref="G34" dT="2025-03-27T05:41:17.65" personId="{1F896624-3622-4B62-8B49-2168C06A5D7C}" id="{4D387E4A-A816-412D-9EAE-8498454F16E3}">
    <text>Assume to be exactly D&amp;A expense</text>
  </threadedComment>
  <threadedComment ref="A50" dT="2025-03-26T12:28:39.18" personId="{1F896624-3622-4B62-8B49-2168C06A5D7C}" id="{B474C3B4-D1B1-436D-B018-3C88AE1928AF}">
    <text>Restricted Cash/Investments (Long-Term) + Other non-current assets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0" dT="2025-03-26T13:00:53.42" personId="{1F896624-3622-4B62-8B49-2168C06A5D7C}" id="{CBAB680E-24A7-4EBF-8E04-F7ED4FAD4896}">
    <text>Modeled and Paid with APIC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6ADE-AD5A-4F1C-92BD-99DD61085149}">
  <sheetPr>
    <pageSetUpPr autoPageBreaks="0"/>
  </sheetPr>
  <dimension ref="A1:Y100"/>
  <sheetViews>
    <sheetView showGridLines="0" topLeftCell="A57" workbookViewId="0">
      <selection activeCell="A63" sqref="A63"/>
    </sheetView>
  </sheetViews>
  <sheetFormatPr defaultRowHeight="14.4" x14ac:dyDescent="0.3"/>
  <cols>
    <col min="1" max="1" width="43.6640625" customWidth="1"/>
    <col min="2" max="2" width="0" hidden="1" customWidth="1"/>
    <col min="3" max="7" width="11.88671875" customWidth="1"/>
    <col min="8" max="8" width="12.5546875" customWidth="1"/>
    <col min="9" max="17" width="11.88671875" customWidth="1"/>
    <col min="18" max="18" width="2.6640625" customWidth="1"/>
    <col min="19" max="21" width="11.88671875" customWidth="1"/>
  </cols>
  <sheetData>
    <row r="1" spans="1:23" ht="21" x14ac:dyDescent="0.3">
      <c r="A1" s="2" t="s">
        <v>946</v>
      </c>
      <c r="B1" s="2"/>
      <c r="C1" s="2"/>
      <c r="D1" s="2"/>
      <c r="E1" s="2"/>
      <c r="F1" s="2"/>
      <c r="G1" s="2"/>
      <c r="H1" s="2"/>
      <c r="I1" s="2"/>
      <c r="J1" s="2"/>
      <c r="K1" s="2"/>
      <c r="L1" s="2"/>
      <c r="M1" s="2"/>
      <c r="N1" s="2"/>
      <c r="O1" s="2"/>
      <c r="P1" s="2"/>
      <c r="Q1" s="2"/>
      <c r="R1" s="2"/>
      <c r="S1" s="2"/>
      <c r="T1" s="2"/>
      <c r="U1" s="2"/>
    </row>
    <row r="2" spans="1:23" x14ac:dyDescent="0.3">
      <c r="A2" s="3"/>
      <c r="B2" s="3"/>
      <c r="C2" s="192">
        <f t="shared" ref="C2:H2" si="0">SUM(C7,C9,C11,C13)</f>
        <v>4375.6639999999998</v>
      </c>
      <c r="D2" s="192">
        <f t="shared" si="0"/>
        <v>9955.1899999999987</v>
      </c>
      <c r="E2" s="192">
        <f t="shared" si="0"/>
        <v>12449.705</v>
      </c>
      <c r="F2" s="192">
        <f t="shared" si="0"/>
        <v>13063.56</v>
      </c>
      <c r="G2" s="192">
        <f t="shared" si="0"/>
        <v>16819.866000000002</v>
      </c>
      <c r="H2" s="192">
        <f t="shared" si="0"/>
        <v>21154.576106884382</v>
      </c>
      <c r="I2" s="3"/>
      <c r="J2" s="3"/>
      <c r="K2" s="3"/>
      <c r="L2" s="3"/>
      <c r="M2" s="3"/>
      <c r="N2" s="3"/>
      <c r="O2" s="3"/>
      <c r="P2" s="3"/>
      <c r="Q2" s="3"/>
      <c r="R2" s="3"/>
      <c r="S2" s="3"/>
      <c r="T2" s="3"/>
      <c r="U2" s="3"/>
    </row>
    <row r="3" spans="1:23" x14ac:dyDescent="0.3">
      <c r="A3" s="4" t="s">
        <v>0</v>
      </c>
      <c r="B3" s="4"/>
      <c r="C3" s="5" t="s">
        <v>129</v>
      </c>
      <c r="D3" s="5" t="s">
        <v>130</v>
      </c>
      <c r="E3" s="5" t="s">
        <v>127</v>
      </c>
      <c r="F3" s="5" t="s">
        <v>1</v>
      </c>
      <c r="G3" s="5" t="s">
        <v>2</v>
      </c>
      <c r="H3" s="47">
        <v>2025</v>
      </c>
      <c r="I3" s="47">
        <f>H3+1</f>
        <v>2026</v>
      </c>
      <c r="J3" s="47">
        <f t="shared" ref="J3:Q3" si="1">I3+1</f>
        <v>2027</v>
      </c>
      <c r="K3" s="47">
        <f t="shared" si="1"/>
        <v>2028</v>
      </c>
      <c r="L3" s="47">
        <f t="shared" si="1"/>
        <v>2029</v>
      </c>
      <c r="M3" s="47">
        <f t="shared" si="1"/>
        <v>2030</v>
      </c>
      <c r="N3" s="47">
        <f t="shared" si="1"/>
        <v>2031</v>
      </c>
      <c r="O3" s="47">
        <f t="shared" si="1"/>
        <v>2032</v>
      </c>
      <c r="P3" s="47">
        <f t="shared" si="1"/>
        <v>2033</v>
      </c>
      <c r="Q3" s="47">
        <f t="shared" si="1"/>
        <v>2034</v>
      </c>
      <c r="R3" s="47"/>
      <c r="S3" s="5" t="s">
        <v>4</v>
      </c>
      <c r="T3" s="5" t="s">
        <v>5</v>
      </c>
      <c r="U3" s="5" t="s">
        <v>3</v>
      </c>
    </row>
    <row r="4" spans="1:23" x14ac:dyDescent="0.3">
      <c r="A4" s="6" t="s">
        <v>6</v>
      </c>
      <c r="B4" s="6"/>
      <c r="C4" s="26">
        <v>44196</v>
      </c>
      <c r="D4" s="26">
        <v>44561</v>
      </c>
      <c r="E4" s="26">
        <v>44926</v>
      </c>
      <c r="F4" s="7" t="s">
        <v>7</v>
      </c>
      <c r="G4" s="7" t="s">
        <v>8</v>
      </c>
      <c r="H4" s="7" t="s">
        <v>9</v>
      </c>
      <c r="I4" s="7" t="s">
        <v>10</v>
      </c>
      <c r="J4" s="26">
        <v>46752</v>
      </c>
      <c r="K4" s="26">
        <v>47118</v>
      </c>
      <c r="L4" s="26">
        <v>47483</v>
      </c>
      <c r="M4" s="26">
        <v>47848</v>
      </c>
      <c r="N4" s="26">
        <v>48213</v>
      </c>
      <c r="O4" s="26">
        <v>48579</v>
      </c>
      <c r="P4" s="26">
        <v>48944</v>
      </c>
      <c r="Q4" s="26">
        <v>49309</v>
      </c>
      <c r="R4" s="26"/>
      <c r="S4" s="7" t="s">
        <v>9</v>
      </c>
      <c r="T4" s="7" t="s">
        <v>10</v>
      </c>
      <c r="U4" s="7" t="s">
        <v>8</v>
      </c>
      <c r="W4" s="54"/>
    </row>
    <row r="5" spans="1:23" x14ac:dyDescent="0.3">
      <c r="A5" s="8" t="s">
        <v>11</v>
      </c>
      <c r="B5" s="8" t="s">
        <v>12</v>
      </c>
      <c r="C5" s="9">
        <v>4375.6639999999998</v>
      </c>
      <c r="D5" s="9">
        <v>9955.19</v>
      </c>
      <c r="E5" s="9">
        <v>12449.705</v>
      </c>
      <c r="F5" s="9">
        <v>13063.56</v>
      </c>
      <c r="G5" s="9">
        <v>16819.866000000002</v>
      </c>
      <c r="H5" s="54">
        <f>H7+H9+H11+H13</f>
        <v>21154.576106884382</v>
      </c>
      <c r="I5" s="54">
        <f t="shared" ref="I5:Q5" si="2">I7+I9+I11+I13</f>
        <v>26498.461411798744</v>
      </c>
      <c r="J5" s="54">
        <f t="shared" si="2"/>
        <v>32096.453624145663</v>
      </c>
      <c r="K5" s="54">
        <f t="shared" si="2"/>
        <v>38898.078303863062</v>
      </c>
      <c r="L5" s="54">
        <f t="shared" si="2"/>
        <v>46175.400563864379</v>
      </c>
      <c r="M5" s="54">
        <f t="shared" si="2"/>
        <v>54723.801923023464</v>
      </c>
      <c r="N5" s="54">
        <f t="shared" si="2"/>
        <v>63454.874138021893</v>
      </c>
      <c r="O5" s="54">
        <f t="shared" si="2"/>
        <v>73581.192993825258</v>
      </c>
      <c r="P5" s="54">
        <f t="shared" si="2"/>
        <v>85374.750186684294</v>
      </c>
      <c r="Q5" s="54">
        <f t="shared" si="2"/>
        <v>99114.407672676971</v>
      </c>
      <c r="R5" s="54"/>
      <c r="S5" s="9">
        <v>20970.5</v>
      </c>
      <c r="T5" s="9">
        <v>24958.151999999998</v>
      </c>
      <c r="U5" s="10">
        <v>16819.866000000002</v>
      </c>
    </row>
    <row r="6" spans="1:23" x14ac:dyDescent="0.3">
      <c r="A6" s="72" t="s">
        <v>858</v>
      </c>
      <c r="B6" s="73"/>
      <c r="C6" s="74"/>
      <c r="D6" s="55">
        <f>D5/C5-1</f>
        <v>1.2751267007704432</v>
      </c>
      <c r="E6" s="55">
        <f t="shared" ref="E6:T6" si="3">E5/D5-1</f>
        <v>0.2505743235437996</v>
      </c>
      <c r="F6" s="55">
        <f t="shared" si="3"/>
        <v>4.9306790803476774E-2</v>
      </c>
      <c r="G6" s="55">
        <f t="shared" si="3"/>
        <v>0.28754076224245173</v>
      </c>
      <c r="H6" s="55">
        <f t="shared" si="3"/>
        <v>0.25771371227834861</v>
      </c>
      <c r="I6" s="55">
        <f t="shared" si="3"/>
        <v>0.25261131576989104</v>
      </c>
      <c r="J6" s="55">
        <f t="shared" si="3"/>
        <v>0.2112572547270366</v>
      </c>
      <c r="K6" s="55">
        <f t="shared" si="3"/>
        <v>0.21191203113482437</v>
      </c>
      <c r="L6" s="55">
        <f t="shared" si="3"/>
        <v>0.18708693532756326</v>
      </c>
      <c r="M6" s="55">
        <f t="shared" si="3"/>
        <v>0.18512890532126391</v>
      </c>
      <c r="N6" s="55">
        <f t="shared" si="3"/>
        <v>0.15954798292852312</v>
      </c>
      <c r="O6" s="55">
        <f t="shared" si="3"/>
        <v>0.15958299489771921</v>
      </c>
      <c r="P6" s="55">
        <f t="shared" si="3"/>
        <v>0.16027950503396604</v>
      </c>
      <c r="Q6" s="55">
        <f t="shared" si="3"/>
        <v>0.1609335014854969</v>
      </c>
      <c r="R6" s="55"/>
      <c r="S6" s="55">
        <f>S5/U5-1</f>
        <v>0.24676974239866101</v>
      </c>
      <c r="T6" s="55">
        <f t="shared" si="3"/>
        <v>0.19015531341646597</v>
      </c>
      <c r="U6" s="55">
        <f>U5/G5-1</f>
        <v>0</v>
      </c>
    </row>
    <row r="7" spans="1:23" x14ac:dyDescent="0.3">
      <c r="A7" s="11" t="s">
        <v>1074</v>
      </c>
      <c r="B7" s="11" t="s">
        <v>13</v>
      </c>
      <c r="C7" s="39">
        <v>2015.972</v>
      </c>
      <c r="D7" s="12">
        <f>'[1]Income - Actual'!D8</f>
        <v>4320.0129999999999</v>
      </c>
      <c r="E7" s="12">
        <f>'[1]Income - Actual'!E8</f>
        <v>3877.163</v>
      </c>
      <c r="F7" s="12">
        <f>'[1]Income - Actual'!F8</f>
        <v>2172.009</v>
      </c>
      <c r="G7" s="12">
        <f>'[1]Income - Actual'!G8</f>
        <v>1910.5889999999999</v>
      </c>
      <c r="H7" s="56">
        <f>G7*(1+H8)</f>
        <v>2139.85968</v>
      </c>
      <c r="I7" s="56">
        <f t="shared" ref="I7:Q7" si="4">H7*(1+I8)</f>
        <v>2396.6428416000003</v>
      </c>
      <c r="J7" s="56">
        <f t="shared" si="4"/>
        <v>2636.3071257600004</v>
      </c>
      <c r="K7" s="56">
        <f t="shared" si="4"/>
        <v>2899.9378383360008</v>
      </c>
      <c r="L7" s="56">
        <f t="shared" si="4"/>
        <v>3189.9316221696013</v>
      </c>
      <c r="M7" s="56">
        <f t="shared" si="4"/>
        <v>3413.2268357214734</v>
      </c>
      <c r="N7" s="56">
        <f t="shared" si="4"/>
        <v>3652.1527142219766</v>
      </c>
      <c r="O7" s="56">
        <f t="shared" si="4"/>
        <v>3907.803404217515</v>
      </c>
      <c r="P7" s="56">
        <f t="shared" si="4"/>
        <v>4181.3496425127414</v>
      </c>
      <c r="Q7" s="56">
        <f t="shared" si="4"/>
        <v>4474.0441174886337</v>
      </c>
      <c r="R7" s="56"/>
      <c r="S7" s="12"/>
      <c r="T7" s="12"/>
      <c r="U7" s="13">
        <v>11301.688</v>
      </c>
    </row>
    <row r="8" spans="1:23" x14ac:dyDescent="0.3">
      <c r="A8" s="48" t="s">
        <v>858</v>
      </c>
      <c r="B8" s="49"/>
      <c r="C8" s="98"/>
      <c r="D8" s="52">
        <f>D7/C9-1</f>
        <v>1.4306195247928071</v>
      </c>
      <c r="E8" s="52">
        <f t="shared" ref="E8:G8" si="5">E7/D7-1</f>
        <v>-0.10251126559109891</v>
      </c>
      <c r="F8" s="52">
        <f t="shared" si="5"/>
        <v>-0.4397942516216109</v>
      </c>
      <c r="G8" s="52">
        <f t="shared" si="5"/>
        <v>-0.12035861729854713</v>
      </c>
      <c r="H8" s="52">
        <v>0.12</v>
      </c>
      <c r="I8" s="52">
        <v>0.12</v>
      </c>
      <c r="J8" s="52">
        <v>0.1</v>
      </c>
      <c r="K8" s="52">
        <v>0.1</v>
      </c>
      <c r="L8" s="52">
        <v>0.1</v>
      </c>
      <c r="M8" s="52">
        <v>7.0000000000000007E-2</v>
      </c>
      <c r="N8" s="52">
        <v>7.0000000000000007E-2</v>
      </c>
      <c r="O8" s="52">
        <v>7.0000000000000007E-2</v>
      </c>
      <c r="P8" s="52">
        <v>7.0000000000000007E-2</v>
      </c>
      <c r="Q8" s="52">
        <v>7.0000000000000007E-2</v>
      </c>
      <c r="R8" s="71"/>
      <c r="S8" s="39"/>
      <c r="T8" s="39"/>
      <c r="U8" s="56"/>
    </row>
    <row r="9" spans="1:23" x14ac:dyDescent="0.3">
      <c r="A9" s="99" t="s">
        <v>1076</v>
      </c>
      <c r="B9" s="49"/>
      <c r="C9" s="12">
        <v>1777.33</v>
      </c>
      <c r="D9" s="119">
        <v>4094.87</v>
      </c>
      <c r="E9" s="119">
        <v>6241.1769999999997</v>
      </c>
      <c r="F9" s="119">
        <v>8010.9539999999997</v>
      </c>
      <c r="G9">
        <v>10950.674000000001</v>
      </c>
      <c r="H9" s="120">
        <f t="shared" ref="H9:Q9" si="6">G9*(1+H10)</f>
        <v>14016.862720000001</v>
      </c>
      <c r="I9" s="120">
        <f t="shared" si="6"/>
        <v>17941.5842816</v>
      </c>
      <c r="J9" s="120">
        <f t="shared" si="6"/>
        <v>22068.148666368001</v>
      </c>
      <c r="K9" s="120">
        <f t="shared" si="6"/>
        <v>27143.822859632641</v>
      </c>
      <c r="L9" s="120">
        <f t="shared" si="6"/>
        <v>32572.587431559168</v>
      </c>
      <c r="M9" s="120">
        <f t="shared" si="6"/>
        <v>39087.104917871002</v>
      </c>
      <c r="N9" s="120">
        <f t="shared" si="6"/>
        <v>45731.91275390907</v>
      </c>
      <c r="O9" s="120">
        <f t="shared" si="6"/>
        <v>53506.33792207361</v>
      </c>
      <c r="P9" s="120">
        <f t="shared" si="6"/>
        <v>62602.415368826121</v>
      </c>
      <c r="Q9" s="120">
        <f t="shared" si="6"/>
        <v>73244.825981526563</v>
      </c>
      <c r="R9" s="324"/>
      <c r="S9" s="39"/>
      <c r="T9" s="39"/>
      <c r="U9" s="56"/>
    </row>
    <row r="10" spans="1:23" x14ac:dyDescent="0.3">
      <c r="A10" s="48" t="s">
        <v>858</v>
      </c>
      <c r="B10" s="49"/>
      <c r="C10" s="50"/>
      <c r="D10" s="52">
        <f>D9/C9-1</f>
        <v>1.3039446810665436</v>
      </c>
      <c r="E10" s="52">
        <f>E9/D9-1</f>
        <v>0.52414533306307654</v>
      </c>
      <c r="F10" s="52">
        <f>F9/E9-1</f>
        <v>0.28356462250629977</v>
      </c>
      <c r="G10" s="52">
        <f>G9/F9-1</f>
        <v>0.36696253654683342</v>
      </c>
      <c r="H10" s="52">
        <v>0.28000000000000003</v>
      </c>
      <c r="I10" s="52">
        <v>0.28000000000000003</v>
      </c>
      <c r="J10" s="52">
        <v>0.23</v>
      </c>
      <c r="K10" s="52">
        <v>0.23</v>
      </c>
      <c r="L10" s="52">
        <v>0.2</v>
      </c>
      <c r="M10" s="52">
        <v>0.2</v>
      </c>
      <c r="N10" s="52">
        <v>0.17</v>
      </c>
      <c r="O10" s="52">
        <v>0.17</v>
      </c>
      <c r="P10" s="52">
        <v>0.17</v>
      </c>
      <c r="Q10" s="52">
        <v>0.17</v>
      </c>
      <c r="R10" s="71"/>
      <c r="S10" s="39"/>
      <c r="T10" s="39"/>
      <c r="U10" s="56"/>
    </row>
    <row r="11" spans="1:23" x14ac:dyDescent="0.3">
      <c r="A11" s="99" t="s">
        <v>1077</v>
      </c>
      <c r="B11" s="49"/>
      <c r="C11" s="12" t="s">
        <v>863</v>
      </c>
      <c r="D11" s="119">
        <v>469.74700000000001</v>
      </c>
      <c r="E11" s="119">
        <v>1221.9960000000001</v>
      </c>
      <c r="F11" s="119">
        <v>1759.422</v>
      </c>
      <c r="G11">
        <v>2400</v>
      </c>
      <c r="H11" s="120">
        <f t="shared" ref="H11:Q11" si="7">G11*(1+H12)</f>
        <v>3072</v>
      </c>
      <c r="I11" s="120">
        <f t="shared" si="7"/>
        <v>3932.16</v>
      </c>
      <c r="J11" s="120">
        <f t="shared" si="7"/>
        <v>4836.5567999999994</v>
      </c>
      <c r="K11" s="120">
        <f t="shared" si="7"/>
        <v>5948.9648639999996</v>
      </c>
      <c r="L11" s="120">
        <f t="shared" si="7"/>
        <v>7138.7578367999995</v>
      </c>
      <c r="M11" s="120">
        <f t="shared" si="7"/>
        <v>8566.5094041599987</v>
      </c>
      <c r="N11" s="120">
        <f t="shared" si="7"/>
        <v>10022.816002867197</v>
      </c>
      <c r="O11" s="120">
        <f t="shared" si="7"/>
        <v>11726.69472335462</v>
      </c>
      <c r="P11" s="120">
        <f t="shared" si="7"/>
        <v>13720.232826324904</v>
      </c>
      <c r="Q11" s="120">
        <f t="shared" si="7"/>
        <v>16052.672406800137</v>
      </c>
      <c r="R11" s="71"/>
      <c r="S11" s="39"/>
      <c r="T11" s="39"/>
      <c r="U11" s="56"/>
    </row>
    <row r="12" spans="1:23" x14ac:dyDescent="0.3">
      <c r="A12" s="48" t="s">
        <v>858</v>
      </c>
      <c r="B12" s="49"/>
      <c r="C12" s="50"/>
      <c r="D12" s="52"/>
      <c r="E12" s="52">
        <f>E11/D11-1</f>
        <v>1.6013918130397853</v>
      </c>
      <c r="F12" s="52">
        <f>F11/E11-1</f>
        <v>0.43979358361238496</v>
      </c>
      <c r="G12" s="52">
        <f>G11/F11-1</f>
        <v>0.3640843413348247</v>
      </c>
      <c r="H12" s="52">
        <v>0.28000000000000003</v>
      </c>
      <c r="I12" s="52">
        <v>0.28000000000000003</v>
      </c>
      <c r="J12" s="52">
        <v>0.23</v>
      </c>
      <c r="K12" s="52">
        <v>0.23</v>
      </c>
      <c r="L12" s="52">
        <v>0.2</v>
      </c>
      <c r="M12" s="52">
        <v>0.2</v>
      </c>
      <c r="N12" s="52">
        <v>0.17</v>
      </c>
      <c r="O12" s="52">
        <v>0.17</v>
      </c>
      <c r="P12" s="52">
        <v>0.17</v>
      </c>
      <c r="Q12" s="52">
        <v>0.17</v>
      </c>
      <c r="R12" s="71"/>
      <c r="S12" s="39"/>
      <c r="T12" s="39"/>
      <c r="U12" s="56"/>
    </row>
    <row r="13" spans="1:23" x14ac:dyDescent="0.3">
      <c r="A13" s="11" t="s">
        <v>882</v>
      </c>
      <c r="B13" s="11" t="s">
        <v>14</v>
      </c>
      <c r="C13" s="12">
        <v>582.36199999999997</v>
      </c>
      <c r="D13" s="12">
        <v>1070.56</v>
      </c>
      <c r="E13" s="12">
        <v>1109.3689999999999</v>
      </c>
      <c r="F13" s="12">
        <v>1121.175</v>
      </c>
      <c r="G13" s="12">
        <v>1558.6030000000001</v>
      </c>
      <c r="H13" s="56">
        <f>G13*(1+H14)</f>
        <v>1925.8537068843834</v>
      </c>
      <c r="I13" s="56">
        <f>H13*(1+I14)</f>
        <v>2228.0742885987424</v>
      </c>
      <c r="J13" s="56">
        <f t="shared" ref="J13:Q13" si="8">I13*(1+J14)</f>
        <v>2555.4410320176657</v>
      </c>
      <c r="K13" s="56">
        <f t="shared" si="8"/>
        <v>2905.3527418944241</v>
      </c>
      <c r="L13" s="56">
        <f t="shared" si="8"/>
        <v>3274.1236733356122</v>
      </c>
      <c r="M13" s="56">
        <f t="shared" si="8"/>
        <v>3656.9607652709933</v>
      </c>
      <c r="N13" s="56">
        <f t="shared" si="8"/>
        <v>4047.9926670236441</v>
      </c>
      <c r="O13" s="56">
        <f t="shared" si="8"/>
        <v>4440.3569441795162</v>
      </c>
      <c r="P13" s="56">
        <f t="shared" si="8"/>
        <v>4870.7523490205194</v>
      </c>
      <c r="Q13" s="56">
        <f t="shared" si="8"/>
        <v>5342.8651668616349</v>
      </c>
      <c r="R13" s="56"/>
      <c r="S13" s="39"/>
      <c r="T13" s="39"/>
      <c r="U13" s="13">
        <v>5518.1779999999999</v>
      </c>
    </row>
    <row r="14" spans="1:23" x14ac:dyDescent="0.3">
      <c r="A14" s="48" t="s">
        <v>858</v>
      </c>
      <c r="B14" s="49"/>
      <c r="C14" s="50"/>
      <c r="D14" s="52">
        <f>D13/C13-1</f>
        <v>0.83830675765245677</v>
      </c>
      <c r="E14" s="52">
        <f t="shared" ref="E14" si="9">E13/D13-1</f>
        <v>3.6251120908683321E-2</v>
      </c>
      <c r="F14" s="52">
        <f>F13/E13-1</f>
        <v>1.0642085726210171E-2</v>
      </c>
      <c r="G14" s="52">
        <f>G13/F13-1</f>
        <v>0.3901514036613376</v>
      </c>
      <c r="H14" s="52">
        <v>0.23562812780700626</v>
      </c>
      <c r="I14" s="52">
        <v>0.1569281096658619</v>
      </c>
      <c r="J14" s="52">
        <v>0.14692810966586189</v>
      </c>
      <c r="K14" s="52">
        <v>0.13692810966586189</v>
      </c>
      <c r="L14" s="52">
        <v>0.12692810966586188</v>
      </c>
      <c r="M14" s="52">
        <v>0.11692810966586188</v>
      </c>
      <c r="N14" s="52">
        <v>0.10692810966586189</v>
      </c>
      <c r="O14" s="52">
        <v>9.6928109665861892E-2</v>
      </c>
      <c r="P14" s="52">
        <v>9.6928109665861892E-2</v>
      </c>
      <c r="Q14" s="52">
        <v>9.6928109665861892E-2</v>
      </c>
      <c r="R14" s="71"/>
      <c r="S14" s="39"/>
      <c r="T14" s="39"/>
      <c r="U14" s="56"/>
    </row>
    <row r="15" spans="1:23" x14ac:dyDescent="0.3">
      <c r="A15" s="28" t="s">
        <v>890</v>
      </c>
      <c r="B15" s="28" t="s">
        <v>15</v>
      </c>
      <c r="C15" s="29">
        <f>'[1]Income - Actual'!C23</f>
        <v>3026.759</v>
      </c>
      <c r="D15" s="29">
        <f>'[1]Income - Actual'!D23</f>
        <v>6059.4549999999999</v>
      </c>
      <c r="E15" s="29">
        <f>'[1]Income - Actual'!E23</f>
        <v>7264.4279999999999</v>
      </c>
      <c r="F15" s="29">
        <f>'[1]Income - Actual'!F23</f>
        <v>7229.9129999999996</v>
      </c>
      <c r="G15" s="29">
        <f>'[1]Income - Actual'!G23</f>
        <v>9614.7780000000002</v>
      </c>
      <c r="H15" s="104">
        <f t="shared" ref="H15:Q15" si="10">H17+H19+H21</f>
        <v>11838.014964085209</v>
      </c>
      <c r="I15" s="104">
        <f t="shared" si="10"/>
        <v>14826.71835234687</v>
      </c>
      <c r="J15" s="104">
        <f t="shared" si="10"/>
        <v>17941.103215561499</v>
      </c>
      <c r="K15" s="104">
        <f t="shared" si="10"/>
        <v>20916.51113087964</v>
      </c>
      <c r="L15" s="104">
        <f t="shared" si="10"/>
        <v>24815.945690984889</v>
      </c>
      <c r="M15" s="104">
        <f t="shared" si="10"/>
        <v>28176.172168833051</v>
      </c>
      <c r="N15" s="104">
        <f t="shared" si="10"/>
        <v>32652.72512011823</v>
      </c>
      <c r="O15" s="104">
        <f t="shared" si="10"/>
        <v>37824.256627783114</v>
      </c>
      <c r="P15" s="104">
        <f t="shared" si="10"/>
        <v>43841.219600872922</v>
      </c>
      <c r="Q15" s="104">
        <f t="shared" si="10"/>
        <v>50844.281520760298</v>
      </c>
      <c r="R15" s="104"/>
      <c r="S15" s="325"/>
      <c r="T15" s="325"/>
      <c r="U15" s="105">
        <v>9614.7780000000002</v>
      </c>
    </row>
    <row r="16" spans="1:23" x14ac:dyDescent="0.3">
      <c r="A16" s="48" t="s">
        <v>859</v>
      </c>
      <c r="B16" s="49"/>
      <c r="C16" s="53">
        <f t="shared" ref="C16:Q16" si="11">C15/C5</f>
        <v>0.69172564438220119</v>
      </c>
      <c r="D16" s="52">
        <f t="shared" si="11"/>
        <v>0.60867296354966605</v>
      </c>
      <c r="E16" s="52">
        <f t="shared" si="11"/>
        <v>0.58350201872253193</v>
      </c>
      <c r="F16" s="52">
        <f t="shared" si="11"/>
        <v>0.55344125184865378</v>
      </c>
      <c r="G16" s="52">
        <f t="shared" si="11"/>
        <v>0.57163225913928206</v>
      </c>
      <c r="H16" s="52">
        <f t="shared" si="11"/>
        <v>0.5595959429427062</v>
      </c>
      <c r="I16" s="52">
        <f t="shared" si="11"/>
        <v>0.5595312920977783</v>
      </c>
      <c r="J16" s="52">
        <f t="shared" si="11"/>
        <v>0.55897462771602546</v>
      </c>
      <c r="K16" s="52">
        <f t="shared" si="11"/>
        <v>0.53772607910047765</v>
      </c>
      <c r="L16" s="52">
        <f t="shared" si="11"/>
        <v>0.5374278379385663</v>
      </c>
      <c r="M16" s="52">
        <f t="shared" si="11"/>
        <v>0.5148796534361173</v>
      </c>
      <c r="N16" s="52">
        <f t="shared" si="11"/>
        <v>0.51458182785288753</v>
      </c>
      <c r="O16" s="52">
        <f t="shared" si="11"/>
        <v>0.51404788491207565</v>
      </c>
      <c r="P16" s="52">
        <f t="shared" si="11"/>
        <v>0.51351505573963874</v>
      </c>
      <c r="Q16" s="52">
        <f t="shared" si="11"/>
        <v>0.51298577789691646</v>
      </c>
      <c r="R16" s="71"/>
      <c r="S16" s="39"/>
      <c r="T16" s="39"/>
      <c r="U16" s="56"/>
    </row>
    <row r="17" spans="1:25" x14ac:dyDescent="0.3">
      <c r="A17" s="11" t="s">
        <v>1074</v>
      </c>
      <c r="B17" s="49"/>
      <c r="C17" s="39">
        <v>702.32899999999995</v>
      </c>
      <c r="D17" s="126">
        <v>1230.0820000000001</v>
      </c>
      <c r="E17" s="126">
        <v>1077.0170000000001</v>
      </c>
      <c r="F17" s="126">
        <v>672.48099999999999</v>
      </c>
      <c r="G17" s="126">
        <v>610.58600000000001</v>
      </c>
      <c r="H17" s="126">
        <f>H18*H7</f>
        <v>705.87213188926239</v>
      </c>
      <c r="I17" s="126">
        <f t="shared" ref="I17:Q17" si="12">I18*I7</f>
        <v>790.89213772800019</v>
      </c>
      <c r="J17" s="126">
        <f t="shared" si="12"/>
        <v>843.61828024320016</v>
      </c>
      <c r="K17" s="126">
        <f t="shared" si="12"/>
        <v>927.98010826752034</v>
      </c>
      <c r="L17" s="126">
        <f t="shared" si="12"/>
        <v>1020.7781190942725</v>
      </c>
      <c r="M17" s="126">
        <f t="shared" si="12"/>
        <v>1058.1003190736567</v>
      </c>
      <c r="N17" s="126">
        <f t="shared" si="12"/>
        <v>1132.1673414088127</v>
      </c>
      <c r="O17" s="126">
        <f t="shared" si="12"/>
        <v>1211.4190553074297</v>
      </c>
      <c r="P17" s="126">
        <f t="shared" si="12"/>
        <v>1296.2183891789498</v>
      </c>
      <c r="Q17" s="126">
        <f t="shared" si="12"/>
        <v>1386.9536764214765</v>
      </c>
      <c r="R17" s="71"/>
      <c r="S17" s="39"/>
      <c r="T17" s="39"/>
      <c r="U17" s="56"/>
    </row>
    <row r="18" spans="1:25" x14ac:dyDescent="0.3">
      <c r="A18" s="48" t="s">
        <v>859</v>
      </c>
      <c r="B18" s="49"/>
      <c r="C18" s="100"/>
      <c r="D18" s="101">
        <f>D17/D7</f>
        <v>0.28474034684617849</v>
      </c>
      <c r="E18" s="101">
        <f>E17/E7</f>
        <v>0.27778481327713073</v>
      </c>
      <c r="F18" s="101">
        <f>F17/F7</f>
        <v>0.3096124371492015</v>
      </c>
      <c r="G18" s="101">
        <f>G17/G7</f>
        <v>0.31957998292673101</v>
      </c>
      <c r="H18" s="52">
        <f>(G18*(G18/F18))</f>
        <v>0.3298684201055942</v>
      </c>
      <c r="I18" s="52">
        <v>0.33</v>
      </c>
      <c r="J18" s="52">
        <v>0.32</v>
      </c>
      <c r="K18" s="52">
        <v>0.32</v>
      </c>
      <c r="L18" s="52">
        <v>0.32</v>
      </c>
      <c r="M18" s="52">
        <v>0.31</v>
      </c>
      <c r="N18" s="52">
        <v>0.31</v>
      </c>
      <c r="O18" s="52">
        <v>0.31</v>
      </c>
      <c r="P18" s="52">
        <v>0.31</v>
      </c>
      <c r="Q18" s="52">
        <v>0.31</v>
      </c>
      <c r="R18" s="71"/>
      <c r="S18" s="39"/>
      <c r="T18" s="39"/>
      <c r="U18" s="56"/>
      <c r="Y18" s="47">
        <v>2025</v>
      </c>
    </row>
    <row r="19" spans="1:25" x14ac:dyDescent="0.3">
      <c r="A19" s="99" t="s">
        <v>875</v>
      </c>
      <c r="B19" s="49"/>
      <c r="C19" s="39">
        <v>1743.7729999999999</v>
      </c>
      <c r="D19" s="126">
        <v>3825.826</v>
      </c>
      <c r="E19" s="126">
        <v>5194.0649999999996</v>
      </c>
      <c r="F19" s="126">
        <v>5530.0429999999997</v>
      </c>
      <c r="G19" s="126">
        <v>7553.8010000000004</v>
      </c>
      <c r="H19" s="126">
        <f>H20*(H9+H11)</f>
        <v>9398.8744960000022</v>
      </c>
      <c r="I19" s="126">
        <f t="shared" ref="I19:Q19" si="13">I20*(I9+I11)</f>
        <v>12030.559354880001</v>
      </c>
      <c r="J19" s="126">
        <f t="shared" si="13"/>
        <v>14797.588006502401</v>
      </c>
      <c r="K19" s="126">
        <f t="shared" si="13"/>
        <v>17373.713554907135</v>
      </c>
      <c r="L19" s="126">
        <f t="shared" si="13"/>
        <v>20848.456265888562</v>
      </c>
      <c r="M19" s="126">
        <f t="shared" si="13"/>
        <v>23826.807161015502</v>
      </c>
      <c r="N19" s="126">
        <f t="shared" si="13"/>
        <v>27877.364378388134</v>
      </c>
      <c r="O19" s="126">
        <f t="shared" si="13"/>
        <v>32616.516322714117</v>
      </c>
      <c r="P19" s="126">
        <f t="shared" si="13"/>
        <v>38161.324097575511</v>
      </c>
      <c r="Q19" s="126">
        <f t="shared" si="13"/>
        <v>44648.749194163349</v>
      </c>
      <c r="R19" s="71"/>
      <c r="S19" s="39"/>
      <c r="T19" s="39"/>
      <c r="U19" s="56"/>
      <c r="Y19" s="7" t="s">
        <v>9</v>
      </c>
    </row>
    <row r="20" spans="1:25" x14ac:dyDescent="0.3">
      <c r="A20" s="48" t="s">
        <v>859</v>
      </c>
      <c r="B20" s="49"/>
      <c r="C20" s="100"/>
      <c r="D20" s="101">
        <f>D19/D9</f>
        <v>0.93429730369950692</v>
      </c>
      <c r="E20" s="101">
        <f>E19/E9</f>
        <v>0.83222523572076224</v>
      </c>
      <c r="F20" s="101">
        <f>F19/F9</f>
        <v>0.69031016780273613</v>
      </c>
      <c r="G20" s="101">
        <f>G19/G9</f>
        <v>0.68980238111371039</v>
      </c>
      <c r="H20" s="52">
        <v>0.55000000000000004</v>
      </c>
      <c r="I20" s="52">
        <v>0.55000000000000004</v>
      </c>
      <c r="J20" s="52">
        <v>0.55000000000000004</v>
      </c>
      <c r="K20" s="52">
        <v>0.52500000000000002</v>
      </c>
      <c r="L20" s="52">
        <v>0.52500000000000002</v>
      </c>
      <c r="M20" s="52">
        <v>0.5</v>
      </c>
      <c r="N20" s="52">
        <v>0.5</v>
      </c>
      <c r="O20" s="52">
        <v>0.5</v>
      </c>
      <c r="P20" s="52">
        <v>0.5</v>
      </c>
      <c r="Q20" s="52">
        <v>0.5</v>
      </c>
      <c r="R20" s="71"/>
      <c r="S20" s="39"/>
      <c r="T20" s="39"/>
      <c r="U20" s="56"/>
      <c r="Y20" s="54">
        <v>21154.576106884382</v>
      </c>
    </row>
    <row r="21" spans="1:25" x14ac:dyDescent="0.3">
      <c r="A21" s="11" t="s">
        <v>884</v>
      </c>
      <c r="B21" s="49"/>
      <c r="C21" s="39">
        <v>580.65700000000004</v>
      </c>
      <c r="D21" s="126">
        <v>1003.547</v>
      </c>
      <c r="E21" s="126">
        <v>993.346</v>
      </c>
      <c r="F21" s="126">
        <v>1027.3889999999999</v>
      </c>
      <c r="G21" s="126">
        <v>1450.3910000000001</v>
      </c>
      <c r="H21" s="126">
        <f>H22*H13</f>
        <v>1733.268336195945</v>
      </c>
      <c r="I21" s="126">
        <f t="shared" ref="I21:Q21" si="14">I22*I13</f>
        <v>2005.2668597388683</v>
      </c>
      <c r="J21" s="126">
        <f t="shared" si="14"/>
        <v>2299.8969288158992</v>
      </c>
      <c r="K21" s="126">
        <f t="shared" si="14"/>
        <v>2614.8174677049819</v>
      </c>
      <c r="L21" s="126">
        <f t="shared" si="14"/>
        <v>2946.7113060020511</v>
      </c>
      <c r="M21" s="126">
        <f t="shared" si="14"/>
        <v>3291.2646887438941</v>
      </c>
      <c r="N21" s="126">
        <f t="shared" si="14"/>
        <v>3643.1934003212796</v>
      </c>
      <c r="O21" s="126">
        <f t="shared" si="14"/>
        <v>3996.3212497615646</v>
      </c>
      <c r="P21" s="126">
        <f t="shared" si="14"/>
        <v>4383.6771141184672</v>
      </c>
      <c r="Q21" s="126">
        <f t="shared" si="14"/>
        <v>4808.5786501754719</v>
      </c>
      <c r="R21" s="126"/>
      <c r="S21" s="39"/>
      <c r="T21" s="39"/>
      <c r="U21" s="56"/>
      <c r="Y21" s="55">
        <v>0.25771371227834861</v>
      </c>
    </row>
    <row r="22" spans="1:25" x14ac:dyDescent="0.3">
      <c r="A22" s="48" t="s">
        <v>859</v>
      </c>
      <c r="B22" s="49"/>
      <c r="C22" s="53"/>
      <c r="D22" s="102">
        <f>D21/D13</f>
        <v>0.93740378867134966</v>
      </c>
      <c r="E22" s="102">
        <f>E21/E13</f>
        <v>0.89541532168286664</v>
      </c>
      <c r="F22" s="102">
        <f>F21/F13</f>
        <v>0.91635025754231048</v>
      </c>
      <c r="G22" s="102">
        <f>G21/G13</f>
        <v>0.93057115891602926</v>
      </c>
      <c r="H22" s="52">
        <v>0.9</v>
      </c>
      <c r="I22" s="52">
        <v>0.9</v>
      </c>
      <c r="J22" s="52">
        <v>0.9</v>
      </c>
      <c r="K22" s="52">
        <v>0.9</v>
      </c>
      <c r="L22" s="52">
        <v>0.9</v>
      </c>
      <c r="M22" s="52">
        <v>0.9</v>
      </c>
      <c r="N22" s="52">
        <v>0.9</v>
      </c>
      <c r="O22" s="52">
        <v>0.9</v>
      </c>
      <c r="P22" s="52">
        <v>0.9</v>
      </c>
      <c r="Q22" s="52">
        <v>0.9</v>
      </c>
      <c r="R22" s="71"/>
      <c r="S22" s="39"/>
      <c r="T22" s="39"/>
      <c r="U22" s="56"/>
      <c r="Y22" s="56">
        <v>2139.85968</v>
      </c>
    </row>
    <row r="23" spans="1:25" x14ac:dyDescent="0.3">
      <c r="A23" s="11"/>
      <c r="B23" s="11"/>
      <c r="C23" s="12"/>
      <c r="D23" s="12"/>
      <c r="E23" s="12"/>
      <c r="F23" s="12"/>
      <c r="G23" s="12"/>
      <c r="H23" s="56"/>
      <c r="I23" s="56"/>
      <c r="J23" s="56"/>
      <c r="K23" s="56"/>
      <c r="L23" s="56"/>
      <c r="M23" s="56"/>
      <c r="N23" s="56"/>
      <c r="O23" s="56"/>
      <c r="P23" s="56"/>
      <c r="Q23" s="56"/>
      <c r="R23" s="56"/>
      <c r="S23" s="12"/>
      <c r="T23" s="12"/>
      <c r="U23" s="13"/>
      <c r="Y23" s="108">
        <v>0.12</v>
      </c>
    </row>
    <row r="24" spans="1:25" x14ac:dyDescent="0.3">
      <c r="A24" s="8" t="s">
        <v>16</v>
      </c>
      <c r="B24" s="8" t="s">
        <v>17</v>
      </c>
      <c r="C24" s="9">
        <f t="shared" ref="C24:Q24" si="15">C5-C15</f>
        <v>1348.9049999999997</v>
      </c>
      <c r="D24" s="9">
        <f t="shared" si="15"/>
        <v>3895.7350000000006</v>
      </c>
      <c r="E24" s="9">
        <f t="shared" si="15"/>
        <v>5185.277</v>
      </c>
      <c r="F24" s="9">
        <f t="shared" si="15"/>
        <v>5833.6469999999999</v>
      </c>
      <c r="G24" s="9">
        <f t="shared" si="15"/>
        <v>7205.0880000000016</v>
      </c>
      <c r="H24" s="9">
        <f t="shared" si="15"/>
        <v>9316.5611427991735</v>
      </c>
      <c r="I24" s="9">
        <f t="shared" si="15"/>
        <v>11671.743059451874</v>
      </c>
      <c r="J24" s="9">
        <f t="shared" si="15"/>
        <v>14155.350408584163</v>
      </c>
      <c r="K24" s="9">
        <f t="shared" si="15"/>
        <v>17981.567172983421</v>
      </c>
      <c r="L24" s="9">
        <f t="shared" si="15"/>
        <v>21359.454872879491</v>
      </c>
      <c r="M24" s="9">
        <f t="shared" si="15"/>
        <v>26547.629754190413</v>
      </c>
      <c r="N24" s="9">
        <f t="shared" si="15"/>
        <v>30802.149017903663</v>
      </c>
      <c r="O24" s="9">
        <f t="shared" si="15"/>
        <v>35756.936366042144</v>
      </c>
      <c r="P24" s="9">
        <f t="shared" si="15"/>
        <v>41533.530585811372</v>
      </c>
      <c r="Q24" s="9">
        <f t="shared" si="15"/>
        <v>48270.126151916673</v>
      </c>
      <c r="R24" s="54"/>
      <c r="S24" s="9">
        <v>9453.2916949999999</v>
      </c>
      <c r="T24" s="9">
        <v>11559.3680988</v>
      </c>
      <c r="U24" s="10">
        <v>7205.0880517578098</v>
      </c>
      <c r="Y24" s="120">
        <v>14016.862720000001</v>
      </c>
    </row>
    <row r="25" spans="1:25" x14ac:dyDescent="0.3">
      <c r="A25" s="72" t="s">
        <v>107</v>
      </c>
      <c r="B25" s="73"/>
      <c r="C25" s="55">
        <f t="shared" ref="C25:Q25" si="16">C24/C5</f>
        <v>0.30827435561779876</v>
      </c>
      <c r="D25" s="55">
        <f t="shared" si="16"/>
        <v>0.39132703645033401</v>
      </c>
      <c r="E25" s="55">
        <f t="shared" si="16"/>
        <v>0.41649798127746801</v>
      </c>
      <c r="F25" s="55">
        <f t="shared" si="16"/>
        <v>0.44655874815134622</v>
      </c>
      <c r="G25" s="55">
        <f t="shared" si="16"/>
        <v>0.42836774086071794</v>
      </c>
      <c r="H25" s="55">
        <f t="shared" si="16"/>
        <v>0.4404040570572938</v>
      </c>
      <c r="I25" s="55">
        <f t="shared" si="16"/>
        <v>0.4404687079022217</v>
      </c>
      <c r="J25" s="55">
        <f t="shared" si="16"/>
        <v>0.44102537228397448</v>
      </c>
      <c r="K25" s="55">
        <f t="shared" si="16"/>
        <v>0.46227392089952241</v>
      </c>
      <c r="L25" s="55">
        <f t="shared" si="16"/>
        <v>0.4625721620614337</v>
      </c>
      <c r="M25" s="55">
        <f t="shared" si="16"/>
        <v>0.4851203465638827</v>
      </c>
      <c r="N25" s="55">
        <f t="shared" si="16"/>
        <v>0.48541817214711241</v>
      </c>
      <c r="O25" s="55">
        <f t="shared" si="16"/>
        <v>0.48595211508792435</v>
      </c>
      <c r="P25" s="55">
        <f t="shared" si="16"/>
        <v>0.48648494426036121</v>
      </c>
      <c r="Q25" s="55">
        <f t="shared" si="16"/>
        <v>0.48701422210308359</v>
      </c>
      <c r="R25" s="54"/>
      <c r="S25" s="9"/>
      <c r="T25" s="9"/>
      <c r="U25" s="10"/>
      <c r="Y25" s="108">
        <v>0.28000000000000003</v>
      </c>
    </row>
    <row r="26" spans="1:25" x14ac:dyDescent="0.3">
      <c r="A26" s="11" t="s">
        <v>18</v>
      </c>
      <c r="B26" s="11" t="s">
        <v>19</v>
      </c>
      <c r="C26" s="12">
        <f t="shared" ref="C26:D26" si="17">C27+C32+C34+C36</f>
        <v>2652.23</v>
      </c>
      <c r="D26" s="12">
        <f t="shared" si="17"/>
        <v>5478.7950000000001</v>
      </c>
      <c r="E26" s="12">
        <f>E27+E32+E34+E36</f>
        <v>6672.7849999999999</v>
      </c>
      <c r="F26" s="12">
        <f t="shared" ref="F26:Q26" si="18">F27+F32+F34+F36</f>
        <v>5608.8690000000006</v>
      </c>
      <c r="G26" s="12">
        <f t="shared" si="18"/>
        <v>6542.9359999999997</v>
      </c>
      <c r="H26" s="12">
        <f t="shared" si="18"/>
        <v>8865.4945212588536</v>
      </c>
      <c r="I26" s="12">
        <f t="shared" si="18"/>
        <v>10691.146832637842</v>
      </c>
      <c r="J26" s="12">
        <f t="shared" si="18"/>
        <v>12728.18938427467</v>
      </c>
      <c r="K26" s="12">
        <f t="shared" si="18"/>
        <v>15364.536176271538</v>
      </c>
      <c r="L26" s="12">
        <f t="shared" si="18"/>
        <v>17988.85568136978</v>
      </c>
      <c r="M26" s="12">
        <f t="shared" si="18"/>
        <v>21329.37296691005</v>
      </c>
      <c r="N26" s="12">
        <f t="shared" si="18"/>
        <v>24772.826165767667</v>
      </c>
      <c r="O26" s="12">
        <f t="shared" si="18"/>
        <v>28690.322007903636</v>
      </c>
      <c r="P26" s="12">
        <f t="shared" si="18"/>
        <v>33298.388445908829</v>
      </c>
      <c r="Q26" s="12">
        <f t="shared" si="18"/>
        <v>38665.87388646914</v>
      </c>
      <c r="R26" s="56"/>
      <c r="S26" s="12"/>
      <c r="T26" s="12"/>
      <c r="U26" s="13">
        <v>6542.9359999999997</v>
      </c>
      <c r="Y26" s="120">
        <v>3072</v>
      </c>
    </row>
    <row r="27" spans="1:25" x14ac:dyDescent="0.3">
      <c r="A27" s="11" t="s">
        <v>20</v>
      </c>
      <c r="B27" s="11" t="s">
        <v>21</v>
      </c>
      <c r="C27" s="12">
        <f t="shared" ref="C27:D27" si="19">C28+C30</f>
        <v>2430.5810000000001</v>
      </c>
      <c r="D27" s="12">
        <f t="shared" si="19"/>
        <v>4817.6109999999999</v>
      </c>
      <c r="E27" s="12">
        <f>E28+E30</f>
        <v>4706.835</v>
      </c>
      <c r="F27" s="12">
        <f t="shared" ref="F27:Q27" si="20">F28+F30</f>
        <v>3913.9470000000001</v>
      </c>
      <c r="G27" s="12">
        <f t="shared" si="20"/>
        <v>4740.3919999999998</v>
      </c>
      <c r="H27" s="12">
        <f t="shared" si="20"/>
        <v>6196.9019628321066</v>
      </c>
      <c r="I27" s="12">
        <f t="shared" si="20"/>
        <v>7403.1933797026759</v>
      </c>
      <c r="J27" s="12">
        <f t="shared" si="20"/>
        <v>8762.224536029813</v>
      </c>
      <c r="K27" s="12">
        <f t="shared" si="20"/>
        <v>10517.937109569029</v>
      </c>
      <c r="L27" s="12">
        <f t="shared" si="20"/>
        <v>12259.377067249643</v>
      </c>
      <c r="M27" s="12">
        <f t="shared" si="20"/>
        <v>14539.205226927414</v>
      </c>
      <c r="N27" s="12">
        <f t="shared" si="20"/>
        <v>16888.370891654769</v>
      </c>
      <c r="O27" s="12">
        <f t="shared" si="20"/>
        <v>19556.089882873377</v>
      </c>
      <c r="P27" s="12">
        <f t="shared" si="20"/>
        <v>22698.493191729609</v>
      </c>
      <c r="Q27" s="12">
        <f t="shared" si="20"/>
        <v>26357.570952186579</v>
      </c>
      <c r="R27" s="56"/>
      <c r="S27" s="12"/>
      <c r="T27" s="12"/>
      <c r="U27" s="13">
        <v>4740.3919999999998</v>
      </c>
      <c r="Y27" s="108">
        <v>0.28000000000000003</v>
      </c>
    </row>
    <row r="28" spans="1:25" x14ac:dyDescent="0.3">
      <c r="A28" s="30" t="s">
        <v>22</v>
      </c>
      <c r="B28" s="14" t="s">
        <v>23</v>
      </c>
      <c r="C28" s="38">
        <f>'[1]Income - Actual'!C14</f>
        <v>1830.875</v>
      </c>
      <c r="D28" s="15">
        <f>'[1]Income - Actual'!D14</f>
        <v>3829.7429999999999</v>
      </c>
      <c r="E28" s="15">
        <f>'[1]Income - Actual'!E14</f>
        <v>3269.223</v>
      </c>
      <c r="F28" s="15">
        <f>'[1]Income - Actual'!F14</f>
        <v>2779.223</v>
      </c>
      <c r="G28" s="15">
        <f>'[1]Income - Actual'!G14</f>
        <v>3472.6860000000001</v>
      </c>
      <c r="H28" s="57">
        <f>H29*H$5</f>
        <v>4238.6586762150528</v>
      </c>
      <c r="I28" s="57">
        <f t="shared" ref="I28:Q28" si="21">I29*I$5</f>
        <v>5152.5938433454376</v>
      </c>
      <c r="J28" s="57">
        <f t="shared" si="21"/>
        <v>6056.8028181179689</v>
      </c>
      <c r="K28" s="57">
        <f t="shared" si="21"/>
        <v>7123.5366967989066</v>
      </c>
      <c r="L28" s="57">
        <f t="shared" si="21"/>
        <v>8311.5721014955889</v>
      </c>
      <c r="M28" s="57">
        <f t="shared" si="21"/>
        <v>9850.2843461442226</v>
      </c>
      <c r="N28" s="57">
        <f t="shared" si="21"/>
        <v>11421.877344843941</v>
      </c>
      <c r="O28" s="57">
        <f t="shared" si="21"/>
        <v>13244.614738888546</v>
      </c>
      <c r="P28" s="57">
        <f t="shared" si="21"/>
        <v>15367.455033603172</v>
      </c>
      <c r="Q28" s="57">
        <f t="shared" si="21"/>
        <v>17840.593381081853</v>
      </c>
      <c r="R28" s="57"/>
      <c r="S28" s="15"/>
      <c r="T28" s="15"/>
      <c r="U28" s="16">
        <v>3472.6860000000001</v>
      </c>
      <c r="Y28" s="56">
        <v>1925.8537068843834</v>
      </c>
    </row>
    <row r="29" spans="1:25" x14ac:dyDescent="0.3">
      <c r="A29" s="64" t="s">
        <v>859</v>
      </c>
      <c r="B29" s="65"/>
      <c r="C29" s="66">
        <f>C28/C$5</f>
        <v>0.41842220974919464</v>
      </c>
      <c r="D29" s="66">
        <f t="shared" ref="D29:G29" si="22">D28/D$5</f>
        <v>0.38469813233097505</v>
      </c>
      <c r="E29" s="66">
        <f t="shared" si="22"/>
        <v>0.26259441488774232</v>
      </c>
      <c r="F29" s="66">
        <f t="shared" si="22"/>
        <v>0.21274621925416962</v>
      </c>
      <c r="G29" s="66">
        <f t="shared" si="22"/>
        <v>0.2064633570802526</v>
      </c>
      <c r="H29" s="66">
        <f>G29*(G29/F29)</f>
        <v>0.20036604159776364</v>
      </c>
      <c r="I29" s="66">
        <f t="shared" ref="I29:K29" si="23">H29*(H29/G29)</f>
        <v>0.19444879320620426</v>
      </c>
      <c r="J29" s="66">
        <f t="shared" si="23"/>
        <v>0.18870629412968948</v>
      </c>
      <c r="K29" s="66">
        <f t="shared" si="23"/>
        <v>0.18313338363791229</v>
      </c>
      <c r="L29" s="66">
        <v>0.18</v>
      </c>
      <c r="M29" s="66">
        <v>0.18</v>
      </c>
      <c r="N29" s="66">
        <v>0.18</v>
      </c>
      <c r="O29" s="66">
        <v>0.18</v>
      </c>
      <c r="P29" s="66">
        <v>0.18</v>
      </c>
      <c r="Q29" s="66">
        <v>0.18</v>
      </c>
      <c r="R29" s="57"/>
      <c r="S29" s="38"/>
      <c r="T29" s="38"/>
      <c r="U29" s="57"/>
      <c r="Y29" s="108">
        <v>0.23562812780700626</v>
      </c>
    </row>
    <row r="30" spans="1:25" x14ac:dyDescent="0.3">
      <c r="A30" s="30" t="s">
        <v>24</v>
      </c>
      <c r="B30" s="14" t="s">
        <v>25</v>
      </c>
      <c r="C30" s="38">
        <f>'[1]Income - Actual'!C16</f>
        <v>599.70600000000002</v>
      </c>
      <c r="D30" s="15">
        <f>'[1]Income - Actual'!D16</f>
        <v>987.86800000000005</v>
      </c>
      <c r="E30" s="15">
        <f>'[1]Income - Actual'!E16</f>
        <v>1437.6120000000001</v>
      </c>
      <c r="F30" s="15">
        <f>'[1]Income - Actual'!F16</f>
        <v>1134.7239999999999</v>
      </c>
      <c r="G30" s="15">
        <f>'[1]Income - Actual'!G16</f>
        <v>1267.7059999999999</v>
      </c>
      <c r="H30" s="57">
        <f>H31*H$5</f>
        <v>1958.2432866170541</v>
      </c>
      <c r="I30" s="57">
        <f t="shared" ref="I30:Q30" si="24">I31*I$5</f>
        <v>2250.5995363572379</v>
      </c>
      <c r="J30" s="57">
        <f t="shared" si="24"/>
        <v>2705.4217179118436</v>
      </c>
      <c r="K30" s="57">
        <f t="shared" si="24"/>
        <v>3394.4004127701232</v>
      </c>
      <c r="L30" s="57">
        <f t="shared" si="24"/>
        <v>3947.8049657540541</v>
      </c>
      <c r="M30" s="57">
        <f t="shared" si="24"/>
        <v>4688.9208807831919</v>
      </c>
      <c r="N30" s="57">
        <f t="shared" si="24"/>
        <v>5466.4935468108297</v>
      </c>
      <c r="O30" s="57">
        <f t="shared" si="24"/>
        <v>6311.4751439848324</v>
      </c>
      <c r="P30" s="57">
        <f t="shared" si="24"/>
        <v>7331.0381581264364</v>
      </c>
      <c r="Q30" s="57">
        <f t="shared" si="24"/>
        <v>8516.9775711047278</v>
      </c>
      <c r="R30" s="57"/>
      <c r="S30" s="38"/>
      <c r="T30" s="38"/>
      <c r="U30" s="16">
        <v>1267.7059999999999</v>
      </c>
      <c r="Y30" s="104">
        <v>11838.014964085209</v>
      </c>
    </row>
    <row r="31" spans="1:25" x14ac:dyDescent="0.3">
      <c r="A31" s="64" t="s">
        <v>859</v>
      </c>
      <c r="B31" s="65"/>
      <c r="C31" s="66">
        <f>C30/C$5</f>
        <v>0.13705485613154941</v>
      </c>
      <c r="D31" s="66">
        <f t="shared" ref="D31:G31" si="25">D30/D$5</f>
        <v>9.9231456155030692E-2</v>
      </c>
      <c r="E31" s="66">
        <f t="shared" si="25"/>
        <v>0.11547357949445389</v>
      </c>
      <c r="F31" s="66">
        <f t="shared" si="25"/>
        <v>8.6861774278986739E-2</v>
      </c>
      <c r="G31" s="66">
        <f t="shared" si="25"/>
        <v>7.5369565964437515E-2</v>
      </c>
      <c r="H31" s="66">
        <f>AVERAGE(E31:G31)</f>
        <v>9.2568306579292714E-2</v>
      </c>
      <c r="I31" s="66">
        <f t="shared" ref="I31:Q31" si="26">AVERAGE(F31:H31)</f>
        <v>8.4933215607572318E-2</v>
      </c>
      <c r="J31" s="66">
        <f t="shared" si="26"/>
        <v>8.4290362717100845E-2</v>
      </c>
      <c r="K31" s="66">
        <f t="shared" si="26"/>
        <v>8.7263961634655288E-2</v>
      </c>
      <c r="L31" s="66">
        <f t="shared" si="26"/>
        <v>8.5495846653109484E-2</v>
      </c>
      <c r="M31" s="66">
        <f t="shared" si="26"/>
        <v>8.5683390334955201E-2</v>
      </c>
      <c r="N31" s="66">
        <f t="shared" si="26"/>
        <v>8.6147732874239991E-2</v>
      </c>
      <c r="O31" s="66">
        <f t="shared" si="26"/>
        <v>8.5775656620768234E-2</v>
      </c>
      <c r="P31" s="66">
        <f t="shared" si="26"/>
        <v>8.5868926609987808E-2</v>
      </c>
      <c r="Q31" s="66">
        <f t="shared" si="26"/>
        <v>8.5930772034998673E-2</v>
      </c>
      <c r="R31" s="57"/>
      <c r="S31" s="38"/>
      <c r="T31" s="38"/>
      <c r="U31" s="57"/>
      <c r="Y31" s="108">
        <v>0.5595959429427062</v>
      </c>
    </row>
    <row r="32" spans="1:25" x14ac:dyDescent="0.3">
      <c r="A32" s="11" t="s">
        <v>26</v>
      </c>
      <c r="B32" s="11" t="s">
        <v>27</v>
      </c>
      <c r="C32" s="39">
        <f>'[1]Income - Actual'!C13</f>
        <v>353.78500000000003</v>
      </c>
      <c r="D32" s="12">
        <f>'[1]Income - Actual'!D13</f>
        <v>831.70299999999997</v>
      </c>
      <c r="E32" s="12">
        <f>'[1]Income - Actual'!E13</f>
        <v>1376.501</v>
      </c>
      <c r="F32" s="12">
        <f>'[1]Income - Actual'!F13</f>
        <v>1164.126</v>
      </c>
      <c r="G32" s="12">
        <f>'[1]Income - Actual'!G13</f>
        <v>1206.05</v>
      </c>
      <c r="H32" s="57">
        <f>H33*H$5</f>
        <v>1798.1389690851727</v>
      </c>
      <c r="I32" s="57">
        <f t="shared" ref="I32:Q32" si="27">I33*I$5</f>
        <v>2252.3692200028936</v>
      </c>
      <c r="J32" s="57">
        <f t="shared" si="27"/>
        <v>2728.1985580523815</v>
      </c>
      <c r="K32" s="57">
        <f t="shared" si="27"/>
        <v>3306.3366558283606</v>
      </c>
      <c r="L32" s="57">
        <f t="shared" si="27"/>
        <v>3924.9090479284723</v>
      </c>
      <c r="M32" s="57">
        <f t="shared" si="27"/>
        <v>4651.5231634569946</v>
      </c>
      <c r="N32" s="57">
        <f t="shared" si="27"/>
        <v>5393.6643017318611</v>
      </c>
      <c r="O32" s="57">
        <f t="shared" si="27"/>
        <v>6254.4014044751475</v>
      </c>
      <c r="P32" s="57">
        <f t="shared" si="27"/>
        <v>7256.8537658681653</v>
      </c>
      <c r="Q32" s="57">
        <f t="shared" si="27"/>
        <v>8424.7246521775432</v>
      </c>
      <c r="R32" s="56"/>
      <c r="S32" s="39"/>
      <c r="T32" s="39"/>
      <c r="U32" s="13">
        <v>1206.05</v>
      </c>
      <c r="Y32" s="126">
        <v>705.87213188926239</v>
      </c>
    </row>
    <row r="33" spans="1:25" x14ac:dyDescent="0.3">
      <c r="A33" s="48" t="s">
        <v>859</v>
      </c>
      <c r="B33" s="49"/>
      <c r="C33" s="53">
        <f>C32/C$5</f>
        <v>8.0852871701300663E-2</v>
      </c>
      <c r="D33" s="52">
        <f t="shared" ref="D33:G33" si="28">D32/D$5</f>
        <v>8.3544663637760794E-2</v>
      </c>
      <c r="E33" s="52">
        <f t="shared" si="28"/>
        <v>0.11056494912931672</v>
      </c>
      <c r="F33" s="52">
        <f t="shared" si="28"/>
        <v>8.9112462452807656E-2</v>
      </c>
      <c r="G33" s="52">
        <f t="shared" si="28"/>
        <v>7.1703900613714747E-2</v>
      </c>
      <c r="H33" s="52">
        <v>8.5000000000000006E-2</v>
      </c>
      <c r="I33" s="52">
        <v>8.5000000000000006E-2</v>
      </c>
      <c r="J33" s="52">
        <v>8.5000000000000006E-2</v>
      </c>
      <c r="K33" s="52">
        <v>8.5000000000000006E-2</v>
      </c>
      <c r="L33" s="52">
        <v>8.5000000000000006E-2</v>
      </c>
      <c r="M33" s="52">
        <v>8.5000000000000006E-2</v>
      </c>
      <c r="N33" s="52">
        <v>8.5000000000000006E-2</v>
      </c>
      <c r="O33" s="52">
        <v>8.5000000000000006E-2</v>
      </c>
      <c r="P33" s="52">
        <v>8.5000000000000006E-2</v>
      </c>
      <c r="Q33" s="52">
        <v>8.5000000000000006E-2</v>
      </c>
      <c r="R33" s="57"/>
      <c r="S33" s="38"/>
      <c r="T33" s="38"/>
      <c r="U33" s="57"/>
      <c r="Y33" s="108">
        <v>0.3298684201055942</v>
      </c>
    </row>
    <row r="34" spans="1:25" x14ac:dyDescent="0.3">
      <c r="A34" s="11" t="s">
        <v>28</v>
      </c>
      <c r="B34" s="11" t="s">
        <v>29</v>
      </c>
      <c r="C34" s="39">
        <f>'[1]Income - Actual'!C15</f>
        <v>57.509</v>
      </c>
      <c r="D34" s="12">
        <f>'[1]Income - Actual'!D15</f>
        <v>117.42700000000001</v>
      </c>
      <c r="E34" s="12">
        <f>'[1]Income - Actual'!E15</f>
        <v>513.69000000000005</v>
      </c>
      <c r="F34" s="12">
        <f>'[1]Income - Actual'!F15</f>
        <v>633.94200000000001</v>
      </c>
      <c r="G34" s="12">
        <f>'[1]Income - Actual'!G15</f>
        <v>776.93700000000001</v>
      </c>
      <c r="H34" s="57">
        <f>H35*H$5</f>
        <v>958.86891653810278</v>
      </c>
      <c r="I34" s="57">
        <f t="shared" ref="I34:Q34" si="29">I35*I$5</f>
        <v>1237.0004702882779</v>
      </c>
      <c r="J34" s="57">
        <f t="shared" si="29"/>
        <v>1478.580765139777</v>
      </c>
      <c r="K34" s="57">
        <f t="shared" si="29"/>
        <v>1790.2912315487417</v>
      </c>
      <c r="L34" s="57">
        <f t="shared" si="29"/>
        <v>2135.9809619962098</v>
      </c>
      <c r="M34" s="57">
        <f t="shared" si="29"/>
        <v>2523.6786841269018</v>
      </c>
      <c r="N34" s="57">
        <f t="shared" si="29"/>
        <v>2927.381133678065</v>
      </c>
      <c r="O34" s="57">
        <f t="shared" si="29"/>
        <v>3397.1925145941759</v>
      </c>
      <c r="P34" s="57">
        <f t="shared" si="29"/>
        <v>3939.1691764754619</v>
      </c>
      <c r="Q34" s="57">
        <f t="shared" si="29"/>
        <v>4573.8763109649572</v>
      </c>
      <c r="R34" s="56"/>
      <c r="S34" s="39"/>
      <c r="T34" s="39"/>
      <c r="U34" s="13">
        <v>776.93700000000001</v>
      </c>
      <c r="Y34" s="126">
        <v>9398.8744960000022</v>
      </c>
    </row>
    <row r="35" spans="1:25" x14ac:dyDescent="0.3">
      <c r="A35" s="48" t="s">
        <v>859</v>
      </c>
      <c r="B35" s="49"/>
      <c r="C35" s="53">
        <f>C34/C$5</f>
        <v>1.314291956603615E-2</v>
      </c>
      <c r="D35" s="52">
        <f t="shared" ref="D35:G35" si="30">D34/D$5</f>
        <v>1.1795555885924829E-2</v>
      </c>
      <c r="E35" s="52">
        <f t="shared" si="30"/>
        <v>4.1261218639317164E-2</v>
      </c>
      <c r="F35" s="52">
        <f t="shared" si="30"/>
        <v>4.85275070501456E-2</v>
      </c>
      <c r="G35" s="52">
        <f t="shared" si="30"/>
        <v>4.6191628399417685E-2</v>
      </c>
      <c r="H35" s="52">
        <f>AVERAGE(E35:G35)</f>
        <v>4.5326784696293483E-2</v>
      </c>
      <c r="I35" s="52">
        <f t="shared" ref="I35:Q35" si="31">AVERAGE(F35:H35)</f>
        <v>4.6681973381952256E-2</v>
      </c>
      <c r="J35" s="52">
        <f t="shared" si="31"/>
        <v>4.606679549255447E-2</v>
      </c>
      <c r="K35" s="52">
        <f t="shared" si="31"/>
        <v>4.602518452360007E-2</v>
      </c>
      <c r="L35" s="52">
        <f t="shared" si="31"/>
        <v>4.6257984466035601E-2</v>
      </c>
      <c r="M35" s="52">
        <f t="shared" si="31"/>
        <v>4.6116654827396714E-2</v>
      </c>
      <c r="N35" s="52">
        <f t="shared" si="31"/>
        <v>4.6133274605677461E-2</v>
      </c>
      <c r="O35" s="52">
        <f t="shared" si="31"/>
        <v>4.616930463303659E-2</v>
      </c>
      <c r="P35" s="52">
        <f t="shared" si="31"/>
        <v>4.6139744688703584E-2</v>
      </c>
      <c r="Q35" s="52">
        <f t="shared" si="31"/>
        <v>4.6147441309139205E-2</v>
      </c>
      <c r="R35" s="57"/>
      <c r="S35" s="38"/>
      <c r="T35" s="38"/>
      <c r="U35" s="57"/>
      <c r="Y35" s="108">
        <v>0.55000000000000004</v>
      </c>
    </row>
    <row r="36" spans="1:25" x14ac:dyDescent="0.3">
      <c r="A36" s="32" t="s">
        <v>292</v>
      </c>
      <c r="B36" s="11" t="s">
        <v>30</v>
      </c>
      <c r="C36" s="39">
        <f>'[1]Income - Actual'!C22+'[1]Income - Actual'!C19</f>
        <v>-189.64500000000001</v>
      </c>
      <c r="D36" s="12">
        <f>'[1]Income - Actual'!D22+'[1]Income - Actual'!D19</f>
        <v>-287.94600000000003</v>
      </c>
      <c r="E36" s="12">
        <f>'[1]Income - Actual'!E22+'[1]Income - Actual'!E19</f>
        <v>75.758999999999958</v>
      </c>
      <c r="F36" s="12">
        <f>'[1]Income - Actual'!F22+'[1]Income - Actual'!F19</f>
        <v>-103.14599999999999</v>
      </c>
      <c r="G36" s="12">
        <f>'[1]Income - Actual'!G22+'[1]Income - Actual'!G19</f>
        <v>-180.44300000000001</v>
      </c>
      <c r="H36" s="57">
        <f>H37*H$5</f>
        <v>-88.415327196528693</v>
      </c>
      <c r="I36" s="57">
        <f t="shared" ref="I36:Q36" si="32">I37*I$5</f>
        <v>-201.41623735600521</v>
      </c>
      <c r="J36" s="57">
        <f t="shared" si="32"/>
        <v>-240.8144749473019</v>
      </c>
      <c r="K36" s="57">
        <f t="shared" si="32"/>
        <v>-250.02882067459183</v>
      </c>
      <c r="L36" s="57">
        <f t="shared" si="32"/>
        <v>-331.41139580454393</v>
      </c>
      <c r="M36" s="57">
        <f t="shared" si="32"/>
        <v>-385.03410760125831</v>
      </c>
      <c r="N36" s="57">
        <f t="shared" si="32"/>
        <v>-436.59016129702763</v>
      </c>
      <c r="O36" s="57">
        <f t="shared" si="32"/>
        <v>-517.36179403906146</v>
      </c>
      <c r="P36" s="57">
        <f t="shared" si="32"/>
        <v>-596.12768816440609</v>
      </c>
      <c r="Q36" s="57">
        <f t="shared" si="32"/>
        <v>-690.29802885994093</v>
      </c>
      <c r="R36" s="56"/>
      <c r="S36" s="39"/>
      <c r="T36" s="39"/>
      <c r="U36" s="13">
        <v>-180.44300000000001</v>
      </c>
      <c r="Y36" s="126">
        <v>1733.268336195945</v>
      </c>
    </row>
    <row r="37" spans="1:25" x14ac:dyDescent="0.3">
      <c r="A37" s="48" t="s">
        <v>859</v>
      </c>
      <c r="B37" s="49"/>
      <c r="C37" s="53">
        <f>C36/C$5</f>
        <v>-4.33408506686071E-2</v>
      </c>
      <c r="D37" s="52">
        <f t="shared" ref="D37:G37" si="33">D36/D$5</f>
        <v>-2.8924209382241828E-2</v>
      </c>
      <c r="E37" s="52">
        <f t="shared" si="33"/>
        <v>6.0852044285386649E-3</v>
      </c>
      <c r="F37" s="52">
        <f t="shared" si="33"/>
        <v>-7.8957037744688263E-3</v>
      </c>
      <c r="G37" s="52">
        <f t="shared" si="33"/>
        <v>-1.0727968938634825E-2</v>
      </c>
      <c r="H37" s="52">
        <f>AVERAGE(E37:G37)</f>
        <v>-4.1794894281883292E-3</v>
      </c>
      <c r="I37" s="52">
        <f t="shared" ref="I37:Q37" si="34">AVERAGE(F37:H37)</f>
        <v>-7.6010540470973281E-3</v>
      </c>
      <c r="J37" s="52">
        <f t="shared" si="34"/>
        <v>-7.5028374713068278E-3</v>
      </c>
      <c r="K37" s="52">
        <f t="shared" si="34"/>
        <v>-6.4277936488641614E-3</v>
      </c>
      <c r="L37" s="52">
        <f t="shared" si="34"/>
        <v>-7.1772283890894394E-3</v>
      </c>
      <c r="M37" s="52">
        <f t="shared" si="34"/>
        <v>-7.0359531697534762E-3</v>
      </c>
      <c r="N37" s="52">
        <f t="shared" si="34"/>
        <v>-6.8803250692356923E-3</v>
      </c>
      <c r="O37" s="52">
        <f t="shared" si="34"/>
        <v>-7.0311688760262029E-3</v>
      </c>
      <c r="P37" s="52">
        <f t="shared" si="34"/>
        <v>-6.9824823716717914E-3</v>
      </c>
      <c r="Q37" s="52">
        <f t="shared" si="34"/>
        <v>-6.9646587723112283E-3</v>
      </c>
      <c r="R37" s="57"/>
      <c r="S37" s="38"/>
      <c r="T37" s="38"/>
      <c r="U37" s="57"/>
      <c r="Y37" s="108">
        <v>0.9</v>
      </c>
    </row>
    <row r="38" spans="1:25" x14ac:dyDescent="0.3">
      <c r="A38" s="69"/>
      <c r="B38" s="34"/>
      <c r="C38" s="70"/>
      <c r="D38" s="71"/>
      <c r="E38" s="71"/>
      <c r="F38" s="71"/>
      <c r="G38" s="71"/>
      <c r="H38" s="57"/>
      <c r="I38" s="57"/>
      <c r="J38" s="57"/>
      <c r="K38" s="57"/>
      <c r="L38" s="57"/>
      <c r="M38" s="57"/>
      <c r="N38" s="57"/>
      <c r="O38" s="57"/>
      <c r="P38" s="57"/>
      <c r="Q38" s="57"/>
      <c r="R38" s="57"/>
      <c r="S38" s="38"/>
      <c r="T38" s="38"/>
      <c r="U38" s="57"/>
      <c r="Y38" s="56"/>
    </row>
    <row r="39" spans="1:25" x14ac:dyDescent="0.3">
      <c r="A39" s="8" t="s">
        <v>31</v>
      </c>
      <c r="B39" s="8" t="s">
        <v>32</v>
      </c>
      <c r="C39" s="9">
        <f t="shared" ref="C39:Q39" si="35">C24-C26</f>
        <v>-1303.3250000000003</v>
      </c>
      <c r="D39" s="9">
        <f t="shared" si="35"/>
        <v>-1583.0599999999995</v>
      </c>
      <c r="E39" s="9">
        <f t="shared" si="35"/>
        <v>-1487.5079999999998</v>
      </c>
      <c r="F39" s="9">
        <f t="shared" si="35"/>
        <v>224.77799999999934</v>
      </c>
      <c r="G39" s="9">
        <f t="shared" si="35"/>
        <v>662.15200000000186</v>
      </c>
      <c r="H39" s="9">
        <f t="shared" si="35"/>
        <v>451.06662154031983</v>
      </c>
      <c r="I39" s="9">
        <f t="shared" si="35"/>
        <v>980.59622681403198</v>
      </c>
      <c r="J39" s="9">
        <f t="shared" si="35"/>
        <v>1427.1610243094929</v>
      </c>
      <c r="K39" s="9">
        <f t="shared" si="35"/>
        <v>2617.0309967118828</v>
      </c>
      <c r="L39" s="9">
        <f t="shared" si="35"/>
        <v>3370.5991915097111</v>
      </c>
      <c r="M39" s="9">
        <f t="shared" si="35"/>
        <v>5218.2567872803629</v>
      </c>
      <c r="N39" s="9">
        <f t="shared" si="35"/>
        <v>6029.3228521359961</v>
      </c>
      <c r="O39" s="9">
        <f t="shared" si="35"/>
        <v>7066.6143581385077</v>
      </c>
      <c r="P39" s="9">
        <f t="shared" si="35"/>
        <v>8235.1421399025421</v>
      </c>
      <c r="Q39" s="9">
        <f t="shared" si="35"/>
        <v>9604.2522654475324</v>
      </c>
      <c r="R39" s="54"/>
      <c r="S39" s="9">
        <v>1952.636</v>
      </c>
      <c r="T39" s="9">
        <v>3036.05</v>
      </c>
      <c r="U39" s="10">
        <v>662.15200000000004</v>
      </c>
      <c r="Y39" s="9">
        <v>9316.5611427991735</v>
      </c>
    </row>
    <row r="40" spans="1:25" x14ac:dyDescent="0.3">
      <c r="A40" s="72" t="s">
        <v>109</v>
      </c>
      <c r="B40" s="73"/>
      <c r="C40" s="55">
        <f>C39/C30</f>
        <v>-2.1732732372195711</v>
      </c>
      <c r="D40" s="55">
        <f t="shared" ref="D40:Q40" si="36">D39/D30</f>
        <v>-1.6025015487899188</v>
      </c>
      <c r="E40" s="55">
        <f t="shared" si="36"/>
        <v>-1.0347075566981909</v>
      </c>
      <c r="F40" s="55">
        <f t="shared" si="36"/>
        <v>0.19809046076402662</v>
      </c>
      <c r="G40" s="55">
        <f t="shared" si="36"/>
        <v>0.52232299918119962</v>
      </c>
      <c r="H40" s="55">
        <f t="shared" si="36"/>
        <v>0.23034248329764787</v>
      </c>
      <c r="I40" s="55">
        <f t="shared" si="36"/>
        <v>0.43570444718086082</v>
      </c>
      <c r="J40" s="55">
        <f t="shared" si="36"/>
        <v>0.52751887621092752</v>
      </c>
      <c r="K40" s="55">
        <f t="shared" si="36"/>
        <v>0.77098476268925509</v>
      </c>
      <c r="L40" s="55">
        <f t="shared" si="36"/>
        <v>0.85379070667081614</v>
      </c>
      <c r="M40" s="55">
        <f t="shared" si="36"/>
        <v>1.1128907737954314</v>
      </c>
      <c r="N40" s="55">
        <f t="shared" si="36"/>
        <v>1.1029598408020664</v>
      </c>
      <c r="O40" s="55">
        <f t="shared" si="36"/>
        <v>1.1196454389705333</v>
      </c>
      <c r="P40" s="55">
        <f t="shared" si="36"/>
        <v>1.123325504829614</v>
      </c>
      <c r="Q40" s="55">
        <f t="shared" si="36"/>
        <v>1.1276596874026728</v>
      </c>
      <c r="R40" s="54"/>
      <c r="S40" s="9"/>
      <c r="T40" s="9"/>
      <c r="U40" s="10"/>
      <c r="Y40" s="55">
        <v>0.4404040570572938</v>
      </c>
    </row>
    <row r="41" spans="1:25" x14ac:dyDescent="0.3">
      <c r="A41" s="11" t="s">
        <v>33</v>
      </c>
      <c r="B41" s="11" t="s">
        <v>34</v>
      </c>
      <c r="C41" s="12">
        <f t="shared" ref="C41:D41" si="37">C42+C47+C48+C49</f>
        <v>179.91300000000001</v>
      </c>
      <c r="D41" s="12">
        <f t="shared" si="37"/>
        <v>132.124</v>
      </c>
      <c r="E41" s="12">
        <f>E42+E47+E48+E49</f>
        <v>13.024999999999977</v>
      </c>
      <c r="F41" s="12">
        <f t="shared" ref="F41:Q41" si="38">F42+F47+F48+F49</f>
        <v>-207.61599999999999</v>
      </c>
      <c r="G41" s="12">
        <f t="shared" si="38"/>
        <v>-116.631</v>
      </c>
      <c r="H41" s="12">
        <f t="shared" si="38"/>
        <v>-464.75658308507627</v>
      </c>
      <c r="I41" s="12">
        <f t="shared" si="38"/>
        <v>-599.85869364455527</v>
      </c>
      <c r="J41" s="12">
        <f t="shared" si="38"/>
        <v>-734.58257305661016</v>
      </c>
      <c r="K41" s="12">
        <f t="shared" si="38"/>
        <v>-913.40594139668974</v>
      </c>
      <c r="L41" s="12">
        <f t="shared" si="38"/>
        <v>-1148.0054928242839</v>
      </c>
      <c r="M41" s="12">
        <f t="shared" si="38"/>
        <v>-1453.7419599456634</v>
      </c>
      <c r="N41" s="12">
        <f t="shared" si="38"/>
        <v>-1836.0230345413836</v>
      </c>
      <c r="O41" s="12">
        <f t="shared" si="38"/>
        <v>-2287.5211657637537</v>
      </c>
      <c r="P41" s="12">
        <f t="shared" si="38"/>
        <v>-2819.7941683470972</v>
      </c>
      <c r="Q41" s="12">
        <f t="shared" si="38"/>
        <v>-3445.2645721641024</v>
      </c>
      <c r="R41" s="56"/>
      <c r="S41" s="12"/>
      <c r="T41" s="12"/>
      <c r="U41" s="13">
        <v>-116.631</v>
      </c>
      <c r="Y41" s="12">
        <v>8865.4945212588536</v>
      </c>
    </row>
    <row r="42" spans="1:25" s="322" customFormat="1" x14ac:dyDescent="0.3">
      <c r="A42" s="34" t="s">
        <v>35</v>
      </c>
      <c r="B42" s="34" t="s">
        <v>36</v>
      </c>
      <c r="C42" s="39">
        <f t="shared" ref="C42:D42" si="39">C43-C45</f>
        <v>99.039000000000001</v>
      </c>
      <c r="D42" s="39">
        <f t="shared" si="39"/>
        <v>100.79400000000001</v>
      </c>
      <c r="E42" s="39">
        <f>E43-E45</f>
        <v>-70.119</v>
      </c>
      <c r="F42" s="39">
        <f t="shared" ref="F42:Q42" si="40">F43-F45</f>
        <v>-290.23500000000001</v>
      </c>
      <c r="G42" s="39">
        <f t="shared" si="40"/>
        <v>-327.476</v>
      </c>
      <c r="H42" s="39">
        <f t="shared" si="40"/>
        <v>-464.75658308507627</v>
      </c>
      <c r="I42" s="39">
        <f t="shared" si="40"/>
        <v>-599.85869364455527</v>
      </c>
      <c r="J42" s="39">
        <f t="shared" si="40"/>
        <v>-734.58257305661016</v>
      </c>
      <c r="K42" s="39">
        <f t="shared" si="40"/>
        <v>-913.40594139668974</v>
      </c>
      <c r="L42" s="39">
        <f t="shared" si="40"/>
        <v>-1148.0054928242839</v>
      </c>
      <c r="M42" s="39">
        <f t="shared" si="40"/>
        <v>-1453.7419599456634</v>
      </c>
      <c r="N42" s="39">
        <f t="shared" si="40"/>
        <v>-1836.0230345413836</v>
      </c>
      <c r="O42" s="39">
        <f t="shared" si="40"/>
        <v>-2287.5211657637537</v>
      </c>
      <c r="P42" s="39">
        <f t="shared" si="40"/>
        <v>-2819.7941683470972</v>
      </c>
      <c r="Q42" s="39">
        <f t="shared" si="40"/>
        <v>-3445.2645721641024</v>
      </c>
      <c r="R42" s="56"/>
      <c r="S42" s="39"/>
      <c r="T42" s="39"/>
      <c r="U42" s="56">
        <v>-327.476</v>
      </c>
      <c r="Y42" s="39">
        <v>6196.9019628321066</v>
      </c>
    </row>
    <row r="43" spans="1:25" s="322" customFormat="1" x14ac:dyDescent="0.3">
      <c r="A43" s="225" t="s">
        <v>37</v>
      </c>
      <c r="B43" s="226" t="s">
        <v>38</v>
      </c>
      <c r="C43" s="38">
        <f>'[1]Income - Actual'!C25</f>
        <v>123.843</v>
      </c>
      <c r="D43" s="38">
        <f>'[1]Income - Actual'!D25</f>
        <v>136.876</v>
      </c>
      <c r="E43" s="38">
        <f>'[1]Income - Actual'!E25</f>
        <v>45.396000000000001</v>
      </c>
      <c r="F43" s="38">
        <f>'[1]Income - Actual'!F25</f>
        <v>41.075000000000003</v>
      </c>
      <c r="G43" s="38">
        <f>'[1]Income - Actual'!G25</f>
        <v>38.341000000000001</v>
      </c>
      <c r="H43" s="57">
        <f>H44*AVERAGE('[1]BS Model'!G121:H121)</f>
        <v>45.146575543000125</v>
      </c>
      <c r="I43" s="57">
        <f>I44*AVERAGE('[1]BS Model'!H121:I121)</f>
        <v>54.298700984076625</v>
      </c>
      <c r="J43" s="57">
        <f>J44*AVERAGE('[1]BS Model'!I121:J121)</f>
        <v>65.904030479213347</v>
      </c>
      <c r="K43" s="57">
        <f>K44*AVERAGE('[1]BS Model'!J121:K121)</f>
        <v>81.602361899524908</v>
      </c>
      <c r="L43" s="57">
        <f>L44*AVERAGE('[1]BS Model'!K121:L121)</f>
        <v>102.14741714949578</v>
      </c>
      <c r="M43" s="57">
        <f>M44*AVERAGE('[1]BS Model'!L121:M121)</f>
        <v>128.91279065715221</v>
      </c>
      <c r="N43" s="57">
        <f>N44*AVERAGE('[1]BS Model'!M121:N121)</f>
        <v>162.43414865247564</v>
      </c>
      <c r="O43" s="57">
        <f>O44*AVERAGE('[1]BS Model'!N121:O121)</f>
        <v>201.86004355879317</v>
      </c>
      <c r="P43" s="57">
        <f>P44*AVERAGE('[1]BS Model'!O121:P121)</f>
        <v>248.24911995999713</v>
      </c>
      <c r="Q43" s="57">
        <f>Q44*AVERAGE('[1]BS Model'!P121:Q121)</f>
        <v>302.73182373275756</v>
      </c>
      <c r="R43" s="57"/>
      <c r="S43" s="38"/>
      <c r="T43" s="38"/>
      <c r="U43" s="57">
        <v>38.341000000000001</v>
      </c>
      <c r="Y43" s="57">
        <v>4238.6586762150528</v>
      </c>
    </row>
    <row r="44" spans="1:25" s="322" customFormat="1" x14ac:dyDescent="0.3">
      <c r="A44" s="227" t="s">
        <v>860</v>
      </c>
      <c r="B44" s="226"/>
      <c r="C44" s="228">
        <f>C43/'[1]BS Model'!C121</f>
        <v>5.9176254382921879E-2</v>
      </c>
      <c r="D44" s="228">
        <f>D43/'[1]BS Model'!D121</f>
        <v>3.2179503304913697E-2</v>
      </c>
      <c r="E44" s="228">
        <f>E43/'[1]BS Model'!E121</f>
        <v>1.0121326153247259E-2</v>
      </c>
      <c r="F44" s="228">
        <f>F43/'[1]BS Model'!F121</f>
        <v>9.2348299790797096E-3</v>
      </c>
      <c r="G44" s="228">
        <f>G43/'[1]BS Model'!G121</f>
        <v>9.3272739259379275E-3</v>
      </c>
      <c r="H44" s="229">
        <v>0.01</v>
      </c>
      <c r="I44" s="229">
        <v>0.01</v>
      </c>
      <c r="J44" s="229">
        <v>0.01</v>
      </c>
      <c r="K44" s="229">
        <v>0.01</v>
      </c>
      <c r="L44" s="229">
        <v>0.01</v>
      </c>
      <c r="M44" s="229">
        <v>0.01</v>
      </c>
      <c r="N44" s="229">
        <v>0.01</v>
      </c>
      <c r="O44" s="229">
        <v>0.01</v>
      </c>
      <c r="P44" s="229">
        <v>0.01</v>
      </c>
      <c r="Q44" s="229">
        <v>0.01</v>
      </c>
      <c r="R44" s="57"/>
      <c r="S44" s="38"/>
      <c r="T44" s="38"/>
      <c r="U44" s="57"/>
      <c r="Y44" s="228">
        <v>0.20036604159776364</v>
      </c>
    </row>
    <row r="45" spans="1:25" s="322" customFormat="1" x14ac:dyDescent="0.3">
      <c r="A45" s="225" t="s">
        <v>39</v>
      </c>
      <c r="B45" s="226" t="s">
        <v>40</v>
      </c>
      <c r="C45" s="38">
        <f>-'[1]Income - Actual'!C27</f>
        <v>24.803999999999998</v>
      </c>
      <c r="D45" s="38">
        <f>-'[1]Income - Actual'!D27</f>
        <v>36.082000000000001</v>
      </c>
      <c r="E45" s="38">
        <f>-'[1]Income - Actual'!E27</f>
        <v>115.515</v>
      </c>
      <c r="F45" s="38">
        <f>-'[1]Income - Actual'!F27</f>
        <v>331.31</v>
      </c>
      <c r="G45" s="38">
        <f>-'[1]Income - Actual'!G27</f>
        <v>365.81700000000001</v>
      </c>
      <c r="H45" s="57">
        <f>H46*AVERAGE('[1]BS Model'!G6:H6)</f>
        <v>509.90315862807643</v>
      </c>
      <c r="I45" s="57">
        <f>I46*AVERAGE('[1]BS Model'!H6:I6)</f>
        <v>654.15739462863189</v>
      </c>
      <c r="J45" s="57">
        <f>J46*AVERAGE('[1]BS Model'!I6:J6)</f>
        <v>800.48660353582352</v>
      </c>
      <c r="K45" s="57">
        <f>K46*AVERAGE('[1]BS Model'!J6:K6)</f>
        <v>995.00830329621465</v>
      </c>
      <c r="L45" s="57">
        <f>L46*AVERAGE('[1]BS Model'!K6:L6)</f>
        <v>1250.1529099737797</v>
      </c>
      <c r="M45" s="57">
        <f>M46*AVERAGE('[1]BS Model'!L6:M6)</f>
        <v>1582.6547506028157</v>
      </c>
      <c r="N45" s="57">
        <f>N46*AVERAGE('[1]BS Model'!M6:N6)</f>
        <v>1998.4571831938592</v>
      </c>
      <c r="O45" s="57">
        <f>O46*AVERAGE('[1]BS Model'!N6:O6)</f>
        <v>2489.381209322547</v>
      </c>
      <c r="P45" s="57">
        <f>P46*AVERAGE('[1]BS Model'!O6:P6)</f>
        <v>3068.0432883070944</v>
      </c>
      <c r="Q45" s="57">
        <f>Q46*AVERAGE('[1]BS Model'!P6:Q6)</f>
        <v>3747.9963958968601</v>
      </c>
      <c r="R45" s="57"/>
      <c r="S45" s="38"/>
      <c r="T45" s="38"/>
      <c r="U45" s="57">
        <v>365.81700000000001</v>
      </c>
      <c r="W45" s="323"/>
      <c r="Y45" s="57">
        <v>1958.2432866170541</v>
      </c>
    </row>
    <row r="46" spans="1:25" s="322" customFormat="1" x14ac:dyDescent="0.3">
      <c r="A46" s="227" t="s">
        <v>895</v>
      </c>
      <c r="B46" s="226"/>
      <c r="C46" s="228">
        <f>C45/'[1]BS Model'!C6</f>
        <v>3.941535479460522E-3</v>
      </c>
      <c r="D46" s="228">
        <f>D45/'[1]BS Model'!D6</f>
        <v>3.5517124989036856E-3</v>
      </c>
      <c r="E46" s="228">
        <f>E45/'[1]BS Model'!E6</f>
        <v>1.6755590309825028E-2</v>
      </c>
      <c r="F46" s="228">
        <f>F45/'[1]BS Model'!F6</f>
        <v>6.1826562412525425E-2</v>
      </c>
      <c r="G46" s="228">
        <f>G45/'[1]BS Model'!G6</f>
        <v>4.2435331467410069E-2</v>
      </c>
      <c r="H46" s="229">
        <v>0.05</v>
      </c>
      <c r="I46" s="229">
        <v>0.05</v>
      </c>
      <c r="J46" s="229">
        <v>0.05</v>
      </c>
      <c r="K46" s="229">
        <v>0.05</v>
      </c>
      <c r="L46" s="229">
        <v>0.05</v>
      </c>
      <c r="M46" s="229">
        <v>0.05</v>
      </c>
      <c r="N46" s="229">
        <v>0.05</v>
      </c>
      <c r="O46" s="229">
        <v>0.05</v>
      </c>
      <c r="P46" s="229">
        <v>0.05</v>
      </c>
      <c r="Q46" s="229">
        <v>0.05</v>
      </c>
      <c r="R46" s="57"/>
      <c r="S46" s="38"/>
      <c r="T46" s="38"/>
      <c r="U46" s="57"/>
      <c r="Y46" s="228">
        <v>9.2568306579292714E-2</v>
      </c>
    </row>
    <row r="47" spans="1:25" x14ac:dyDescent="0.3">
      <c r="A47" s="11" t="s">
        <v>41</v>
      </c>
      <c r="B47" s="11" t="s">
        <v>42</v>
      </c>
      <c r="C47" s="39">
        <f>'[1]Income - Actual'!C31</f>
        <v>17.82</v>
      </c>
      <c r="D47" s="39">
        <f>'[1]Income - Actual'!D31</f>
        <v>43.502000000000002</v>
      </c>
      <c r="E47" s="39">
        <f>'[1]Income - Actual'!E31</f>
        <v>207.33099999999999</v>
      </c>
      <c r="F47" s="39">
        <f>'[1]Income - Actual'!F31</f>
        <v>125.65600000000001</v>
      </c>
      <c r="G47" s="39">
        <f>'[1]Income - Actual'!G31</f>
        <v>250.22</v>
      </c>
      <c r="H47" s="75">
        <v>0</v>
      </c>
      <c r="I47" s="75">
        <v>0</v>
      </c>
      <c r="J47" s="75">
        <v>0</v>
      </c>
      <c r="K47" s="75">
        <v>0</v>
      </c>
      <c r="L47" s="75">
        <v>0</v>
      </c>
      <c r="M47" s="75">
        <v>0</v>
      </c>
      <c r="N47" s="75">
        <v>0</v>
      </c>
      <c r="O47" s="75">
        <v>0</v>
      </c>
      <c r="P47" s="75">
        <v>0</v>
      </c>
      <c r="Q47" s="75">
        <v>0</v>
      </c>
      <c r="R47" s="56"/>
      <c r="S47" s="12"/>
      <c r="T47" s="12"/>
      <c r="U47" s="13"/>
      <c r="Y47" s="57">
        <v>1798.1389690851727</v>
      </c>
    </row>
    <row r="48" spans="1:25" x14ac:dyDescent="0.3">
      <c r="A48" s="11" t="s">
        <v>44</v>
      </c>
      <c r="B48" s="11" t="s">
        <v>45</v>
      </c>
      <c r="C48" s="39">
        <f>'[1]Income - Actual'!C26</f>
        <v>38.567</v>
      </c>
      <c r="D48" s="39">
        <f>'[1]Income - Actual'!D26</f>
        <v>-14.241</v>
      </c>
      <c r="E48" s="39">
        <f>'[1]Income - Actual'!E26</f>
        <v>75.510000000000005</v>
      </c>
      <c r="F48" s="39">
        <f>'[1]Income - Actual'!F26</f>
        <v>-4.4870000000000001</v>
      </c>
      <c r="G48" s="39">
        <f>'[1]Income - Actual'!G26</f>
        <v>3.246</v>
      </c>
      <c r="H48" s="75">
        <v>0</v>
      </c>
      <c r="I48" s="75">
        <v>0</v>
      </c>
      <c r="J48" s="75">
        <v>0</v>
      </c>
      <c r="K48" s="75">
        <v>0</v>
      </c>
      <c r="L48" s="75">
        <v>0</v>
      </c>
      <c r="M48" s="75">
        <v>0</v>
      </c>
      <c r="N48" s="75">
        <v>0</v>
      </c>
      <c r="O48" s="75">
        <v>0</v>
      </c>
      <c r="P48" s="75">
        <v>0</v>
      </c>
      <c r="Q48" s="75">
        <v>0</v>
      </c>
      <c r="R48" s="56"/>
      <c r="S48" s="12"/>
      <c r="T48" s="12"/>
      <c r="U48" s="13">
        <v>24.858000000000001</v>
      </c>
      <c r="Y48" s="111">
        <v>8.5000000000000006E-2</v>
      </c>
    </row>
    <row r="49" spans="1:25" x14ac:dyDescent="0.3">
      <c r="A49" s="11" t="s">
        <v>46</v>
      </c>
      <c r="B49" s="11" t="s">
        <v>47</v>
      </c>
      <c r="C49" s="12">
        <f>'[1]Income - Actual'!C30+0.087</f>
        <v>24.486999999999998</v>
      </c>
      <c r="D49" s="12">
        <f>'[1]Income - Actual'!D30</f>
        <v>2.069</v>
      </c>
      <c r="E49" s="12">
        <f>'[1]Income - Actual'!E30</f>
        <v>-199.697</v>
      </c>
      <c r="F49" s="12">
        <f>'[1]Income - Actual'!F30</f>
        <v>-38.549999999999997</v>
      </c>
      <c r="G49" s="12">
        <f>'[1]Income - Actual'!G30</f>
        <v>-42.621000000000002</v>
      </c>
      <c r="H49" s="75">
        <v>0</v>
      </c>
      <c r="I49" s="75">
        <v>0</v>
      </c>
      <c r="J49" s="75">
        <v>0</v>
      </c>
      <c r="K49" s="75">
        <v>0</v>
      </c>
      <c r="L49" s="75">
        <v>0</v>
      </c>
      <c r="M49" s="75">
        <v>0</v>
      </c>
      <c r="N49" s="75">
        <v>0</v>
      </c>
      <c r="O49" s="75">
        <v>0</v>
      </c>
      <c r="P49" s="75">
        <v>0</v>
      </c>
      <c r="Q49" s="75">
        <v>0</v>
      </c>
      <c r="R49" s="56"/>
      <c r="S49" s="12"/>
      <c r="T49" s="12"/>
      <c r="U49" s="13">
        <v>107.688</v>
      </c>
      <c r="Y49" s="57">
        <v>958.86891653810278</v>
      </c>
    </row>
    <row r="50" spans="1:25" x14ac:dyDescent="0.3">
      <c r="A50" s="11"/>
      <c r="B50" s="11"/>
      <c r="C50" s="12"/>
      <c r="D50" s="12"/>
      <c r="E50" s="12"/>
      <c r="F50" s="12"/>
      <c r="G50" s="12"/>
      <c r="H50" s="56"/>
      <c r="I50" s="56"/>
      <c r="J50" s="56"/>
      <c r="K50" s="56"/>
      <c r="L50" s="56"/>
      <c r="M50" s="56"/>
      <c r="N50" s="56"/>
      <c r="O50" s="56"/>
      <c r="P50" s="56"/>
      <c r="Q50" s="56"/>
      <c r="R50" s="56"/>
      <c r="S50" s="12"/>
      <c r="T50" s="12"/>
      <c r="U50" s="13"/>
      <c r="Y50" s="111">
        <v>4.5326784696293483E-2</v>
      </c>
    </row>
    <row r="51" spans="1:25" x14ac:dyDescent="0.3">
      <c r="A51" s="8" t="s">
        <v>48</v>
      </c>
      <c r="B51" s="8" t="s">
        <v>49</v>
      </c>
      <c r="C51" s="9">
        <f t="shared" ref="C51:D51" si="41">C39-C41</f>
        <v>-1483.2380000000003</v>
      </c>
      <c r="D51" s="9">
        <f t="shared" si="41"/>
        <v>-1715.1839999999995</v>
      </c>
      <c r="E51" s="9">
        <f>E39-E41</f>
        <v>-1500.5329999999999</v>
      </c>
      <c r="F51" s="9">
        <f t="shared" ref="F51:Q51" si="42">F39-F41</f>
        <v>432.39399999999932</v>
      </c>
      <c r="G51" s="9">
        <f t="shared" si="42"/>
        <v>778.78300000000183</v>
      </c>
      <c r="H51" s="9">
        <f t="shared" si="42"/>
        <v>915.8232046253961</v>
      </c>
      <c r="I51" s="9">
        <f t="shared" si="42"/>
        <v>1580.4549204585874</v>
      </c>
      <c r="J51" s="9">
        <f t="shared" si="42"/>
        <v>2161.7435973661031</v>
      </c>
      <c r="K51" s="9">
        <f t="shared" si="42"/>
        <v>3530.4369381085726</v>
      </c>
      <c r="L51" s="9">
        <f t="shared" si="42"/>
        <v>4518.6046843339955</v>
      </c>
      <c r="M51" s="9">
        <f t="shared" si="42"/>
        <v>6671.9987472260264</v>
      </c>
      <c r="N51" s="9">
        <f t="shared" si="42"/>
        <v>7865.3458866773799</v>
      </c>
      <c r="O51" s="9">
        <f t="shared" si="42"/>
        <v>9354.1355239022614</v>
      </c>
      <c r="P51" s="9">
        <f t="shared" si="42"/>
        <v>11054.936308249638</v>
      </c>
      <c r="Q51" s="9">
        <f t="shared" si="42"/>
        <v>13049.516837611634</v>
      </c>
      <c r="R51" s="54"/>
      <c r="S51" s="9">
        <v>2039.69</v>
      </c>
      <c r="T51" s="9">
        <v>3044.5360000000001</v>
      </c>
      <c r="U51" s="10">
        <v>778.78300137329097</v>
      </c>
      <c r="Y51" s="57">
        <v>-88.415327196528693</v>
      </c>
    </row>
    <row r="52" spans="1:25" x14ac:dyDescent="0.3">
      <c r="A52" s="11" t="s">
        <v>50</v>
      </c>
      <c r="B52" s="11" t="s">
        <v>51</v>
      </c>
      <c r="C52" s="12">
        <f>C54+C55</f>
        <v>141.64000000000001</v>
      </c>
      <c r="D52" s="12">
        <f>D54+D55</f>
        <v>332.86499999999995</v>
      </c>
      <c r="E52" s="12">
        <f>E54+E55</f>
        <v>168.39499999999998</v>
      </c>
      <c r="F52" s="12">
        <f>F54+F55</f>
        <v>262.68</v>
      </c>
      <c r="G52" s="12">
        <f>G54+G55</f>
        <v>321.2</v>
      </c>
      <c r="H52" s="12">
        <f>H53*H51</f>
        <v>366.32928185015845</v>
      </c>
      <c r="I52" s="12">
        <f t="shared" ref="I52:Q52" si="43">I53*I51</f>
        <v>632.18196818343495</v>
      </c>
      <c r="J52" s="12">
        <f t="shared" si="43"/>
        <v>864.69743894644125</v>
      </c>
      <c r="K52" s="12">
        <f t="shared" si="43"/>
        <v>1412.1747752434292</v>
      </c>
      <c r="L52" s="12">
        <f t="shared" si="43"/>
        <v>1807.4418737335982</v>
      </c>
      <c r="M52" s="12">
        <f t="shared" si="43"/>
        <v>2668.7994988904106</v>
      </c>
      <c r="N52" s="12">
        <f t="shared" si="43"/>
        <v>3146.1383546709521</v>
      </c>
      <c r="O52" s="12">
        <f t="shared" si="43"/>
        <v>3741.6542095609047</v>
      </c>
      <c r="P52" s="12">
        <f t="shared" si="43"/>
        <v>4421.9745232998557</v>
      </c>
      <c r="Q52" s="12">
        <f t="shared" si="43"/>
        <v>5219.8067350446545</v>
      </c>
      <c r="R52" s="56"/>
      <c r="S52" s="12"/>
      <c r="T52" s="12"/>
      <c r="U52" s="13">
        <v>321.16800000000001</v>
      </c>
      <c r="Y52" s="111">
        <v>-4.1794894281883292E-3</v>
      </c>
    </row>
    <row r="53" spans="1:25" x14ac:dyDescent="0.3">
      <c r="A53" s="48" t="s">
        <v>861</v>
      </c>
      <c r="B53" s="49"/>
      <c r="C53" s="53">
        <f>C52/C51</f>
        <v>-9.5493777802348634E-2</v>
      </c>
      <c r="D53" s="52">
        <f t="shared" ref="D53:G53" si="44">D52/D51</f>
        <v>-0.19406955755184285</v>
      </c>
      <c r="E53" s="52">
        <f t="shared" si="44"/>
        <v>-0.11222345659842202</v>
      </c>
      <c r="F53" s="52">
        <f t="shared" si="44"/>
        <v>0.60750149169507539</v>
      </c>
      <c r="G53" s="52">
        <f t="shared" si="44"/>
        <v>0.41243838142332234</v>
      </c>
      <c r="H53" s="66">
        <v>0.4</v>
      </c>
      <c r="I53" s="66">
        <v>0.4</v>
      </c>
      <c r="J53" s="66">
        <v>0.4</v>
      </c>
      <c r="K53" s="66">
        <v>0.4</v>
      </c>
      <c r="L53" s="66">
        <v>0.4</v>
      </c>
      <c r="M53" s="66">
        <v>0.4</v>
      </c>
      <c r="N53" s="66">
        <v>0.4</v>
      </c>
      <c r="O53" s="66">
        <v>0.4</v>
      </c>
      <c r="P53" s="66">
        <v>0.4</v>
      </c>
      <c r="Q53" s="66">
        <v>0.4</v>
      </c>
      <c r="R53" s="56"/>
      <c r="S53" s="12"/>
      <c r="T53" s="12"/>
      <c r="U53" s="13"/>
      <c r="Y53" s="57"/>
    </row>
    <row r="54" spans="1:25" x14ac:dyDescent="0.3">
      <c r="A54" s="11" t="s">
        <v>52</v>
      </c>
      <c r="B54" s="11" t="s">
        <v>53</v>
      </c>
      <c r="C54" s="12">
        <f>'[1]Income - Actual'!C73</f>
        <v>169.09100000000001</v>
      </c>
      <c r="D54" s="12">
        <f>'[1]Income - Actual'!D73</f>
        <v>333.84</v>
      </c>
      <c r="E54" s="12">
        <f>'[1]Income - Actual'!E73</f>
        <v>308.94799999999998</v>
      </c>
      <c r="F54" s="12">
        <f>'[1]Income - Actual'!F73</f>
        <v>357.23099999999999</v>
      </c>
      <c r="G54" s="12">
        <f>'[1]Income - Actual'!G73</f>
        <v>321.2</v>
      </c>
      <c r="H54" s="56">
        <f>H52-H55</f>
        <v>366.32928185015845</v>
      </c>
      <c r="I54" s="56">
        <f t="shared" ref="I54:Q54" si="45">I52-I55</f>
        <v>632.18196818343495</v>
      </c>
      <c r="J54" s="56">
        <f t="shared" si="45"/>
        <v>864.69743894644125</v>
      </c>
      <c r="K54" s="56">
        <f t="shared" si="45"/>
        <v>1412.1747752434292</v>
      </c>
      <c r="L54" s="56">
        <f t="shared" si="45"/>
        <v>1807.4418737335982</v>
      </c>
      <c r="M54" s="56">
        <f t="shared" si="45"/>
        <v>2668.7994988904106</v>
      </c>
      <c r="N54" s="56">
        <f t="shared" si="45"/>
        <v>3146.1383546709521</v>
      </c>
      <c r="O54" s="56">
        <f t="shared" si="45"/>
        <v>3741.6542095609047</v>
      </c>
      <c r="P54" s="56">
        <f t="shared" si="45"/>
        <v>4421.9745232998557</v>
      </c>
      <c r="Q54" s="56">
        <f t="shared" si="45"/>
        <v>5219.8067350446545</v>
      </c>
      <c r="R54" s="56"/>
      <c r="S54" s="12"/>
      <c r="T54" s="12"/>
      <c r="U54" s="13"/>
      <c r="Y54" s="9">
        <v>451.06662154031983</v>
      </c>
    </row>
    <row r="55" spans="1:25" x14ac:dyDescent="0.3">
      <c r="A55" s="11" t="s">
        <v>54</v>
      </c>
      <c r="B55" s="11" t="s">
        <v>55</v>
      </c>
      <c r="C55" s="12">
        <f>'[1]Income - Actual'!C74</f>
        <v>-27.451000000000001</v>
      </c>
      <c r="D55" s="12">
        <f>'[1]Income - Actual'!D74</f>
        <v>-0.97499999999999998</v>
      </c>
      <c r="E55" s="12">
        <f>'[1]Income - Actual'!E74</f>
        <v>-140.553</v>
      </c>
      <c r="F55" s="12">
        <f>'[1]Income - Actual'!F74</f>
        <v>-94.551000000000002</v>
      </c>
      <c r="G55" s="12">
        <f>'[1]Income - Actual'!G74</f>
        <v>0</v>
      </c>
      <c r="H55" s="56">
        <v>0</v>
      </c>
      <c r="I55" s="56">
        <v>0</v>
      </c>
      <c r="J55" s="56">
        <v>0</v>
      </c>
      <c r="K55" s="56">
        <v>0</v>
      </c>
      <c r="L55" s="56">
        <v>0</v>
      </c>
      <c r="M55" s="56">
        <v>0</v>
      </c>
      <c r="N55" s="56">
        <v>0</v>
      </c>
      <c r="O55" s="56">
        <v>0</v>
      </c>
      <c r="P55" s="56">
        <v>0</v>
      </c>
      <c r="Q55" s="56">
        <v>0</v>
      </c>
      <c r="R55" s="56"/>
      <c r="S55" s="12"/>
      <c r="T55" s="12"/>
      <c r="U55" s="13"/>
      <c r="Y55" s="55">
        <v>0.23034248329764787</v>
      </c>
    </row>
    <row r="56" spans="1:25" x14ac:dyDescent="0.3">
      <c r="A56" s="11" t="s">
        <v>56</v>
      </c>
      <c r="B56" s="11" t="s">
        <v>57</v>
      </c>
      <c r="C56" s="12">
        <f>'[1]Income - Actual'!C33</f>
        <v>-0.72099999999999997</v>
      </c>
      <c r="D56" s="12">
        <f>'[1]Income - Actual'!D33</f>
        <v>-5.0190000000000001</v>
      </c>
      <c r="E56" s="12">
        <f>'[1]Income - Actual'!E33</f>
        <v>-11.156000000000001</v>
      </c>
      <c r="F56" s="12">
        <f>'[1]Income - Actual'!F33</f>
        <v>7.032</v>
      </c>
      <c r="G56" s="12">
        <f>'[1]Income - Actual'!G33</f>
        <v>9.7880000000000003</v>
      </c>
      <c r="H56" s="75">
        <v>10</v>
      </c>
      <c r="I56" s="75">
        <v>10</v>
      </c>
      <c r="J56" s="75">
        <v>10</v>
      </c>
      <c r="K56" s="75">
        <v>10</v>
      </c>
      <c r="L56" s="75">
        <v>10</v>
      </c>
      <c r="M56" s="75">
        <v>10</v>
      </c>
      <c r="N56" s="75">
        <v>10</v>
      </c>
      <c r="O56" s="75">
        <v>10</v>
      </c>
      <c r="P56" s="75">
        <v>10</v>
      </c>
      <c r="Q56" s="75">
        <v>10</v>
      </c>
      <c r="R56" s="56"/>
      <c r="S56" s="12"/>
      <c r="T56" s="12"/>
      <c r="U56" s="13">
        <v>9.7880000000000003</v>
      </c>
      <c r="Y56" s="12">
        <v>-464.75658308507627</v>
      </c>
    </row>
    <row r="57" spans="1:25" x14ac:dyDescent="0.3">
      <c r="A57" s="8" t="s">
        <v>58</v>
      </c>
      <c r="B57" s="8" t="s">
        <v>59</v>
      </c>
      <c r="C57" s="9">
        <f>C51-C52-C56</f>
        <v>-1624.1570000000004</v>
      </c>
      <c r="D57" s="9">
        <f>D51-D52-D56</f>
        <v>-2043.0299999999995</v>
      </c>
      <c r="E57" s="9">
        <f>E51-E52-E56</f>
        <v>-1657.7719999999999</v>
      </c>
      <c r="F57" s="9">
        <f>F51-F52-F56</f>
        <v>162.68199999999931</v>
      </c>
      <c r="G57" s="9">
        <f>G51-G52-G56</f>
        <v>447.79500000000183</v>
      </c>
      <c r="H57" s="9">
        <f t="shared" ref="H57:Q57" si="46">H51-H52-H56</f>
        <v>539.49392277523771</v>
      </c>
      <c r="I57" s="9">
        <f t="shared" si="46"/>
        <v>938.27295227515242</v>
      </c>
      <c r="J57" s="9">
        <f t="shared" si="46"/>
        <v>1287.0461584196619</v>
      </c>
      <c r="K57" s="9">
        <f t="shared" si="46"/>
        <v>2108.2621628651432</v>
      </c>
      <c r="L57" s="9">
        <f t="shared" si="46"/>
        <v>2701.1628106003973</v>
      </c>
      <c r="M57" s="9">
        <f t="shared" si="46"/>
        <v>3993.1992483356157</v>
      </c>
      <c r="N57" s="9">
        <f t="shared" si="46"/>
        <v>4709.2075320064278</v>
      </c>
      <c r="O57" s="9">
        <f t="shared" si="46"/>
        <v>5602.4813143413567</v>
      </c>
      <c r="P57" s="9">
        <f t="shared" si="46"/>
        <v>6622.9617849497827</v>
      </c>
      <c r="Q57" s="9">
        <f t="shared" si="46"/>
        <v>7819.7101025669799</v>
      </c>
      <c r="R57" s="54"/>
      <c r="S57" s="9">
        <v>1597.087</v>
      </c>
      <c r="T57" s="9">
        <v>2458.4090000000001</v>
      </c>
      <c r="U57" s="10">
        <v>447.827</v>
      </c>
      <c r="Y57" s="37">
        <v>-464.75658308507627</v>
      </c>
    </row>
    <row r="58" spans="1:25" x14ac:dyDescent="0.3">
      <c r="A58" s="11" t="s">
        <v>60</v>
      </c>
      <c r="B58" s="11" t="s">
        <v>61</v>
      </c>
      <c r="C58" s="35">
        <f t="shared" ref="C58:D58" si="47">C59+C60</f>
        <v>0</v>
      </c>
      <c r="D58" s="35">
        <f t="shared" si="47"/>
        <v>0</v>
      </c>
      <c r="E58" s="35">
        <f>E59+E60</f>
        <v>0</v>
      </c>
      <c r="F58" s="35">
        <f t="shared" ref="F58:Q58" si="48">F59+F60</f>
        <v>0</v>
      </c>
      <c r="G58" s="35">
        <f t="shared" si="48"/>
        <v>0</v>
      </c>
      <c r="H58" s="35">
        <f t="shared" si="48"/>
        <v>0</v>
      </c>
      <c r="I58" s="35">
        <f t="shared" si="48"/>
        <v>0</v>
      </c>
      <c r="J58" s="35">
        <f t="shared" si="48"/>
        <v>0</v>
      </c>
      <c r="K58" s="35">
        <f t="shared" si="48"/>
        <v>0</v>
      </c>
      <c r="L58" s="35">
        <f t="shared" si="48"/>
        <v>0</v>
      </c>
      <c r="M58" s="35">
        <f t="shared" si="48"/>
        <v>0</v>
      </c>
      <c r="N58" s="35">
        <f t="shared" si="48"/>
        <v>0</v>
      </c>
      <c r="O58" s="35">
        <f t="shared" si="48"/>
        <v>0</v>
      </c>
      <c r="P58" s="35">
        <f t="shared" si="48"/>
        <v>0</v>
      </c>
      <c r="Q58" s="35">
        <f t="shared" si="48"/>
        <v>0</v>
      </c>
      <c r="R58" s="56"/>
      <c r="S58" s="12"/>
      <c r="T58" s="12"/>
      <c r="U58" s="13">
        <v>0</v>
      </c>
      <c r="Y58" s="36">
        <v>45.146575543000125</v>
      </c>
    </row>
    <row r="59" spans="1:25" x14ac:dyDescent="0.3">
      <c r="A59" s="11" t="s">
        <v>62</v>
      </c>
      <c r="B59" s="11" t="s">
        <v>63</v>
      </c>
      <c r="C59" s="35">
        <v>0</v>
      </c>
      <c r="D59" s="35">
        <v>0</v>
      </c>
      <c r="E59" s="35">
        <v>0</v>
      </c>
      <c r="F59" s="35">
        <v>0</v>
      </c>
      <c r="G59" s="35">
        <v>0</v>
      </c>
      <c r="H59" s="35">
        <v>0</v>
      </c>
      <c r="I59" s="35">
        <v>0</v>
      </c>
      <c r="J59" s="35">
        <v>0</v>
      </c>
      <c r="K59" s="35">
        <v>0</v>
      </c>
      <c r="L59" s="35">
        <v>0</v>
      </c>
      <c r="M59" s="35">
        <v>0</v>
      </c>
      <c r="N59" s="35">
        <v>0</v>
      </c>
      <c r="O59" s="35">
        <v>0</v>
      </c>
      <c r="P59" s="35">
        <v>0</v>
      </c>
      <c r="Q59" s="35">
        <v>0</v>
      </c>
      <c r="R59" s="56"/>
      <c r="S59" s="12"/>
      <c r="T59" s="12"/>
      <c r="U59" s="13">
        <v>0</v>
      </c>
      <c r="Y59" s="125">
        <v>0.01</v>
      </c>
    </row>
    <row r="60" spans="1:25" x14ac:dyDescent="0.3">
      <c r="A60" s="11" t="s">
        <v>64</v>
      </c>
      <c r="B60" s="11" t="s">
        <v>65</v>
      </c>
      <c r="C60" s="35">
        <v>0</v>
      </c>
      <c r="D60" s="35">
        <v>0</v>
      </c>
      <c r="E60" s="35">
        <v>0</v>
      </c>
      <c r="F60" s="35">
        <v>0</v>
      </c>
      <c r="G60" s="35">
        <v>0</v>
      </c>
      <c r="H60" s="35">
        <v>0</v>
      </c>
      <c r="I60" s="35">
        <v>0</v>
      </c>
      <c r="J60" s="35">
        <v>0</v>
      </c>
      <c r="K60" s="35">
        <v>0</v>
      </c>
      <c r="L60" s="35">
        <v>0</v>
      </c>
      <c r="M60" s="35">
        <v>0</v>
      </c>
      <c r="N60" s="35">
        <v>0</v>
      </c>
      <c r="O60" s="35">
        <v>0</v>
      </c>
      <c r="P60" s="35">
        <v>0</v>
      </c>
      <c r="Q60" s="35">
        <v>0</v>
      </c>
      <c r="R60" s="56"/>
      <c r="S60" s="12"/>
      <c r="T60" s="12"/>
      <c r="U60" s="13">
        <v>0</v>
      </c>
      <c r="Y60" s="36">
        <v>509.90315862807643</v>
      </c>
    </row>
    <row r="61" spans="1:25" x14ac:dyDescent="0.3">
      <c r="A61" s="8" t="s">
        <v>66</v>
      </c>
      <c r="B61" s="8" t="s">
        <v>67</v>
      </c>
      <c r="C61" s="9">
        <f t="shared" ref="C61:D61" si="49">C57-C58</f>
        <v>-1624.1570000000004</v>
      </c>
      <c r="D61" s="9">
        <f t="shared" si="49"/>
        <v>-2043.0299999999995</v>
      </c>
      <c r="E61" s="9">
        <f>E57-E58</f>
        <v>-1657.7719999999999</v>
      </c>
      <c r="F61" s="9">
        <f t="shared" ref="F61:Q61" si="50">F57-F58</f>
        <v>162.68199999999931</v>
      </c>
      <c r="G61" s="9">
        <f t="shared" si="50"/>
        <v>447.79500000000183</v>
      </c>
      <c r="H61" s="9">
        <f t="shared" si="50"/>
        <v>539.49392277523771</v>
      </c>
      <c r="I61" s="9">
        <f t="shared" si="50"/>
        <v>938.27295227515242</v>
      </c>
      <c r="J61" s="9">
        <f t="shared" si="50"/>
        <v>1287.0461584196619</v>
      </c>
      <c r="K61" s="9">
        <f t="shared" si="50"/>
        <v>2108.2621628651432</v>
      </c>
      <c r="L61" s="9">
        <f t="shared" si="50"/>
        <v>2701.1628106003973</v>
      </c>
      <c r="M61" s="9">
        <f t="shared" si="50"/>
        <v>3993.1992483356157</v>
      </c>
      <c r="N61" s="9">
        <f t="shared" si="50"/>
        <v>4709.2075320064278</v>
      </c>
      <c r="O61" s="9">
        <f t="shared" si="50"/>
        <v>5602.4813143413567</v>
      </c>
      <c r="P61" s="9">
        <f t="shared" si="50"/>
        <v>6622.9617849497827</v>
      </c>
      <c r="Q61" s="9">
        <f t="shared" si="50"/>
        <v>7819.7101025669799</v>
      </c>
      <c r="R61" s="54"/>
      <c r="S61" s="9"/>
      <c r="T61" s="9"/>
      <c r="U61" s="10">
        <v>447.827</v>
      </c>
      <c r="Y61" s="125">
        <v>0.05</v>
      </c>
    </row>
    <row r="62" spans="1:25" x14ac:dyDescent="0.3">
      <c r="A62" s="11" t="s">
        <v>68</v>
      </c>
      <c r="B62" s="11" t="s">
        <v>69</v>
      </c>
      <c r="C62" s="12">
        <f>'[1]Income - Actual'!C35</f>
        <v>-6.101</v>
      </c>
      <c r="D62" s="12">
        <f>'[1]Income - Actual'!D35</f>
        <v>3.7290000000000001</v>
      </c>
      <c r="E62" s="12">
        <f>'[1]Income - Actual'!E35</f>
        <v>-6.351</v>
      </c>
      <c r="F62" s="12">
        <f>'[1]Income - Actual'!F35</f>
        <v>11.956</v>
      </c>
      <c r="G62" s="12">
        <f>'[1]Income - Actual'!G35</f>
        <v>3.5059999999999998</v>
      </c>
      <c r="H62" s="35">
        <v>4</v>
      </c>
      <c r="I62" s="35">
        <v>4</v>
      </c>
      <c r="J62" s="35">
        <v>4</v>
      </c>
      <c r="K62" s="35">
        <v>4</v>
      </c>
      <c r="L62" s="35">
        <v>4</v>
      </c>
      <c r="M62" s="35">
        <v>4</v>
      </c>
      <c r="N62" s="35">
        <v>4</v>
      </c>
      <c r="O62" s="35">
        <v>4</v>
      </c>
      <c r="P62" s="35">
        <v>4</v>
      </c>
      <c r="Q62" s="35">
        <v>4</v>
      </c>
      <c r="R62" s="56"/>
      <c r="S62" s="12"/>
      <c r="T62" s="12"/>
      <c r="U62" s="13"/>
      <c r="Y62" s="75">
        <v>0</v>
      </c>
    </row>
    <row r="63" spans="1:25" s="322" customFormat="1" x14ac:dyDescent="0.3">
      <c r="A63" s="112" t="s">
        <v>70</v>
      </c>
      <c r="B63" s="112" t="s">
        <v>71</v>
      </c>
      <c r="C63" s="113">
        <f t="shared" ref="C63:D63" si="51">C61-C62</f>
        <v>-1618.0560000000003</v>
      </c>
      <c r="D63" s="113">
        <f t="shared" si="51"/>
        <v>-2046.7589999999996</v>
      </c>
      <c r="E63" s="113">
        <f>E61-E62</f>
        <v>-1651.4209999999998</v>
      </c>
      <c r="F63" s="113">
        <f t="shared" ref="F63:Q63" si="52">F61-F62</f>
        <v>150.72599999999932</v>
      </c>
      <c r="G63" s="113">
        <f t="shared" si="52"/>
        <v>444.28900000000186</v>
      </c>
      <c r="H63" s="113">
        <f t="shared" si="52"/>
        <v>535.49392277523771</v>
      </c>
      <c r="I63" s="113">
        <f t="shared" si="52"/>
        <v>934.27295227515242</v>
      </c>
      <c r="J63" s="113">
        <f t="shared" si="52"/>
        <v>1283.0461584196619</v>
      </c>
      <c r="K63" s="113">
        <f t="shared" si="52"/>
        <v>2104.2621628651432</v>
      </c>
      <c r="L63" s="113">
        <f t="shared" si="52"/>
        <v>2697.1628106003973</v>
      </c>
      <c r="M63" s="113">
        <f t="shared" si="52"/>
        <v>3989.1992483356157</v>
      </c>
      <c r="N63" s="113">
        <f t="shared" si="52"/>
        <v>4705.2075320064278</v>
      </c>
      <c r="O63" s="113">
        <f t="shared" si="52"/>
        <v>5598.4813143413567</v>
      </c>
      <c r="P63" s="113">
        <f t="shared" si="52"/>
        <v>6618.9617849497827</v>
      </c>
      <c r="Q63" s="113">
        <f t="shared" si="52"/>
        <v>7815.7101025669799</v>
      </c>
      <c r="R63" s="114"/>
      <c r="S63" s="113">
        <v>1597.087</v>
      </c>
      <c r="T63" s="113">
        <v>2458.4090000000001</v>
      </c>
      <c r="U63" s="114">
        <v>442.36799999999999</v>
      </c>
      <c r="Y63" s="75">
        <v>0</v>
      </c>
    </row>
    <row r="64" spans="1:25" x14ac:dyDescent="0.3">
      <c r="A64" s="11" t="s">
        <v>72</v>
      </c>
      <c r="B64" s="11" t="s">
        <v>73</v>
      </c>
      <c r="C64" s="35">
        <v>0</v>
      </c>
      <c r="D64" s="35">
        <v>0</v>
      </c>
      <c r="E64" s="35">
        <v>0</v>
      </c>
      <c r="F64" s="35">
        <v>0</v>
      </c>
      <c r="G64" s="35">
        <v>0</v>
      </c>
      <c r="H64" s="35">
        <v>0</v>
      </c>
      <c r="I64" s="35">
        <v>0</v>
      </c>
      <c r="J64" s="35">
        <v>0</v>
      </c>
      <c r="K64" s="35">
        <v>0</v>
      </c>
      <c r="L64" s="35">
        <v>0</v>
      </c>
      <c r="M64" s="35">
        <v>0</v>
      </c>
      <c r="N64" s="35">
        <v>0</v>
      </c>
      <c r="O64" s="35">
        <v>0</v>
      </c>
      <c r="P64" s="35">
        <v>0</v>
      </c>
      <c r="Q64" s="35">
        <v>0</v>
      </c>
      <c r="R64" s="56"/>
      <c r="S64" s="12"/>
      <c r="T64" s="12"/>
      <c r="U64" s="13">
        <v>0</v>
      </c>
      <c r="Y64" s="75">
        <v>0</v>
      </c>
    </row>
    <row r="65" spans="1:21" x14ac:dyDescent="0.3">
      <c r="A65" s="11" t="s">
        <v>74</v>
      </c>
      <c r="B65" s="11" t="s">
        <v>75</v>
      </c>
      <c r="C65" s="35">
        <v>0</v>
      </c>
      <c r="D65" s="35">
        <v>0</v>
      </c>
      <c r="E65" s="35">
        <v>0</v>
      </c>
      <c r="F65" s="35">
        <v>0</v>
      </c>
      <c r="G65" s="35">
        <v>0</v>
      </c>
      <c r="H65" s="35">
        <v>0</v>
      </c>
      <c r="I65" s="35">
        <v>0</v>
      </c>
      <c r="J65" s="35">
        <v>0</v>
      </c>
      <c r="K65" s="35">
        <v>0</v>
      </c>
      <c r="L65" s="35">
        <v>0</v>
      </c>
      <c r="M65" s="35">
        <v>0</v>
      </c>
      <c r="N65" s="35">
        <v>0</v>
      </c>
      <c r="O65" s="35">
        <v>0</v>
      </c>
      <c r="P65" s="35">
        <v>0</v>
      </c>
      <c r="Q65" s="35">
        <v>0</v>
      </c>
      <c r="R65" s="56"/>
      <c r="S65" s="12"/>
      <c r="T65" s="12"/>
      <c r="U65" s="13">
        <v>0</v>
      </c>
    </row>
    <row r="66" spans="1:21" x14ac:dyDescent="0.3">
      <c r="A66" s="8" t="s">
        <v>76</v>
      </c>
      <c r="B66" s="8" t="s">
        <v>77</v>
      </c>
      <c r="C66" s="27">
        <f t="shared" ref="C66:D66" si="53">C63-C64-C65</f>
        <v>-1618.0560000000003</v>
      </c>
      <c r="D66" s="27">
        <f t="shared" si="53"/>
        <v>-2046.7589999999996</v>
      </c>
      <c r="E66" s="27">
        <f>E63-E64-E65</f>
        <v>-1651.4209999999998</v>
      </c>
      <c r="F66" s="27">
        <f t="shared" ref="F66:Q66" si="54">F63-F64-F65</f>
        <v>150.72599999999932</v>
      </c>
      <c r="G66" s="27">
        <f t="shared" si="54"/>
        <v>444.28900000000186</v>
      </c>
      <c r="H66" s="27">
        <f t="shared" si="54"/>
        <v>535.49392277523771</v>
      </c>
      <c r="I66" s="27">
        <f t="shared" si="54"/>
        <v>934.27295227515242</v>
      </c>
      <c r="J66" s="27">
        <f t="shared" si="54"/>
        <v>1283.0461584196619</v>
      </c>
      <c r="K66" s="27">
        <f t="shared" si="54"/>
        <v>2104.2621628651432</v>
      </c>
      <c r="L66" s="27">
        <f t="shared" si="54"/>
        <v>2697.1628106003973</v>
      </c>
      <c r="M66" s="27">
        <f t="shared" si="54"/>
        <v>3989.1992483356157</v>
      </c>
      <c r="N66" s="27">
        <f t="shared" si="54"/>
        <v>4705.2075320064278</v>
      </c>
      <c r="O66" s="27">
        <f t="shared" si="54"/>
        <v>5598.4813143413567</v>
      </c>
      <c r="P66" s="27">
        <f t="shared" si="54"/>
        <v>6618.9617849497827</v>
      </c>
      <c r="Q66" s="27">
        <f t="shared" si="54"/>
        <v>7815.7101025669799</v>
      </c>
      <c r="R66" s="54"/>
      <c r="S66" s="9">
        <v>1597.087</v>
      </c>
      <c r="T66" s="9">
        <v>2458.4090000000001</v>
      </c>
      <c r="U66" s="10">
        <v>442.36799946594198</v>
      </c>
    </row>
    <row r="67" spans="1:21" x14ac:dyDescent="0.3">
      <c r="A67" s="8"/>
      <c r="B67" s="17"/>
      <c r="C67" s="17"/>
      <c r="D67" s="17"/>
      <c r="E67" s="17"/>
      <c r="F67" s="17"/>
      <c r="G67" s="17"/>
      <c r="H67" s="58"/>
      <c r="I67" s="58"/>
      <c r="J67" s="58"/>
      <c r="K67" s="58"/>
      <c r="L67" s="58"/>
      <c r="M67" s="58"/>
      <c r="N67" s="58"/>
      <c r="O67" s="58"/>
      <c r="P67" s="58"/>
      <c r="Q67" s="58"/>
      <c r="R67" s="58"/>
      <c r="S67" s="17"/>
      <c r="T67" s="17"/>
      <c r="U67" s="18"/>
    </row>
    <row r="68" spans="1:21" x14ac:dyDescent="0.3">
      <c r="A68" s="8" t="s">
        <v>78</v>
      </c>
      <c r="B68" s="8" t="s">
        <v>77</v>
      </c>
      <c r="C68" s="78">
        <f>C66+C69+C70</f>
        <v>-1626.8560000000002</v>
      </c>
      <c r="D68" s="78">
        <f t="shared" ref="D68:Q68" si="55">D66+D69+D70</f>
        <v>-2008.9589999999996</v>
      </c>
      <c r="E68" s="78">
        <f t="shared" si="55"/>
        <v>-1290.1209999999999</v>
      </c>
      <c r="F68" s="78">
        <f t="shared" si="55"/>
        <v>265.71999999999935</v>
      </c>
      <c r="G68" s="78">
        <f t="shared" si="55"/>
        <v>616.59620000000189</v>
      </c>
      <c r="H68" s="78">
        <f t="shared" si="55"/>
        <v>535.49392277523771</v>
      </c>
      <c r="I68" s="78">
        <f t="shared" si="55"/>
        <v>934.27295227515242</v>
      </c>
      <c r="J68" s="78">
        <f t="shared" si="55"/>
        <v>1283.0461584196619</v>
      </c>
      <c r="K68" s="78">
        <f t="shared" si="55"/>
        <v>2104.2621628651432</v>
      </c>
      <c r="L68" s="78">
        <f t="shared" si="55"/>
        <v>2697.1628106003973</v>
      </c>
      <c r="M68" s="78">
        <f t="shared" si="55"/>
        <v>3989.1992483356157</v>
      </c>
      <c r="N68" s="78">
        <f t="shared" si="55"/>
        <v>4705.2075320064278</v>
      </c>
      <c r="O68" s="78">
        <f t="shared" si="55"/>
        <v>5598.4813143413567</v>
      </c>
      <c r="P68" s="78">
        <f t="shared" si="55"/>
        <v>6618.9617849497827</v>
      </c>
      <c r="Q68" s="78">
        <f t="shared" si="55"/>
        <v>7815.7101025669799</v>
      </c>
      <c r="R68" s="54"/>
      <c r="S68" s="9">
        <v>2034.056</v>
      </c>
      <c r="T68" s="9">
        <v>2935.7649999999999</v>
      </c>
      <c r="U68" s="10">
        <v>618.66912973754904</v>
      </c>
    </row>
    <row r="69" spans="1:21" x14ac:dyDescent="0.3">
      <c r="A69" s="11" t="s">
        <v>79</v>
      </c>
      <c r="B69" s="11" t="s">
        <v>80</v>
      </c>
      <c r="C69" s="79">
        <v>-8.8000000000000007</v>
      </c>
      <c r="D69" s="79">
        <v>37.799999999999997</v>
      </c>
      <c r="E69" s="79">
        <v>361.3</v>
      </c>
      <c r="F69" s="41">
        <v>114.994</v>
      </c>
      <c r="G69" s="41">
        <v>172.30719999999999</v>
      </c>
      <c r="H69" s="35">
        <v>0</v>
      </c>
      <c r="I69" s="35">
        <v>0</v>
      </c>
      <c r="J69" s="35">
        <v>0</v>
      </c>
      <c r="K69" s="35">
        <v>0</v>
      </c>
      <c r="L69" s="35">
        <v>0</v>
      </c>
      <c r="M69" s="35">
        <v>0</v>
      </c>
      <c r="N69" s="35">
        <v>0</v>
      </c>
      <c r="O69" s="35">
        <v>0</v>
      </c>
      <c r="P69" s="35">
        <v>0</v>
      </c>
      <c r="Q69" s="35">
        <v>0</v>
      </c>
      <c r="R69" s="56"/>
      <c r="S69" s="12"/>
      <c r="T69" s="12"/>
      <c r="U69" s="13">
        <v>176.30113</v>
      </c>
    </row>
    <row r="70" spans="1:21" x14ac:dyDescent="0.3">
      <c r="A70" s="11" t="s">
        <v>81</v>
      </c>
      <c r="B70" s="11" t="s">
        <v>61</v>
      </c>
      <c r="C70" s="35">
        <v>0</v>
      </c>
      <c r="D70" s="35">
        <v>0</v>
      </c>
      <c r="E70" s="35">
        <v>0</v>
      </c>
      <c r="F70" s="35">
        <v>0</v>
      </c>
      <c r="G70" s="35">
        <v>0</v>
      </c>
      <c r="H70" s="35">
        <v>0</v>
      </c>
      <c r="I70" s="35">
        <v>0</v>
      </c>
      <c r="J70" s="35">
        <v>0</v>
      </c>
      <c r="K70" s="35">
        <v>0</v>
      </c>
      <c r="L70" s="35">
        <v>0</v>
      </c>
      <c r="M70" s="35">
        <v>0</v>
      </c>
      <c r="N70" s="35">
        <v>0</v>
      </c>
      <c r="O70" s="35">
        <v>0</v>
      </c>
      <c r="P70" s="35">
        <v>0</v>
      </c>
      <c r="Q70" s="35">
        <v>0</v>
      </c>
      <c r="R70" s="56"/>
      <c r="S70" s="12"/>
      <c r="T70" s="12"/>
      <c r="U70" s="13">
        <v>0</v>
      </c>
    </row>
    <row r="71" spans="1:21" x14ac:dyDescent="0.3">
      <c r="A71" s="8"/>
      <c r="B71" s="17"/>
      <c r="C71" s="17"/>
      <c r="D71" s="17"/>
      <c r="E71" s="17"/>
      <c r="F71" s="17"/>
      <c r="G71" s="17"/>
      <c r="H71" s="58"/>
      <c r="I71" s="58"/>
      <c r="J71" s="58"/>
      <c r="K71" s="58"/>
      <c r="L71" s="58"/>
      <c r="M71" s="58"/>
      <c r="N71" s="58"/>
      <c r="O71" s="58"/>
      <c r="P71" s="58"/>
      <c r="Q71" s="58"/>
      <c r="R71" s="58"/>
      <c r="S71" s="17"/>
      <c r="T71" s="17"/>
      <c r="U71" s="18"/>
    </row>
    <row r="72" spans="1:21" x14ac:dyDescent="0.3">
      <c r="A72" s="11" t="s">
        <v>82</v>
      </c>
      <c r="B72" s="11" t="s">
        <v>83</v>
      </c>
      <c r="C72" s="12">
        <f>'[1]Income - Actual'!C61</f>
        <v>477.26488799999998</v>
      </c>
      <c r="D72" s="12">
        <f>'[1]Income - Actual'!D61</f>
        <v>532.70579599999996</v>
      </c>
      <c r="E72" s="12">
        <f>'[1]Income - Actual'!E61</f>
        <v>558.11990000000003</v>
      </c>
      <c r="F72" s="12">
        <f>'[1]Income - Actual'!F61</f>
        <v>566.61279999999999</v>
      </c>
      <c r="G72" s="12">
        <f>'[1]Income - Actual'!G61</f>
        <v>574.96630000000005</v>
      </c>
      <c r="H72" s="56">
        <f>G72+H73</f>
        <v>574.96630000000005</v>
      </c>
      <c r="I72" s="56">
        <f t="shared" ref="I72:Q72" si="56">H72+I73</f>
        <v>574.96630000000005</v>
      </c>
      <c r="J72" s="56">
        <f t="shared" si="56"/>
        <v>574.96630000000005</v>
      </c>
      <c r="K72" s="56">
        <f t="shared" si="56"/>
        <v>574.96630000000005</v>
      </c>
      <c r="L72" s="56">
        <f t="shared" si="56"/>
        <v>574.96630000000005</v>
      </c>
      <c r="M72" s="56">
        <f t="shared" si="56"/>
        <v>574.96630000000005</v>
      </c>
      <c r="N72" s="56">
        <f t="shared" si="56"/>
        <v>574.96630000000005</v>
      </c>
      <c r="O72" s="56">
        <f t="shared" si="56"/>
        <v>574.96630000000005</v>
      </c>
      <c r="P72" s="56">
        <f t="shared" si="56"/>
        <v>574.96630000000005</v>
      </c>
      <c r="Q72" s="56">
        <f t="shared" si="56"/>
        <v>574.96630000000005</v>
      </c>
      <c r="R72" s="56"/>
      <c r="S72" s="12"/>
      <c r="T72" s="12"/>
      <c r="U72" s="13">
        <v>580.04645700000003</v>
      </c>
    </row>
    <row r="73" spans="1:21" x14ac:dyDescent="0.3">
      <c r="A73" s="80" t="s">
        <v>862</v>
      </c>
      <c r="B73" s="49"/>
      <c r="C73" s="50" t="s">
        <v>863</v>
      </c>
      <c r="D73" s="50" t="s">
        <v>863</v>
      </c>
      <c r="E73" s="50" t="s">
        <v>863</v>
      </c>
      <c r="F73" s="50" t="s">
        <v>863</v>
      </c>
      <c r="G73" s="50" t="s">
        <v>863</v>
      </c>
      <c r="H73" s="51">
        <v>0</v>
      </c>
      <c r="I73" s="51">
        <v>0</v>
      </c>
      <c r="J73" s="51">
        <v>0</v>
      </c>
      <c r="K73" s="51">
        <v>0</v>
      </c>
      <c r="L73" s="51">
        <v>0</v>
      </c>
      <c r="M73" s="51">
        <v>0</v>
      </c>
      <c r="N73" s="51">
        <v>0</v>
      </c>
      <c r="O73" s="51">
        <v>0</v>
      </c>
      <c r="P73" s="51">
        <v>0</v>
      </c>
      <c r="Q73" s="51">
        <v>0</v>
      </c>
      <c r="R73" s="56"/>
      <c r="S73" s="12"/>
      <c r="T73" s="12"/>
      <c r="U73" s="13"/>
    </row>
    <row r="74" spans="1:21" x14ac:dyDescent="0.3">
      <c r="A74" s="8" t="s">
        <v>84</v>
      </c>
      <c r="B74" s="8" t="s">
        <v>85</v>
      </c>
      <c r="C74" s="19">
        <f t="shared" ref="C74:D74" si="57">C63/C72</f>
        <v>-3.3902682570690184</v>
      </c>
      <c r="D74" s="19">
        <f t="shared" si="57"/>
        <v>-3.8421939753026448</v>
      </c>
      <c r="E74" s="19">
        <f>E63/E72</f>
        <v>-2.9589000499713407</v>
      </c>
      <c r="F74" s="19">
        <f t="shared" ref="F74:Q74" si="58">F63/F72</f>
        <v>0.26601234564414944</v>
      </c>
      <c r="G74" s="19">
        <f t="shared" si="58"/>
        <v>0.77272180995651718</v>
      </c>
      <c r="H74" s="19">
        <f t="shared" si="58"/>
        <v>0.93134836385234698</v>
      </c>
      <c r="I74" s="19">
        <f t="shared" si="58"/>
        <v>1.6249177600063731</v>
      </c>
      <c r="J74" s="19">
        <f t="shared" si="58"/>
        <v>2.2315154095460232</v>
      </c>
      <c r="K74" s="19">
        <f t="shared" si="58"/>
        <v>3.6598008663553725</v>
      </c>
      <c r="L74" s="19">
        <f t="shared" si="58"/>
        <v>4.6909928644520509</v>
      </c>
      <c r="M74" s="19">
        <f t="shared" si="58"/>
        <v>6.9381444587893508</v>
      </c>
      <c r="N74" s="19">
        <f t="shared" si="58"/>
        <v>8.1834492421667626</v>
      </c>
      <c r="O74" s="19">
        <f t="shared" si="58"/>
        <v>9.7370599187141167</v>
      </c>
      <c r="P74" s="19">
        <f t="shared" si="58"/>
        <v>11.511912585050258</v>
      </c>
      <c r="Q74" s="19">
        <f t="shared" si="58"/>
        <v>13.593335996504456</v>
      </c>
      <c r="R74" s="59"/>
      <c r="S74" s="19">
        <v>2.6309999999999998</v>
      </c>
      <c r="T74" s="19">
        <v>3.8479999999999999</v>
      </c>
      <c r="U74" s="20">
        <v>0.77</v>
      </c>
    </row>
    <row r="75" spans="1:21" x14ac:dyDescent="0.3">
      <c r="A75" s="8" t="s">
        <v>86</v>
      </c>
      <c r="B75" s="8" t="s">
        <v>87</v>
      </c>
      <c r="C75" s="19">
        <f t="shared" ref="C75:D75" si="59">C66/C72</f>
        <v>-3.3902682570690184</v>
      </c>
      <c r="D75" s="19">
        <f t="shared" si="59"/>
        <v>-3.8421939753026448</v>
      </c>
      <c r="E75" s="19">
        <f>E66/E72</f>
        <v>-2.9589000499713407</v>
      </c>
      <c r="F75" s="19">
        <f t="shared" ref="F75:Q75" si="60">F66/F72</f>
        <v>0.26601234564414944</v>
      </c>
      <c r="G75" s="19">
        <f t="shared" si="60"/>
        <v>0.77272180995651718</v>
      </c>
      <c r="H75" s="19">
        <f t="shared" si="60"/>
        <v>0.93134836385234698</v>
      </c>
      <c r="I75" s="19">
        <f t="shared" si="60"/>
        <v>1.6249177600063731</v>
      </c>
      <c r="J75" s="19">
        <f t="shared" si="60"/>
        <v>2.2315154095460232</v>
      </c>
      <c r="K75" s="19">
        <f t="shared" si="60"/>
        <v>3.6598008663553725</v>
      </c>
      <c r="L75" s="19">
        <f t="shared" si="60"/>
        <v>4.6909928644520509</v>
      </c>
      <c r="M75" s="19">
        <f t="shared" si="60"/>
        <v>6.9381444587893508</v>
      </c>
      <c r="N75" s="19">
        <f t="shared" si="60"/>
        <v>8.1834492421667626</v>
      </c>
      <c r="O75" s="19">
        <f t="shared" si="60"/>
        <v>9.7370599187141167</v>
      </c>
      <c r="P75" s="19">
        <f t="shared" si="60"/>
        <v>11.511912585050258</v>
      </c>
      <c r="Q75" s="19">
        <f t="shared" si="60"/>
        <v>13.593335996504456</v>
      </c>
      <c r="R75" s="59"/>
      <c r="S75" s="19">
        <v>2.6309999999999998</v>
      </c>
      <c r="T75" s="19">
        <v>3.8479999999999999</v>
      </c>
      <c r="U75" s="20">
        <v>0.77</v>
      </c>
    </row>
    <row r="76" spans="1:21" x14ac:dyDescent="0.3">
      <c r="A76" s="8" t="s">
        <v>88</v>
      </c>
      <c r="B76" s="8" t="s">
        <v>89</v>
      </c>
      <c r="C76" s="81">
        <f t="shared" ref="C76:D76" si="61">C68/C72</f>
        <v>-3.4087066551604361</v>
      </c>
      <c r="D76" s="81">
        <f t="shared" si="61"/>
        <v>-3.7712354832347268</v>
      </c>
      <c r="E76" s="82">
        <f>E68/E72</f>
        <v>-2.3115481100028861</v>
      </c>
      <c r="F76" s="19">
        <f t="shared" ref="F76:Q76" si="62">F68/F72</f>
        <v>0.46896222605631105</v>
      </c>
      <c r="G76" s="19">
        <f t="shared" si="62"/>
        <v>1.0724040695950385</v>
      </c>
      <c r="H76" s="19">
        <f t="shared" si="62"/>
        <v>0.93134836385234698</v>
      </c>
      <c r="I76" s="19">
        <f t="shared" si="62"/>
        <v>1.6249177600063731</v>
      </c>
      <c r="J76" s="19">
        <f t="shared" si="62"/>
        <v>2.2315154095460232</v>
      </c>
      <c r="K76" s="19">
        <f t="shared" si="62"/>
        <v>3.6598008663553725</v>
      </c>
      <c r="L76" s="19">
        <f t="shared" si="62"/>
        <v>4.6909928644520509</v>
      </c>
      <c r="M76" s="19">
        <f t="shared" si="62"/>
        <v>6.9381444587893508</v>
      </c>
      <c r="N76" s="19">
        <f t="shared" si="62"/>
        <v>8.1834492421667626</v>
      </c>
      <c r="O76" s="19">
        <f t="shared" si="62"/>
        <v>9.7370599187141167</v>
      </c>
      <c r="P76" s="19">
        <f t="shared" si="62"/>
        <v>11.511912585050258</v>
      </c>
      <c r="Q76" s="19">
        <f t="shared" si="62"/>
        <v>13.593335996504456</v>
      </c>
      <c r="R76" s="59"/>
      <c r="S76" s="19">
        <v>3.5960000000000001</v>
      </c>
      <c r="T76" s="19">
        <v>5.0960000000000001</v>
      </c>
      <c r="U76" s="20">
        <v>1.074468</v>
      </c>
    </row>
    <row r="77" spans="1:21" x14ac:dyDescent="0.3">
      <c r="A77" s="8"/>
      <c r="B77" s="17"/>
      <c r="C77" s="17"/>
      <c r="D77" s="17"/>
      <c r="E77" s="17"/>
      <c r="F77" s="17"/>
      <c r="G77" s="17"/>
      <c r="H77" s="58"/>
      <c r="I77" s="58"/>
      <c r="J77" s="58"/>
      <c r="K77" s="58"/>
      <c r="L77" s="58"/>
      <c r="M77" s="58"/>
      <c r="N77" s="58"/>
      <c r="O77" s="58"/>
      <c r="P77" s="58"/>
      <c r="Q77" s="58"/>
      <c r="R77" s="58"/>
      <c r="S77" s="17"/>
      <c r="T77" s="17"/>
      <c r="U77" s="18"/>
    </row>
    <row r="78" spans="1:21" x14ac:dyDescent="0.3">
      <c r="A78" s="11" t="s">
        <v>90</v>
      </c>
      <c r="B78" s="11" t="s">
        <v>91</v>
      </c>
      <c r="C78" s="12">
        <f>'[1]Income - Actual'!C63</f>
        <v>477.26488799999998</v>
      </c>
      <c r="D78" s="12">
        <f>'[1]Income - Actual'!D63</f>
        <v>532.70579599999996</v>
      </c>
      <c r="E78" s="12">
        <f>'[1]Income - Actual'!E63</f>
        <v>558.11990000000003</v>
      </c>
      <c r="F78" s="12">
        <v>594.40560000000005</v>
      </c>
      <c r="G78" s="12">
        <v>604.71400000000006</v>
      </c>
      <c r="H78" s="56">
        <f>G78+H73</f>
        <v>604.71400000000006</v>
      </c>
      <c r="I78" s="56">
        <f t="shared" ref="I78:Q78" si="63">H78+I73</f>
        <v>604.71400000000006</v>
      </c>
      <c r="J78" s="56">
        <f t="shared" si="63"/>
        <v>604.71400000000006</v>
      </c>
      <c r="K78" s="56">
        <f t="shared" si="63"/>
        <v>604.71400000000006</v>
      </c>
      <c r="L78" s="56">
        <f t="shared" si="63"/>
        <v>604.71400000000006</v>
      </c>
      <c r="M78" s="56">
        <f t="shared" si="63"/>
        <v>604.71400000000006</v>
      </c>
      <c r="N78" s="56">
        <f t="shared" si="63"/>
        <v>604.71400000000006</v>
      </c>
      <c r="O78" s="56">
        <f t="shared" si="63"/>
        <v>604.71400000000006</v>
      </c>
      <c r="P78" s="56">
        <f t="shared" si="63"/>
        <v>604.71400000000006</v>
      </c>
      <c r="Q78" s="56">
        <f t="shared" si="63"/>
        <v>604.71400000000006</v>
      </c>
      <c r="R78" s="56"/>
      <c r="S78" s="12"/>
      <c r="T78" s="12"/>
      <c r="U78" s="13">
        <v>610.13677600000005</v>
      </c>
    </row>
    <row r="79" spans="1:21" x14ac:dyDescent="0.3">
      <c r="A79" s="8" t="s">
        <v>92</v>
      </c>
      <c r="B79" s="8" t="s">
        <v>93</v>
      </c>
      <c r="C79" s="19">
        <f t="shared" ref="C79:D79" si="64">C63/C78</f>
        <v>-3.3902682570690184</v>
      </c>
      <c r="D79" s="19">
        <f t="shared" si="64"/>
        <v>-3.8421939753026448</v>
      </c>
      <c r="E79" s="19">
        <f>E63/E78</f>
        <v>-2.9589000499713407</v>
      </c>
      <c r="F79" s="19">
        <v>0.25</v>
      </c>
      <c r="G79" s="19">
        <v>0.74</v>
      </c>
      <c r="H79" s="19">
        <v>0.74</v>
      </c>
      <c r="I79" s="19">
        <v>0.74</v>
      </c>
      <c r="J79" s="19">
        <v>0.74</v>
      </c>
      <c r="K79" s="19">
        <v>0.74</v>
      </c>
      <c r="L79" s="19">
        <v>0.74</v>
      </c>
      <c r="M79" s="19">
        <v>0.74</v>
      </c>
      <c r="N79" s="19">
        <v>0.74</v>
      </c>
      <c r="O79" s="19">
        <v>0.74</v>
      </c>
      <c r="P79" s="19">
        <v>0.74</v>
      </c>
      <c r="Q79" s="19">
        <v>0.74</v>
      </c>
      <c r="R79" s="59"/>
      <c r="S79" s="19">
        <v>2.6309999999999998</v>
      </c>
      <c r="T79" s="19">
        <v>3.8479999999999999</v>
      </c>
      <c r="U79" s="20">
        <v>0.73</v>
      </c>
    </row>
    <row r="80" spans="1:21" x14ac:dyDescent="0.3">
      <c r="A80" s="8" t="s">
        <v>94</v>
      </c>
      <c r="B80" s="8" t="s">
        <v>95</v>
      </c>
      <c r="C80" s="19">
        <f t="shared" ref="C80:D80" si="65">C66/C78</f>
        <v>-3.3902682570690184</v>
      </c>
      <c r="D80" s="19">
        <f t="shared" si="65"/>
        <v>-3.8421939753026448</v>
      </c>
      <c r="E80" s="19">
        <f>E66/E78</f>
        <v>-2.9589000499713407</v>
      </c>
      <c r="F80" s="19">
        <v>0.25</v>
      </c>
      <c r="G80" s="19">
        <v>0.74</v>
      </c>
      <c r="H80" s="19">
        <v>0.74</v>
      </c>
      <c r="I80" s="19">
        <v>0.74</v>
      </c>
      <c r="J80" s="19">
        <v>0.74</v>
      </c>
      <c r="K80" s="19">
        <v>0.74</v>
      </c>
      <c r="L80" s="19">
        <v>0.74</v>
      </c>
      <c r="M80" s="19">
        <v>0.74</v>
      </c>
      <c r="N80" s="19">
        <v>0.74</v>
      </c>
      <c r="O80" s="19">
        <v>0.74</v>
      </c>
      <c r="P80" s="19">
        <v>0.74</v>
      </c>
      <c r="Q80" s="19">
        <v>0.74</v>
      </c>
      <c r="R80" s="59"/>
      <c r="S80" s="19">
        <v>2.6309999999999998</v>
      </c>
      <c r="T80" s="19">
        <v>3.8479999999999999</v>
      </c>
      <c r="U80" s="20">
        <v>0.73</v>
      </c>
    </row>
    <row r="81" spans="1:22" x14ac:dyDescent="0.3">
      <c r="A81" s="8" t="s">
        <v>96</v>
      </c>
      <c r="B81" s="8" t="s">
        <v>97</v>
      </c>
      <c r="C81" s="82">
        <f t="shared" ref="C81:D81" si="66">C68/C78</f>
        <v>-3.4087066551604361</v>
      </c>
      <c r="D81" s="82">
        <f t="shared" si="66"/>
        <v>-3.7712354832347268</v>
      </c>
      <c r="E81" s="82">
        <f>E68/E78</f>
        <v>-2.3115481100028861</v>
      </c>
      <c r="F81" s="19">
        <v>0.44350000000000001</v>
      </c>
      <c r="G81" s="19">
        <v>1.0248999999999999</v>
      </c>
      <c r="H81" s="19">
        <v>1.0248999999999999</v>
      </c>
      <c r="I81" s="19">
        <v>1.0248999999999999</v>
      </c>
      <c r="J81" s="19">
        <v>1.0248999999999999</v>
      </c>
      <c r="K81" s="19">
        <v>1.0248999999999999</v>
      </c>
      <c r="L81" s="19">
        <v>1.0248999999999999</v>
      </c>
      <c r="M81" s="19">
        <v>1.0248999999999999</v>
      </c>
      <c r="N81" s="19">
        <v>1.0248999999999999</v>
      </c>
      <c r="O81" s="19">
        <v>1.0248999999999999</v>
      </c>
      <c r="P81" s="19">
        <v>1.0248999999999999</v>
      </c>
      <c r="Q81" s="19">
        <v>1.0248999999999999</v>
      </c>
      <c r="R81" s="59"/>
      <c r="S81" s="19">
        <v>3.5960000000000001</v>
      </c>
      <c r="T81" s="19">
        <v>5.0960000000000001</v>
      </c>
      <c r="U81" s="20">
        <v>1.0247809999999999</v>
      </c>
    </row>
    <row r="82" spans="1:22" x14ac:dyDescent="0.3">
      <c r="A82" s="8"/>
      <c r="B82" s="17"/>
      <c r="C82" s="17"/>
      <c r="D82" s="17"/>
      <c r="E82" s="17"/>
      <c r="F82" s="17"/>
      <c r="G82" s="17"/>
      <c r="H82" s="58"/>
      <c r="I82" s="58"/>
      <c r="J82" s="58"/>
      <c r="K82" s="58"/>
      <c r="L82" s="58"/>
      <c r="M82" s="58"/>
      <c r="N82" s="58"/>
      <c r="O82" s="58"/>
      <c r="P82" s="58"/>
      <c r="Q82" s="58"/>
      <c r="R82" s="58"/>
      <c r="S82" s="17"/>
      <c r="T82" s="17"/>
      <c r="U82" s="18"/>
    </row>
    <row r="83" spans="1:22" x14ac:dyDescent="0.3">
      <c r="A83" s="8" t="s">
        <v>98</v>
      </c>
      <c r="B83" s="17"/>
      <c r="C83" s="17"/>
      <c r="D83" s="17"/>
      <c r="E83" s="17"/>
      <c r="F83" s="17"/>
      <c r="G83" s="17"/>
      <c r="H83" s="58"/>
      <c r="I83" s="58"/>
      <c r="J83" s="58"/>
      <c r="K83" s="58"/>
      <c r="L83" s="58"/>
      <c r="M83" s="58"/>
      <c r="N83" s="58"/>
      <c r="O83" s="58"/>
      <c r="P83" s="58"/>
      <c r="Q83" s="58"/>
      <c r="R83" s="58"/>
      <c r="S83" s="17"/>
      <c r="T83" s="17"/>
      <c r="U83" s="18"/>
    </row>
    <row r="84" spans="1:22" x14ac:dyDescent="0.3">
      <c r="A84" s="11" t="s">
        <v>99</v>
      </c>
      <c r="B84" s="11" t="s">
        <v>100</v>
      </c>
      <c r="C84" s="21" t="s">
        <v>101</v>
      </c>
      <c r="D84" s="21" t="s">
        <v>101</v>
      </c>
      <c r="E84" s="21" t="s">
        <v>101</v>
      </c>
      <c r="F84" s="21" t="s">
        <v>101</v>
      </c>
      <c r="G84" s="21" t="s">
        <v>101</v>
      </c>
      <c r="H84" s="60"/>
      <c r="I84" s="60"/>
      <c r="J84" s="60"/>
      <c r="K84" s="60"/>
      <c r="L84" s="60"/>
      <c r="M84" s="60"/>
      <c r="N84" s="60"/>
      <c r="O84" s="60"/>
      <c r="P84" s="60"/>
      <c r="Q84" s="60"/>
      <c r="R84" s="60"/>
      <c r="S84" s="21"/>
      <c r="T84" s="21"/>
      <c r="U84" s="22"/>
    </row>
    <row r="85" spans="1:22" x14ac:dyDescent="0.3">
      <c r="A85" s="11" t="str">
        <f>'[1]Income - Actual'!A55</f>
        <v>Depreciation and Amortization</v>
      </c>
      <c r="B85" s="11"/>
      <c r="C85" s="12">
        <f>'[1]Income - Actual'!C55</f>
        <v>180.761</v>
      </c>
      <c r="D85" s="12">
        <f>'[1]Income - Actual'!D55</f>
        <v>279.03199999999998</v>
      </c>
      <c r="E85" s="12">
        <f>'[1]Income - Actual'!E55</f>
        <v>428.34399999999999</v>
      </c>
      <c r="F85" s="12">
        <f>'[1]Income - Actual'!F55</f>
        <v>440.84500000000003</v>
      </c>
      <c r="G85" s="12">
        <f>'[1]Income - Actual'!G55</f>
        <v>389.673</v>
      </c>
      <c r="H85" s="60"/>
      <c r="I85" s="60"/>
      <c r="J85" s="60"/>
      <c r="K85" s="60"/>
      <c r="L85" s="60"/>
      <c r="M85" s="60"/>
      <c r="N85" s="60"/>
      <c r="O85" s="60"/>
      <c r="P85" s="60"/>
      <c r="Q85" s="60"/>
      <c r="R85" s="60"/>
      <c r="S85" s="21"/>
      <c r="T85" s="21"/>
      <c r="U85" s="22"/>
    </row>
    <row r="86" spans="1:22" x14ac:dyDescent="0.3">
      <c r="A86" s="11" t="s">
        <v>293</v>
      </c>
      <c r="B86" s="11"/>
      <c r="C86" s="11"/>
      <c r="D86" s="11"/>
      <c r="E86" s="41">
        <v>257.36</v>
      </c>
      <c r="F86" s="41">
        <v>295.5</v>
      </c>
      <c r="G86" s="12"/>
      <c r="H86" s="60"/>
      <c r="I86" s="60"/>
      <c r="J86" s="60"/>
      <c r="K86" s="60"/>
      <c r="L86" s="60"/>
      <c r="M86" s="60"/>
      <c r="N86" s="60"/>
      <c r="O86" s="60"/>
      <c r="P86" s="60"/>
      <c r="Q86" s="60"/>
      <c r="R86" s="60"/>
      <c r="S86" s="21"/>
      <c r="T86" s="21"/>
      <c r="U86" s="22"/>
    </row>
    <row r="87" spans="1:22" x14ac:dyDescent="0.3">
      <c r="A87" s="11" t="s">
        <v>294</v>
      </c>
      <c r="B87" s="11" t="s">
        <v>102</v>
      </c>
      <c r="C87" s="12">
        <f>C90+C85+C86</f>
        <v>-1122.5640000000003</v>
      </c>
      <c r="D87" s="12">
        <f>D90+D85+D86</f>
        <v>-1304.0279999999996</v>
      </c>
      <c r="E87" s="12">
        <f>E90+E85+E86</f>
        <v>-801.80399999999975</v>
      </c>
      <c r="F87" s="12">
        <f>F90+F85+F86</f>
        <v>961.12299999999937</v>
      </c>
      <c r="G87" s="12">
        <f>G90+G85+G86</f>
        <v>1051.8250000000019</v>
      </c>
      <c r="H87" s="56"/>
      <c r="I87" s="56"/>
      <c r="J87" s="56"/>
      <c r="K87" s="56"/>
      <c r="L87" s="56"/>
      <c r="M87" s="56"/>
      <c r="N87" s="56"/>
      <c r="O87" s="56"/>
      <c r="P87" s="56"/>
      <c r="Q87" s="56"/>
      <c r="R87" s="56"/>
      <c r="S87" s="12">
        <v>2956.1</v>
      </c>
      <c r="T87" s="12">
        <v>4181.7370000000001</v>
      </c>
      <c r="U87" s="13">
        <v>1051.825</v>
      </c>
    </row>
    <row r="88" spans="1:22" x14ac:dyDescent="0.3">
      <c r="A88" s="11" t="s">
        <v>103</v>
      </c>
      <c r="B88" s="11" t="s">
        <v>104</v>
      </c>
      <c r="C88" s="42">
        <f>C87/C5</f>
        <v>-0.25654712061986484</v>
      </c>
      <c r="D88" s="42">
        <f>D87/D5</f>
        <v>-0.13098976513758145</v>
      </c>
      <c r="E88" s="42">
        <f>E87/E5</f>
        <v>-6.4403453736453981E-2</v>
      </c>
      <c r="F88" s="42">
        <f>F87/F5</f>
        <v>7.3572823946917942E-2</v>
      </c>
      <c r="G88" s="42">
        <f>G87/G5</f>
        <v>6.2534683688918916E-2</v>
      </c>
      <c r="H88" s="61"/>
      <c r="I88" s="61"/>
      <c r="J88" s="61"/>
      <c r="K88" s="61"/>
      <c r="L88" s="61"/>
      <c r="M88" s="61"/>
      <c r="N88" s="61"/>
      <c r="O88" s="61"/>
      <c r="P88" s="61"/>
      <c r="Q88" s="61"/>
      <c r="R88" s="61"/>
      <c r="S88" s="42">
        <f>S87/S5</f>
        <v>0.1409646884909754</v>
      </c>
      <c r="T88" s="42">
        <f>T87/T5</f>
        <v>0.16754994520427635</v>
      </c>
      <c r="U88" s="43">
        <f>U87/U5</f>
        <v>6.2534683688918805E-2</v>
      </c>
    </row>
    <row r="89" spans="1:22" x14ac:dyDescent="0.3">
      <c r="A89" s="11" t="s">
        <v>105</v>
      </c>
      <c r="B89" s="11" t="s">
        <v>105</v>
      </c>
      <c r="C89" s="11"/>
      <c r="D89" s="11"/>
      <c r="E89" s="11"/>
      <c r="F89" s="12">
        <v>548.88800000000003</v>
      </c>
      <c r="G89" s="12" t="s">
        <v>43</v>
      </c>
      <c r="H89" s="56"/>
      <c r="I89" s="56"/>
      <c r="J89" s="56"/>
      <c r="K89" s="56"/>
      <c r="L89" s="56"/>
      <c r="M89" s="56"/>
      <c r="N89" s="56"/>
      <c r="O89" s="56"/>
      <c r="P89" s="56"/>
      <c r="Q89" s="56"/>
      <c r="R89" s="56"/>
      <c r="S89" s="12"/>
      <c r="T89" s="12"/>
      <c r="U89" s="13"/>
      <c r="V89" s="31"/>
    </row>
    <row r="90" spans="1:22" x14ac:dyDescent="0.3">
      <c r="A90" s="11" t="s">
        <v>106</v>
      </c>
      <c r="B90" s="11" t="s">
        <v>106</v>
      </c>
      <c r="C90" s="40">
        <f t="shared" ref="C90:D90" si="67">C39</f>
        <v>-1303.3250000000003</v>
      </c>
      <c r="D90" s="40">
        <f t="shared" si="67"/>
        <v>-1583.0599999999995</v>
      </c>
      <c r="E90" s="40">
        <f>E39</f>
        <v>-1487.5079999999998</v>
      </c>
      <c r="F90" s="40">
        <f t="shared" ref="F90:G90" si="68">F39</f>
        <v>224.77799999999934</v>
      </c>
      <c r="G90" s="40">
        <f t="shared" si="68"/>
        <v>662.15200000000186</v>
      </c>
      <c r="H90" s="56"/>
      <c r="I90" s="56"/>
      <c r="J90" s="56"/>
      <c r="K90" s="56"/>
      <c r="L90" s="56"/>
      <c r="M90" s="56"/>
      <c r="N90" s="56"/>
      <c r="O90" s="56"/>
      <c r="P90" s="56"/>
      <c r="Q90" s="56"/>
      <c r="R90" s="56"/>
      <c r="S90" s="12">
        <v>1952.636</v>
      </c>
      <c r="T90" s="12">
        <v>3036.05</v>
      </c>
      <c r="U90" s="13">
        <v>662.15200000000004</v>
      </c>
      <c r="V90" s="31"/>
    </row>
    <row r="91" spans="1:22" x14ac:dyDescent="0.3">
      <c r="A91" s="11" t="s">
        <v>107</v>
      </c>
      <c r="B91" s="11" t="s">
        <v>108</v>
      </c>
      <c r="C91" s="42">
        <f>C24/C5</f>
        <v>0.30827435561779876</v>
      </c>
      <c r="D91" s="42">
        <f>D24/D5</f>
        <v>0.39132703645033401</v>
      </c>
      <c r="E91" s="42">
        <f>E24/E5</f>
        <v>0.41649798127746801</v>
      </c>
      <c r="F91" s="42">
        <f>F24/F5</f>
        <v>0.44655874815134622</v>
      </c>
      <c r="G91" s="42">
        <f>G24/G5</f>
        <v>0.42836774086071794</v>
      </c>
      <c r="H91" s="61"/>
      <c r="I91" s="61"/>
      <c r="J91" s="61"/>
      <c r="K91" s="61"/>
      <c r="L91" s="61"/>
      <c r="M91" s="61"/>
      <c r="N91" s="61"/>
      <c r="O91" s="61"/>
      <c r="P91" s="61"/>
      <c r="Q91" s="61"/>
      <c r="R91" s="61"/>
      <c r="S91" s="23"/>
      <c r="T91" s="23"/>
      <c r="U91" s="43">
        <f>U24/U5</f>
        <v>0.42836774393790111</v>
      </c>
      <c r="V91" s="31"/>
    </row>
    <row r="92" spans="1:22" x14ac:dyDescent="0.3">
      <c r="A92" s="11" t="s">
        <v>109</v>
      </c>
      <c r="B92" s="11" t="s">
        <v>110</v>
      </c>
      <c r="C92" s="42">
        <f>C39/C5</f>
        <v>-0.29785765086167504</v>
      </c>
      <c r="D92" s="42">
        <f>D39/D5</f>
        <v>-0.1590185621771156</v>
      </c>
      <c r="E92" s="42">
        <f>E39/E5</f>
        <v>-0.11948138530190071</v>
      </c>
      <c r="F92" s="42">
        <f>F39/F5</f>
        <v>1.720648888970536E-2</v>
      </c>
      <c r="G92" s="42">
        <f>G39/G5</f>
        <v>3.936725774153027E-2</v>
      </c>
      <c r="H92" s="61"/>
      <c r="I92" s="61"/>
      <c r="J92" s="61"/>
      <c r="K92" s="61"/>
      <c r="L92" s="61"/>
      <c r="M92" s="61"/>
      <c r="N92" s="61"/>
      <c r="O92" s="61"/>
      <c r="P92" s="61"/>
      <c r="Q92" s="61"/>
      <c r="R92" s="61"/>
      <c r="S92" s="23">
        <v>9.3113468920626605</v>
      </c>
      <c r="T92" s="23">
        <v>12.164562504467501</v>
      </c>
      <c r="U92" s="43">
        <f>U39/U5</f>
        <v>3.9367257741530159E-2</v>
      </c>
    </row>
    <row r="93" spans="1:22" x14ac:dyDescent="0.3">
      <c r="A93" s="11" t="s">
        <v>111</v>
      </c>
      <c r="B93" s="11" t="s">
        <v>112</v>
      </c>
      <c r="C93" s="42">
        <f>C63/C5</f>
        <v>-0.36978524859312789</v>
      </c>
      <c r="D93" s="42">
        <f>D63/D5</f>
        <v>-0.20559718096791718</v>
      </c>
      <c r="E93" s="42">
        <f>E63/E5</f>
        <v>-0.13264740007895767</v>
      </c>
      <c r="F93" s="42">
        <f>F63/F5</f>
        <v>1.1537896254925864E-2</v>
      </c>
      <c r="G93" s="42">
        <f>G63/G5</f>
        <v>2.6414538617608594E-2</v>
      </c>
      <c r="H93" s="61"/>
      <c r="I93" s="61"/>
      <c r="J93" s="61"/>
      <c r="K93" s="61"/>
      <c r="L93" s="61"/>
      <c r="M93" s="61"/>
      <c r="N93" s="61"/>
      <c r="O93" s="61"/>
      <c r="P93" s="61"/>
      <c r="Q93" s="61"/>
      <c r="R93" s="61"/>
      <c r="S93" s="23">
        <v>9.6996065902100597</v>
      </c>
      <c r="T93" s="23">
        <v>11.7627499023165</v>
      </c>
      <c r="U93" s="43">
        <f>U63/U5</f>
        <v>2.6300328433056477E-2</v>
      </c>
    </row>
    <row r="94" spans="1:22" x14ac:dyDescent="0.3">
      <c r="A94" s="11" t="s">
        <v>113</v>
      </c>
      <c r="B94" s="11" t="s">
        <v>114</v>
      </c>
      <c r="C94" s="11"/>
      <c r="D94" s="11"/>
      <c r="E94" s="12" t="s">
        <v>43</v>
      </c>
      <c r="F94" s="12" t="s">
        <v>43</v>
      </c>
      <c r="G94" s="12" t="s">
        <v>43</v>
      </c>
      <c r="H94" s="56"/>
      <c r="I94" s="56"/>
      <c r="J94" s="56"/>
      <c r="K94" s="56"/>
      <c r="L94" s="56"/>
      <c r="M94" s="56"/>
      <c r="N94" s="56"/>
      <c r="O94" s="56"/>
      <c r="P94" s="56"/>
      <c r="Q94" s="56"/>
      <c r="R94" s="56"/>
      <c r="S94" s="12">
        <v>2746.3119999999999</v>
      </c>
      <c r="T94" s="12">
        <v>3886.0360000000001</v>
      </c>
      <c r="U94" s="13"/>
    </row>
    <row r="95" spans="1:22" x14ac:dyDescent="0.3">
      <c r="A95" s="11" t="s">
        <v>115</v>
      </c>
      <c r="B95" s="11" t="s">
        <v>116</v>
      </c>
      <c r="C95" s="11"/>
      <c r="D95" s="11"/>
      <c r="E95" s="11"/>
      <c r="F95" s="23">
        <v>208350.23920000001</v>
      </c>
      <c r="G95" s="23" t="s">
        <v>43</v>
      </c>
      <c r="H95" s="62"/>
      <c r="I95" s="62"/>
      <c r="J95" s="62"/>
      <c r="K95" s="62"/>
      <c r="L95" s="62"/>
      <c r="M95" s="62"/>
      <c r="N95" s="62"/>
      <c r="O95" s="62"/>
      <c r="P95" s="62"/>
      <c r="Q95" s="62"/>
      <c r="R95" s="62"/>
      <c r="S95" s="23"/>
      <c r="T95" s="23"/>
      <c r="U95" s="24"/>
    </row>
    <row r="96" spans="1:22" x14ac:dyDescent="0.3">
      <c r="A96" s="11" t="s">
        <v>117</v>
      </c>
      <c r="B96" s="11" t="s">
        <v>118</v>
      </c>
      <c r="C96" s="11"/>
      <c r="D96" s="11"/>
      <c r="E96" s="11"/>
      <c r="F96" s="23">
        <v>0</v>
      </c>
      <c r="G96" s="23">
        <v>0</v>
      </c>
      <c r="H96" s="62"/>
      <c r="I96" s="62"/>
      <c r="J96" s="62"/>
      <c r="K96" s="62"/>
      <c r="L96" s="62"/>
      <c r="M96" s="62"/>
      <c r="N96" s="62"/>
      <c r="O96" s="62"/>
      <c r="P96" s="62"/>
      <c r="Q96" s="62"/>
      <c r="R96" s="62"/>
      <c r="S96" s="23">
        <v>0</v>
      </c>
      <c r="T96" s="23">
        <v>0</v>
      </c>
      <c r="U96" s="24">
        <v>0</v>
      </c>
    </row>
    <row r="97" spans="1:21" x14ac:dyDescent="0.3">
      <c r="A97" s="11" t="s">
        <v>119</v>
      </c>
      <c r="B97" s="11" t="s">
        <v>120</v>
      </c>
      <c r="C97" s="11"/>
      <c r="D97" s="11"/>
      <c r="E97" s="11"/>
      <c r="F97" s="12">
        <v>0</v>
      </c>
      <c r="G97" s="12">
        <v>0</v>
      </c>
      <c r="H97" s="56"/>
      <c r="I97" s="56"/>
      <c r="J97" s="56"/>
      <c r="K97" s="56"/>
      <c r="L97" s="56"/>
      <c r="M97" s="56"/>
      <c r="N97" s="56"/>
      <c r="O97" s="56"/>
      <c r="P97" s="56"/>
      <c r="Q97" s="56"/>
      <c r="R97" s="56"/>
      <c r="S97" s="12"/>
      <c r="T97" s="12"/>
      <c r="U97" s="13">
        <v>0</v>
      </c>
    </row>
    <row r="98" spans="1:21" x14ac:dyDescent="0.3">
      <c r="A98" s="11" t="s">
        <v>121</v>
      </c>
      <c r="B98" s="11" t="s">
        <v>122</v>
      </c>
      <c r="C98" s="11"/>
      <c r="D98" s="11"/>
      <c r="E98" s="11"/>
      <c r="F98" s="12">
        <v>412.23599999999999</v>
      </c>
      <c r="G98" s="12" t="s">
        <v>43</v>
      </c>
      <c r="H98" s="56"/>
      <c r="I98" s="56"/>
      <c r="J98" s="56"/>
      <c r="K98" s="56"/>
      <c r="L98" s="56"/>
      <c r="M98" s="56"/>
      <c r="N98" s="56"/>
      <c r="O98" s="56"/>
      <c r="P98" s="56"/>
      <c r="Q98" s="56"/>
      <c r="R98" s="56"/>
      <c r="S98" s="12"/>
      <c r="T98" s="12"/>
      <c r="U98" s="13"/>
    </row>
    <row r="99" spans="1:21" x14ac:dyDescent="0.3">
      <c r="A99" s="11" t="s">
        <v>123</v>
      </c>
      <c r="B99" s="11" t="s">
        <v>124</v>
      </c>
      <c r="C99" s="11"/>
      <c r="D99" s="11"/>
      <c r="E99" s="11"/>
      <c r="F99" s="12">
        <v>318.673</v>
      </c>
      <c r="G99" s="12" t="s">
        <v>43</v>
      </c>
      <c r="H99" s="56"/>
      <c r="I99" s="56"/>
      <c r="J99" s="56"/>
      <c r="K99" s="56"/>
      <c r="L99" s="56"/>
      <c r="M99" s="56"/>
      <c r="N99" s="56"/>
      <c r="O99" s="56"/>
      <c r="P99" s="56"/>
      <c r="Q99" s="56"/>
      <c r="R99" s="56"/>
      <c r="S99" s="12"/>
      <c r="T99" s="12"/>
      <c r="U99" s="13"/>
    </row>
    <row r="100" spans="1:21" x14ac:dyDescent="0.3">
      <c r="A100" s="25" t="s">
        <v>125</v>
      </c>
      <c r="B100" s="25"/>
      <c r="C100" s="25"/>
      <c r="D100" s="25"/>
      <c r="E100" s="25"/>
      <c r="F100" s="25" t="s">
        <v>126</v>
      </c>
      <c r="G100" s="25"/>
      <c r="H100" s="63"/>
      <c r="I100" s="63"/>
      <c r="J100" s="63"/>
      <c r="K100" s="63"/>
      <c r="L100" s="63"/>
      <c r="M100" s="63"/>
      <c r="N100" s="63"/>
      <c r="O100" s="63"/>
      <c r="P100" s="63"/>
      <c r="Q100" s="63"/>
      <c r="R100" s="63"/>
      <c r="S100" s="25"/>
      <c r="T100" s="25"/>
      <c r="U100" s="2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A8627-7D1D-479C-A7C8-BF012384FF69}">
  <sheetPr>
    <pageSetUpPr autoPageBreaks="0"/>
  </sheetPr>
  <dimension ref="A1:W100"/>
  <sheetViews>
    <sheetView showGridLines="0" tabSelected="1" workbookViewId="0">
      <selection activeCell="G6" sqref="G6"/>
    </sheetView>
  </sheetViews>
  <sheetFormatPr defaultRowHeight="14.4" x14ac:dyDescent="0.3"/>
  <cols>
    <col min="1" max="1" width="43.6640625" customWidth="1"/>
    <col min="2" max="2" width="0" hidden="1" customWidth="1"/>
    <col min="3" max="7" width="11.88671875" customWidth="1"/>
    <col min="8" max="8" width="12.5546875" customWidth="1"/>
    <col min="9" max="17" width="11.88671875" customWidth="1"/>
    <col min="18" max="18" width="1.77734375" customWidth="1"/>
    <col min="19" max="21" width="11.88671875" customWidth="1"/>
  </cols>
  <sheetData>
    <row r="1" spans="1:21" ht="21" x14ac:dyDescent="0.3">
      <c r="A1" s="295" t="s">
        <v>946</v>
      </c>
      <c r="B1" s="2"/>
      <c r="C1" s="2"/>
      <c r="D1" s="2"/>
      <c r="E1" s="2"/>
      <c r="F1" s="2"/>
      <c r="G1" s="2"/>
      <c r="H1" s="2"/>
      <c r="I1" s="2"/>
      <c r="J1" s="2"/>
      <c r="K1" s="2"/>
      <c r="L1" s="2"/>
      <c r="M1" s="2"/>
      <c r="N1" s="2"/>
      <c r="O1" s="2"/>
      <c r="P1" s="2"/>
      <c r="Q1" s="2"/>
      <c r="R1" s="2"/>
      <c r="S1" s="2"/>
      <c r="T1" s="2"/>
      <c r="U1" s="2"/>
    </row>
    <row r="2" spans="1:21" x14ac:dyDescent="0.3">
      <c r="A2" s="296"/>
      <c r="B2" s="223"/>
      <c r="C2" s="223"/>
      <c r="D2" s="223"/>
      <c r="E2" s="223"/>
      <c r="F2" s="223"/>
      <c r="G2" s="223"/>
      <c r="H2" s="223"/>
      <c r="I2" s="223"/>
      <c r="J2" s="223"/>
      <c r="K2" s="223"/>
      <c r="L2" s="223"/>
      <c r="M2" s="223"/>
      <c r="N2" s="223"/>
      <c r="O2" s="223"/>
      <c r="P2" s="223"/>
      <c r="Q2" s="223"/>
      <c r="R2" s="3"/>
      <c r="S2" s="3"/>
      <c r="T2" s="3"/>
      <c r="U2" s="3"/>
    </row>
    <row r="3" spans="1:21" x14ac:dyDescent="0.3">
      <c r="A3" s="4" t="s">
        <v>0</v>
      </c>
      <c r="B3" s="4"/>
      <c r="C3" s="5" t="s">
        <v>129</v>
      </c>
      <c r="D3" s="5" t="s">
        <v>130</v>
      </c>
      <c r="E3" s="5" t="s">
        <v>127</v>
      </c>
      <c r="F3" s="5" t="s">
        <v>1</v>
      </c>
      <c r="G3" s="248" t="s">
        <v>2</v>
      </c>
      <c r="H3" s="199">
        <v>2025</v>
      </c>
      <c r="I3" s="47">
        <f>H3+1</f>
        <v>2026</v>
      </c>
      <c r="J3" s="47">
        <f t="shared" ref="J3:O3" si="0">I3+1</f>
        <v>2027</v>
      </c>
      <c r="K3" s="47">
        <f t="shared" si="0"/>
        <v>2028</v>
      </c>
      <c r="L3" s="47">
        <f t="shared" si="0"/>
        <v>2029</v>
      </c>
      <c r="M3" s="47">
        <f t="shared" si="0"/>
        <v>2030</v>
      </c>
      <c r="N3" s="47">
        <f t="shared" si="0"/>
        <v>2031</v>
      </c>
      <c r="O3" s="47">
        <f t="shared" si="0"/>
        <v>2032</v>
      </c>
      <c r="P3" s="47">
        <f t="shared" ref="P3" si="1">O3+1</f>
        <v>2033</v>
      </c>
      <c r="Q3" s="47">
        <f t="shared" ref="Q3" si="2">P3+1</f>
        <v>2034</v>
      </c>
      <c r="R3" s="47"/>
      <c r="S3" s="5" t="s">
        <v>4</v>
      </c>
      <c r="T3" s="5" t="s">
        <v>5</v>
      </c>
      <c r="U3" s="5" t="s">
        <v>3</v>
      </c>
    </row>
    <row r="4" spans="1:21" x14ac:dyDescent="0.3">
      <c r="A4" s="6" t="s">
        <v>6</v>
      </c>
      <c r="B4" s="6"/>
      <c r="C4" s="26">
        <v>44196</v>
      </c>
      <c r="D4" s="26">
        <v>44561</v>
      </c>
      <c r="E4" s="26">
        <v>44926</v>
      </c>
      <c r="F4" s="7" t="s">
        <v>7</v>
      </c>
      <c r="G4" s="249" t="s">
        <v>8</v>
      </c>
      <c r="H4" s="200" t="s">
        <v>9</v>
      </c>
      <c r="I4" s="7" t="s">
        <v>10</v>
      </c>
      <c r="J4" s="26">
        <v>46752</v>
      </c>
      <c r="K4" s="26">
        <v>47118</v>
      </c>
      <c r="L4" s="26">
        <v>47483</v>
      </c>
      <c r="M4" s="26">
        <v>47848</v>
      </c>
      <c r="N4" s="26">
        <v>48213</v>
      </c>
      <c r="O4" s="26">
        <v>48579</v>
      </c>
      <c r="P4" s="26">
        <v>48944</v>
      </c>
      <c r="Q4" s="26">
        <v>49309</v>
      </c>
      <c r="R4" s="26"/>
      <c r="S4" s="7" t="s">
        <v>9</v>
      </c>
      <c r="T4" s="7" t="s">
        <v>10</v>
      </c>
      <c r="U4" s="7" t="s">
        <v>8</v>
      </c>
    </row>
    <row r="5" spans="1:21" x14ac:dyDescent="0.3">
      <c r="A5" s="8" t="s">
        <v>11</v>
      </c>
      <c r="B5" s="8" t="s">
        <v>12</v>
      </c>
      <c r="C5" s="9">
        <f>'Income - Actual'!C9</f>
        <v>4375.6639999999998</v>
      </c>
      <c r="D5" s="9">
        <f>'Income - Actual'!D9</f>
        <v>9955.19</v>
      </c>
      <c r="E5" s="9">
        <f>'Income - Actual'!E9</f>
        <v>12449.705</v>
      </c>
      <c r="F5" s="9">
        <f>'Income - Actual'!F9</f>
        <v>13063.56</v>
      </c>
      <c r="G5" s="255">
        <f>'Income - Actual'!G9</f>
        <v>16819.866000000002</v>
      </c>
      <c r="H5" s="201">
        <f>H7+H9+H13+H11</f>
        <v>21154.576106884386</v>
      </c>
      <c r="I5" s="54">
        <f>I7+I9+I13+I11</f>
        <v>26498.461411798744</v>
      </c>
      <c r="J5" s="54">
        <f t="shared" ref="J5:Q5" si="3">J7+J9+J13+J11</f>
        <v>32096.453624145663</v>
      </c>
      <c r="K5" s="54">
        <f t="shared" si="3"/>
        <v>38898.078303863069</v>
      </c>
      <c r="L5" s="54">
        <f t="shared" si="3"/>
        <v>46175.400563864387</v>
      </c>
      <c r="M5" s="54">
        <f t="shared" si="3"/>
        <v>54723.801923023464</v>
      </c>
      <c r="N5" s="54">
        <f t="shared" si="3"/>
        <v>63454.874138021893</v>
      </c>
      <c r="O5" s="54">
        <f t="shared" si="3"/>
        <v>73581.192993825258</v>
      </c>
      <c r="P5" s="54">
        <f t="shared" si="3"/>
        <v>85374.750186684294</v>
      </c>
      <c r="Q5" s="54">
        <f t="shared" si="3"/>
        <v>99114.407672676971</v>
      </c>
      <c r="R5" s="54"/>
      <c r="S5" s="9">
        <v>20970.5</v>
      </c>
      <c r="T5" s="9">
        <v>24958.151999999998</v>
      </c>
      <c r="U5" s="10">
        <v>16819.866000000002</v>
      </c>
    </row>
    <row r="6" spans="1:21" x14ac:dyDescent="0.3">
      <c r="A6" s="72" t="s">
        <v>858</v>
      </c>
      <c r="B6" s="73"/>
      <c r="C6" s="74"/>
      <c r="D6" s="55">
        <f>D5/C5-1</f>
        <v>1.2751267007704432</v>
      </c>
      <c r="E6" s="55">
        <f t="shared" ref="E6:T6" si="4">E5/D5-1</f>
        <v>0.2505743235437996</v>
      </c>
      <c r="F6" s="55">
        <f t="shared" si="4"/>
        <v>4.9306790803476774E-2</v>
      </c>
      <c r="G6" s="264">
        <f t="shared" si="4"/>
        <v>0.28754076224245173</v>
      </c>
      <c r="H6" s="202">
        <f t="shared" si="4"/>
        <v>0.25771371227834883</v>
      </c>
      <c r="I6" s="55">
        <f t="shared" ref="I6" si="5">I5/H5-1</f>
        <v>0.25261131576989082</v>
      </c>
      <c r="J6" s="55">
        <f t="shared" ref="J6" si="6">J5/I5-1</f>
        <v>0.2112572547270366</v>
      </c>
      <c r="K6" s="55">
        <f t="shared" ref="K6" si="7">K5/J5-1</f>
        <v>0.2119120311348246</v>
      </c>
      <c r="L6" s="55">
        <f t="shared" ref="L6" si="8">L5/K5-1</f>
        <v>0.18708693532756326</v>
      </c>
      <c r="M6" s="55">
        <f t="shared" ref="M6" si="9">M5/L5-1</f>
        <v>0.18512890532126369</v>
      </c>
      <c r="N6" s="55">
        <f t="shared" ref="N6" si="10">N5/M5-1</f>
        <v>0.15954798292852312</v>
      </c>
      <c r="O6" s="55">
        <f t="shared" ref="O6" si="11">O5/N5-1</f>
        <v>0.15958299489771921</v>
      </c>
      <c r="P6" s="55">
        <f t="shared" ref="P6" si="12">P5/O5-1</f>
        <v>0.16027950503396604</v>
      </c>
      <c r="Q6" s="55">
        <f t="shared" ref="Q6" si="13">Q5/P5-1</f>
        <v>0.1609335014854969</v>
      </c>
      <c r="R6" s="55"/>
      <c r="S6" s="55">
        <f>S5/U5-1</f>
        <v>0.24676974239866101</v>
      </c>
      <c r="T6" s="55">
        <f t="shared" si="4"/>
        <v>0.19015531341646597</v>
      </c>
      <c r="U6" s="55">
        <f>U5/G5-1</f>
        <v>0</v>
      </c>
    </row>
    <row r="7" spans="1:21" x14ac:dyDescent="0.3">
      <c r="A7" s="11" t="s">
        <v>1074</v>
      </c>
      <c r="B7" s="11" t="s">
        <v>13</v>
      </c>
      <c r="C7" s="39">
        <v>2015.972</v>
      </c>
      <c r="D7" s="12">
        <f>'Income - Actual'!D8</f>
        <v>4320.0129999999999</v>
      </c>
      <c r="E7" s="12">
        <f>'Income - Actual'!E8</f>
        <v>3877.163</v>
      </c>
      <c r="F7" s="12">
        <f>'Income - Actual'!F8</f>
        <v>2172.009</v>
      </c>
      <c r="G7" s="251">
        <f>'Income - Actual'!G8</f>
        <v>1910.5889999999999</v>
      </c>
      <c r="H7" s="197">
        <f>G7*(1+H8)</f>
        <v>2139.85968</v>
      </c>
      <c r="I7" s="56">
        <f t="shared" ref="I7:O7" si="14">H7*(1+I8)</f>
        <v>2396.6428416000003</v>
      </c>
      <c r="J7" s="56">
        <f t="shared" si="14"/>
        <v>2636.3071257600004</v>
      </c>
      <c r="K7" s="56">
        <f t="shared" si="14"/>
        <v>2899.9378383360008</v>
      </c>
      <c r="L7" s="56">
        <f t="shared" si="14"/>
        <v>3189.9316221696013</v>
      </c>
      <c r="M7" s="56">
        <f t="shared" si="14"/>
        <v>3413.2268357214734</v>
      </c>
      <c r="N7" s="56">
        <f t="shared" si="14"/>
        <v>3652.1527142219766</v>
      </c>
      <c r="O7" s="56">
        <f t="shared" si="14"/>
        <v>3907.803404217515</v>
      </c>
      <c r="P7" s="56">
        <f t="shared" ref="P7" si="15">O7*(1+P8)</f>
        <v>4181.3496425127414</v>
      </c>
      <c r="Q7" s="56">
        <f t="shared" ref="Q7" si="16">P7*(1+Q8)</f>
        <v>4474.0441174886337</v>
      </c>
      <c r="R7" s="56"/>
      <c r="S7" s="12"/>
      <c r="T7" s="12"/>
      <c r="U7" s="13">
        <v>11301.688</v>
      </c>
    </row>
    <row r="8" spans="1:21" x14ac:dyDescent="0.3">
      <c r="A8" s="235" t="s">
        <v>858</v>
      </c>
      <c r="B8" s="49"/>
      <c r="C8" s="98"/>
      <c r="D8" s="52">
        <f>D7/C9-1</f>
        <v>1.4306195247928071</v>
      </c>
      <c r="E8" s="52">
        <f t="shared" ref="E8" si="17">E7/D7-1</f>
        <v>-0.10251126559109891</v>
      </c>
      <c r="F8" s="52">
        <f t="shared" ref="F8" si="18">F7/E7-1</f>
        <v>-0.4397942516216109</v>
      </c>
      <c r="G8" s="265">
        <f t="shared" ref="G8" si="19">G7/F7-1</f>
        <v>-0.12035861729854713</v>
      </c>
      <c r="H8" s="203">
        <v>0.12</v>
      </c>
      <c r="I8" s="52">
        <v>0.12</v>
      </c>
      <c r="J8" s="52">
        <v>0.1</v>
      </c>
      <c r="K8" s="52">
        <v>0.1</v>
      </c>
      <c r="L8" s="52">
        <v>0.1</v>
      </c>
      <c r="M8" s="52">
        <v>7.0000000000000007E-2</v>
      </c>
      <c r="N8" s="52">
        <v>7.0000000000000007E-2</v>
      </c>
      <c r="O8" s="52">
        <v>7.0000000000000007E-2</v>
      </c>
      <c r="P8" s="52">
        <v>7.0000000000000007E-2</v>
      </c>
      <c r="Q8" s="52">
        <v>7.0000000000000007E-2</v>
      </c>
      <c r="R8" s="52"/>
      <c r="S8" s="50"/>
      <c r="T8" s="50"/>
      <c r="U8" s="51"/>
    </row>
    <row r="9" spans="1:21" x14ac:dyDescent="0.3">
      <c r="A9" s="11" t="s">
        <v>1076</v>
      </c>
      <c r="B9" s="49"/>
      <c r="C9" s="12">
        <v>1777.33</v>
      </c>
      <c r="D9" s="119">
        <v>4094.87</v>
      </c>
      <c r="E9" s="119">
        <v>6241.1769999999997</v>
      </c>
      <c r="F9" s="119">
        <v>8010.9539999999997</v>
      </c>
      <c r="G9" s="266">
        <v>10950.674000000001</v>
      </c>
      <c r="H9" s="204">
        <f t="shared" ref="H9:Q9" si="20">G9*(1+H10)</f>
        <v>14016.862720000001</v>
      </c>
      <c r="I9" s="120">
        <f t="shared" si="20"/>
        <v>17941.5842816</v>
      </c>
      <c r="J9" s="120">
        <f t="shared" si="20"/>
        <v>22068.148666368001</v>
      </c>
      <c r="K9" s="120">
        <f t="shared" si="20"/>
        <v>27143.822859632641</v>
      </c>
      <c r="L9" s="120">
        <f t="shared" si="20"/>
        <v>32572.587431559168</v>
      </c>
      <c r="M9" s="120">
        <f t="shared" si="20"/>
        <v>39087.104917871002</v>
      </c>
      <c r="N9" s="120">
        <f t="shared" si="20"/>
        <v>45731.91275390907</v>
      </c>
      <c r="O9" s="120">
        <f t="shared" si="20"/>
        <v>53506.33792207361</v>
      </c>
      <c r="P9" s="120">
        <f t="shared" si="20"/>
        <v>62602.415368826121</v>
      </c>
      <c r="Q9" s="120">
        <f t="shared" si="20"/>
        <v>73244.825981526563</v>
      </c>
      <c r="R9" s="103"/>
      <c r="S9" s="95"/>
      <c r="T9" s="95"/>
      <c r="U9" s="96"/>
    </row>
    <row r="10" spans="1:21" x14ac:dyDescent="0.3">
      <c r="A10" s="48" t="s">
        <v>858</v>
      </c>
      <c r="B10" s="49"/>
      <c r="C10" s="50"/>
      <c r="D10" s="52">
        <f>D9/C9-1</f>
        <v>1.3039446810665436</v>
      </c>
      <c r="E10" s="52">
        <f>E9/D9-1</f>
        <v>0.52414533306307654</v>
      </c>
      <c r="F10" s="52">
        <f>F9/E9-1</f>
        <v>0.28356462250629977</v>
      </c>
      <c r="G10" s="265">
        <f>G9/F9-1</f>
        <v>0.36696253654683342</v>
      </c>
      <c r="H10" s="203">
        <v>0.28000000000000003</v>
      </c>
      <c r="I10" s="52">
        <v>0.28000000000000003</v>
      </c>
      <c r="J10" s="52">
        <v>0.23</v>
      </c>
      <c r="K10" s="52">
        <v>0.23</v>
      </c>
      <c r="L10" s="52">
        <v>0.2</v>
      </c>
      <c r="M10" s="52">
        <v>0.2</v>
      </c>
      <c r="N10" s="52">
        <v>0.17</v>
      </c>
      <c r="O10" s="52">
        <v>0.17</v>
      </c>
      <c r="P10" s="52">
        <v>0.17</v>
      </c>
      <c r="Q10" s="52">
        <v>0.17</v>
      </c>
      <c r="R10" s="52"/>
      <c r="S10" s="50"/>
      <c r="T10" s="50"/>
      <c r="U10" s="51"/>
    </row>
    <row r="11" spans="1:21" x14ac:dyDescent="0.3">
      <c r="A11" s="11" t="s">
        <v>1077</v>
      </c>
      <c r="B11" s="49"/>
      <c r="C11" s="12" t="s">
        <v>863</v>
      </c>
      <c r="D11" s="119">
        <v>469.74700000000001</v>
      </c>
      <c r="E11" s="119">
        <v>1221.9960000000001</v>
      </c>
      <c r="F11" s="119">
        <v>1759.422</v>
      </c>
      <c r="G11" s="266">
        <v>2400</v>
      </c>
      <c r="H11" s="204">
        <f t="shared" ref="H11:Q11" si="21">G11*(1+H12)</f>
        <v>3072</v>
      </c>
      <c r="I11" s="120">
        <f t="shared" si="21"/>
        <v>3932.16</v>
      </c>
      <c r="J11" s="120">
        <f t="shared" si="21"/>
        <v>4836.5567999999994</v>
      </c>
      <c r="K11" s="120">
        <f t="shared" si="21"/>
        <v>5948.9648639999996</v>
      </c>
      <c r="L11" s="120">
        <f t="shared" si="21"/>
        <v>7138.7578367999995</v>
      </c>
      <c r="M11" s="120">
        <f t="shared" si="21"/>
        <v>8566.5094041599987</v>
      </c>
      <c r="N11" s="120">
        <f t="shared" si="21"/>
        <v>10022.816002867197</v>
      </c>
      <c r="O11" s="120">
        <f t="shared" si="21"/>
        <v>11726.69472335462</v>
      </c>
      <c r="P11" s="120">
        <f t="shared" si="21"/>
        <v>13720.232826324904</v>
      </c>
      <c r="Q11" s="120">
        <f t="shared" si="21"/>
        <v>16052.672406800137</v>
      </c>
      <c r="R11" s="52"/>
      <c r="S11" s="50"/>
      <c r="T11" s="50"/>
      <c r="U11" s="51"/>
    </row>
    <row r="12" spans="1:21" x14ac:dyDescent="0.3">
      <c r="A12" s="48" t="s">
        <v>858</v>
      </c>
      <c r="B12" s="49"/>
      <c r="C12" s="50"/>
      <c r="D12" s="52"/>
      <c r="E12" s="52">
        <f>E11/D11-1</f>
        <v>1.6013918130397853</v>
      </c>
      <c r="F12" s="52">
        <f>F11/E11-1</f>
        <v>0.43979358361238496</v>
      </c>
      <c r="G12" s="265">
        <f>G11/F11-1</f>
        <v>0.3640843413348247</v>
      </c>
      <c r="H12" s="203">
        <v>0.28000000000000003</v>
      </c>
      <c r="I12" s="52">
        <v>0.28000000000000003</v>
      </c>
      <c r="J12" s="52">
        <v>0.23</v>
      </c>
      <c r="K12" s="52">
        <v>0.23</v>
      </c>
      <c r="L12" s="52">
        <v>0.2</v>
      </c>
      <c r="M12" s="52">
        <v>0.2</v>
      </c>
      <c r="N12" s="52">
        <v>0.17</v>
      </c>
      <c r="O12" s="52">
        <v>0.17</v>
      </c>
      <c r="P12" s="52">
        <v>0.17</v>
      </c>
      <c r="Q12" s="52">
        <v>0.17</v>
      </c>
      <c r="R12" s="52"/>
      <c r="S12" s="50"/>
      <c r="T12" s="50"/>
      <c r="U12" s="51"/>
    </row>
    <row r="13" spans="1:21" x14ac:dyDescent="0.3">
      <c r="A13" s="11" t="s">
        <v>882</v>
      </c>
      <c r="B13" s="11" t="s">
        <v>14</v>
      </c>
      <c r="C13" s="12">
        <v>582.36199999999997</v>
      </c>
      <c r="D13" s="12">
        <v>1070.56</v>
      </c>
      <c r="E13" s="12">
        <v>1109.3689999999999</v>
      </c>
      <c r="F13" s="12">
        <v>1121.175</v>
      </c>
      <c r="G13" s="251">
        <v>1558.6030000000001</v>
      </c>
      <c r="H13" s="197">
        <f>G13*(1+H14)</f>
        <v>1925.8537068843834</v>
      </c>
      <c r="I13" s="56">
        <f>H13*(1+I14)</f>
        <v>2228.0742885987424</v>
      </c>
      <c r="J13" s="56">
        <f t="shared" ref="J13" si="22">I13*(1+J14)</f>
        <v>2555.4410320176657</v>
      </c>
      <c r="K13" s="56">
        <f t="shared" ref="K13" si="23">J13*(1+K14)</f>
        <v>2905.3527418944241</v>
      </c>
      <c r="L13" s="56">
        <f t="shared" ref="L13" si="24">K13*(1+L14)</f>
        <v>3274.1236733356122</v>
      </c>
      <c r="M13" s="56">
        <f t="shared" ref="M13" si="25">L13*(1+M14)</f>
        <v>3656.9607652709933</v>
      </c>
      <c r="N13" s="56">
        <f t="shared" ref="N13" si="26">M13*(1+N14)</f>
        <v>4047.9926670236441</v>
      </c>
      <c r="O13" s="56">
        <f t="shared" ref="O13" si="27">N13*(1+O14)</f>
        <v>4440.3569441795162</v>
      </c>
      <c r="P13" s="56">
        <f t="shared" ref="P13" si="28">O13*(1+P14)</f>
        <v>4870.7523490205194</v>
      </c>
      <c r="Q13" s="56">
        <f t="shared" ref="Q13" si="29">P13*(1+Q14)</f>
        <v>5342.8651668616349</v>
      </c>
      <c r="R13" s="56"/>
      <c r="S13" s="12"/>
      <c r="T13" s="12"/>
      <c r="U13" s="13">
        <v>5518.1779999999999</v>
      </c>
    </row>
    <row r="14" spans="1:21" x14ac:dyDescent="0.3">
      <c r="A14" s="48" t="s">
        <v>858</v>
      </c>
      <c r="B14" s="49"/>
      <c r="C14" s="50"/>
      <c r="D14" s="52">
        <f>D13/C13-1</f>
        <v>0.83830675765245677</v>
      </c>
      <c r="E14" s="52">
        <f t="shared" ref="E14" si="30">E13/D13-1</f>
        <v>3.6251120908683321E-2</v>
      </c>
      <c r="F14" s="52">
        <f>F13/E13-1</f>
        <v>1.0642085726210171E-2</v>
      </c>
      <c r="G14" s="265">
        <f>G13/F13-1</f>
        <v>0.3901514036613376</v>
      </c>
      <c r="H14" s="203">
        <v>0.23562812780700626</v>
      </c>
      <c r="I14" s="52">
        <v>0.1569281096658619</v>
      </c>
      <c r="J14" s="52">
        <v>0.14692810966586189</v>
      </c>
      <c r="K14" s="52">
        <v>0.13692810966586189</v>
      </c>
      <c r="L14" s="52">
        <v>0.12692810966586188</v>
      </c>
      <c r="M14" s="52">
        <v>0.11692810966586188</v>
      </c>
      <c r="N14" s="52">
        <v>0.10692810966586189</v>
      </c>
      <c r="O14" s="52">
        <v>9.6928109665861892E-2</v>
      </c>
      <c r="P14" s="52">
        <v>9.6928109665861892E-2</v>
      </c>
      <c r="Q14" s="52">
        <v>9.6928109665861892E-2</v>
      </c>
      <c r="R14" s="52"/>
      <c r="S14" s="50"/>
      <c r="T14" s="50"/>
      <c r="U14" s="51"/>
    </row>
    <row r="15" spans="1:21" x14ac:dyDescent="0.3">
      <c r="A15" s="28" t="s">
        <v>890</v>
      </c>
      <c r="B15" s="28" t="s">
        <v>15</v>
      </c>
      <c r="C15" s="29">
        <f>'Income - Actual'!C23</f>
        <v>3026.759</v>
      </c>
      <c r="D15" s="29">
        <f>'Income - Actual'!D23</f>
        <v>6059.4549999999999</v>
      </c>
      <c r="E15" s="29">
        <f>'Income - Actual'!E23</f>
        <v>7264.4279999999999</v>
      </c>
      <c r="F15" s="29">
        <f>'Income - Actual'!F23</f>
        <v>7229.9129999999996</v>
      </c>
      <c r="G15" s="267">
        <f>'Income - Actual'!G23</f>
        <v>9614.7780000000002</v>
      </c>
      <c r="H15" s="205">
        <f>H17+H19+H21</f>
        <v>11838.014964085209</v>
      </c>
      <c r="I15" s="104">
        <f t="shared" ref="I15:O15" si="31">I17+I19+I21</f>
        <v>14826.71835234687</v>
      </c>
      <c r="J15" s="104">
        <f t="shared" si="31"/>
        <v>17941.103215561499</v>
      </c>
      <c r="K15" s="104">
        <f t="shared" si="31"/>
        <v>20916.51113087964</v>
      </c>
      <c r="L15" s="104">
        <f t="shared" si="31"/>
        <v>24815.945690984889</v>
      </c>
      <c r="M15" s="104">
        <f t="shared" si="31"/>
        <v>28176.172168833051</v>
      </c>
      <c r="N15" s="104">
        <f t="shared" si="31"/>
        <v>32652.72512011823</v>
      </c>
      <c r="O15" s="104">
        <f t="shared" si="31"/>
        <v>37824.256627783114</v>
      </c>
      <c r="P15" s="104">
        <f t="shared" ref="P15:Q15" si="32">P17+P19+P21</f>
        <v>43841.219600872922</v>
      </c>
      <c r="Q15" s="104">
        <f t="shared" si="32"/>
        <v>50844.281520760298</v>
      </c>
      <c r="R15" s="104"/>
      <c r="S15" s="29"/>
      <c r="T15" s="29"/>
      <c r="U15" s="105">
        <v>9614.7780000000002</v>
      </c>
    </row>
    <row r="16" spans="1:21" x14ac:dyDescent="0.3">
      <c r="A16" s="48" t="s">
        <v>859</v>
      </c>
      <c r="B16" s="49"/>
      <c r="C16" s="53">
        <f t="shared" ref="C16:Q16" si="33">C15/C5</f>
        <v>0.69172564438220119</v>
      </c>
      <c r="D16" s="52">
        <f t="shared" si="33"/>
        <v>0.60867296354966605</v>
      </c>
      <c r="E16" s="52">
        <f t="shared" si="33"/>
        <v>0.58350201872253193</v>
      </c>
      <c r="F16" s="52">
        <f t="shared" si="33"/>
        <v>0.55344125184865378</v>
      </c>
      <c r="G16" s="265">
        <f t="shared" si="33"/>
        <v>0.57163225913928206</v>
      </c>
      <c r="H16" s="203">
        <f t="shared" si="33"/>
        <v>0.55959594294270609</v>
      </c>
      <c r="I16" s="52">
        <f t="shared" si="33"/>
        <v>0.5595312920977783</v>
      </c>
      <c r="J16" s="52">
        <f t="shared" si="33"/>
        <v>0.55897462771602546</v>
      </c>
      <c r="K16" s="52">
        <f t="shared" si="33"/>
        <v>0.53772607910047754</v>
      </c>
      <c r="L16" s="52">
        <f t="shared" si="33"/>
        <v>0.53742783793856619</v>
      </c>
      <c r="M16" s="52">
        <f t="shared" si="33"/>
        <v>0.5148796534361173</v>
      </c>
      <c r="N16" s="52">
        <f t="shared" si="33"/>
        <v>0.51458182785288753</v>
      </c>
      <c r="O16" s="52">
        <f t="shared" si="33"/>
        <v>0.51404788491207565</v>
      </c>
      <c r="P16" s="52">
        <f t="shared" si="33"/>
        <v>0.51351505573963874</v>
      </c>
      <c r="Q16" s="52">
        <f t="shared" si="33"/>
        <v>0.51298577789691646</v>
      </c>
      <c r="R16" s="52"/>
      <c r="S16" s="50"/>
      <c r="T16" s="50"/>
      <c r="U16" s="51"/>
    </row>
    <row r="17" spans="1:21" x14ac:dyDescent="0.3">
      <c r="A17" s="11" t="s">
        <v>883</v>
      </c>
      <c r="B17" s="49"/>
      <c r="C17" s="39">
        <v>702.32899999999995</v>
      </c>
      <c r="D17" s="126">
        <v>1230.0820000000001</v>
      </c>
      <c r="E17" s="126">
        <v>1077.0170000000001</v>
      </c>
      <c r="F17" s="126">
        <v>672.48099999999999</v>
      </c>
      <c r="G17" s="268">
        <v>610.58600000000001</v>
      </c>
      <c r="H17" s="206">
        <f t="shared" ref="H17:O17" si="34">H18*H7</f>
        <v>705.87213188926239</v>
      </c>
      <c r="I17" s="126">
        <f t="shared" si="34"/>
        <v>790.89213772800019</v>
      </c>
      <c r="J17" s="126">
        <f t="shared" si="34"/>
        <v>843.61828024320016</v>
      </c>
      <c r="K17" s="126">
        <f t="shared" si="34"/>
        <v>927.98010826752034</v>
      </c>
      <c r="L17" s="126">
        <f t="shared" si="34"/>
        <v>1020.7781190942725</v>
      </c>
      <c r="M17" s="126">
        <f t="shared" si="34"/>
        <v>1058.1003190736567</v>
      </c>
      <c r="N17" s="126">
        <f t="shared" si="34"/>
        <v>1132.1673414088127</v>
      </c>
      <c r="O17" s="126">
        <f t="shared" si="34"/>
        <v>1211.4190553074297</v>
      </c>
      <c r="P17" s="126">
        <f t="shared" ref="P17" si="35">P18*P7</f>
        <v>1296.2183891789498</v>
      </c>
      <c r="Q17" s="126">
        <f t="shared" ref="Q17" si="36">Q18*Q7</f>
        <v>1386.9536764214765</v>
      </c>
      <c r="R17" s="71"/>
      <c r="S17" s="39"/>
      <c r="T17" s="39"/>
      <c r="U17" s="56"/>
    </row>
    <row r="18" spans="1:21" x14ac:dyDescent="0.3">
      <c r="A18" s="48" t="s">
        <v>859</v>
      </c>
      <c r="B18" s="49"/>
      <c r="C18" s="100"/>
      <c r="D18" s="101">
        <f>D17/D7</f>
        <v>0.28474034684617849</v>
      </c>
      <c r="E18" s="101">
        <f>E17/E7</f>
        <v>0.27778481327713073</v>
      </c>
      <c r="F18" s="101">
        <f>F17/F7</f>
        <v>0.3096124371492015</v>
      </c>
      <c r="G18" s="269">
        <f>G17/G7</f>
        <v>0.31957998292673101</v>
      </c>
      <c r="H18" s="203">
        <f>(G18*(G18/F18))</f>
        <v>0.3298684201055942</v>
      </c>
      <c r="I18" s="52">
        <v>0.33</v>
      </c>
      <c r="J18" s="52">
        <v>0.32</v>
      </c>
      <c r="K18" s="52">
        <v>0.32</v>
      </c>
      <c r="L18" s="52">
        <v>0.32</v>
      </c>
      <c r="M18" s="52">
        <v>0.31</v>
      </c>
      <c r="N18" s="52">
        <v>0.31</v>
      </c>
      <c r="O18" s="52">
        <v>0.31</v>
      </c>
      <c r="P18" s="52">
        <v>0.31</v>
      </c>
      <c r="Q18" s="52">
        <v>0.31</v>
      </c>
      <c r="R18" s="52"/>
      <c r="S18" s="50"/>
      <c r="T18" s="50"/>
      <c r="U18" s="51"/>
    </row>
    <row r="19" spans="1:21" x14ac:dyDescent="0.3">
      <c r="A19" s="11" t="s">
        <v>875</v>
      </c>
      <c r="B19" s="49"/>
      <c r="C19" s="39">
        <v>1743.7729999999999</v>
      </c>
      <c r="D19" s="126">
        <v>3825.826</v>
      </c>
      <c r="E19" s="126">
        <v>5194.0649999999996</v>
      </c>
      <c r="F19" s="126">
        <v>5530.0429999999997</v>
      </c>
      <c r="G19" s="268">
        <v>7553.8010000000004</v>
      </c>
      <c r="H19" s="206">
        <f>H20*(H9+H11)</f>
        <v>9398.8744960000022</v>
      </c>
      <c r="I19" s="126">
        <f t="shared" ref="I19:Q19" si="37">I20*(I9+I11)</f>
        <v>12030.559354880001</v>
      </c>
      <c r="J19" s="126">
        <f t="shared" si="37"/>
        <v>14797.588006502401</v>
      </c>
      <c r="K19" s="126">
        <f t="shared" si="37"/>
        <v>17373.713554907135</v>
      </c>
      <c r="L19" s="126">
        <f t="shared" si="37"/>
        <v>20848.456265888562</v>
      </c>
      <c r="M19" s="126">
        <f t="shared" si="37"/>
        <v>23826.807161015502</v>
      </c>
      <c r="N19" s="126">
        <f t="shared" si="37"/>
        <v>27877.364378388134</v>
      </c>
      <c r="O19" s="126">
        <f t="shared" si="37"/>
        <v>32616.516322714117</v>
      </c>
      <c r="P19" s="126">
        <f t="shared" si="37"/>
        <v>38161.324097575511</v>
      </c>
      <c r="Q19" s="126">
        <f t="shared" si="37"/>
        <v>44648.749194163349</v>
      </c>
      <c r="R19" s="71"/>
      <c r="S19" s="39"/>
      <c r="T19" s="39"/>
      <c r="U19" s="56"/>
    </row>
    <row r="20" spans="1:21" x14ac:dyDescent="0.3">
      <c r="A20" s="48" t="s">
        <v>859</v>
      </c>
      <c r="B20" s="49"/>
      <c r="C20" s="100"/>
      <c r="D20" s="101">
        <f>D19/D9</f>
        <v>0.93429730369950692</v>
      </c>
      <c r="E20" s="101">
        <f>E19/E9</f>
        <v>0.83222523572076224</v>
      </c>
      <c r="F20" s="101">
        <f>F19/F9</f>
        <v>0.69031016780273613</v>
      </c>
      <c r="G20" s="269">
        <f>G19/G9</f>
        <v>0.68980238111371039</v>
      </c>
      <c r="H20" s="203">
        <v>0.55000000000000004</v>
      </c>
      <c r="I20" s="52">
        <v>0.55000000000000004</v>
      </c>
      <c r="J20" s="52">
        <v>0.55000000000000004</v>
      </c>
      <c r="K20" s="52">
        <v>0.52500000000000002</v>
      </c>
      <c r="L20" s="52">
        <v>0.52500000000000002</v>
      </c>
      <c r="M20" s="52">
        <v>0.5</v>
      </c>
      <c r="N20" s="52">
        <v>0.5</v>
      </c>
      <c r="O20" s="52">
        <v>0.5</v>
      </c>
      <c r="P20" s="52">
        <v>0.5</v>
      </c>
      <c r="Q20" s="52">
        <v>0.5</v>
      </c>
      <c r="R20" s="52"/>
      <c r="S20" s="50"/>
      <c r="T20" s="50"/>
      <c r="U20" s="51"/>
    </row>
    <row r="21" spans="1:21" x14ac:dyDescent="0.3">
      <c r="A21" s="11" t="s">
        <v>884</v>
      </c>
      <c r="B21" s="49"/>
      <c r="C21" s="39">
        <v>580.65700000000004</v>
      </c>
      <c r="D21" s="126">
        <v>1003.547</v>
      </c>
      <c r="E21" s="126">
        <v>993.346</v>
      </c>
      <c r="F21" s="126">
        <v>1027.3889999999999</v>
      </c>
      <c r="G21" s="268">
        <v>1450.3910000000001</v>
      </c>
      <c r="H21" s="206">
        <f t="shared" ref="H21:O21" si="38">H22*H13</f>
        <v>1733.268336195945</v>
      </c>
      <c r="I21" s="126">
        <f t="shared" si="38"/>
        <v>2005.2668597388683</v>
      </c>
      <c r="J21" s="126">
        <f t="shared" si="38"/>
        <v>2299.8969288158992</v>
      </c>
      <c r="K21" s="126">
        <f t="shared" si="38"/>
        <v>2614.8174677049819</v>
      </c>
      <c r="L21" s="126">
        <f t="shared" si="38"/>
        <v>2946.7113060020511</v>
      </c>
      <c r="M21" s="126">
        <f t="shared" si="38"/>
        <v>3291.2646887438941</v>
      </c>
      <c r="N21" s="126">
        <f t="shared" si="38"/>
        <v>3643.1934003212796</v>
      </c>
      <c r="O21" s="126">
        <f t="shared" si="38"/>
        <v>3996.3212497615646</v>
      </c>
      <c r="P21" s="126">
        <f t="shared" ref="P21" si="39">P22*P13</f>
        <v>4383.6771141184672</v>
      </c>
      <c r="Q21" s="126">
        <f t="shared" ref="Q21" si="40">Q22*Q13</f>
        <v>4808.5786501754719</v>
      </c>
      <c r="R21" s="71"/>
      <c r="S21" s="39"/>
      <c r="T21" s="39"/>
      <c r="U21" s="56"/>
    </row>
    <row r="22" spans="1:21" x14ac:dyDescent="0.3">
      <c r="A22" s="48" t="s">
        <v>859</v>
      </c>
      <c r="B22" s="49"/>
      <c r="C22" s="53"/>
      <c r="D22" s="102">
        <f>D21/D13</f>
        <v>0.93740378867134966</v>
      </c>
      <c r="E22" s="102">
        <f>E21/E13</f>
        <v>0.89541532168286664</v>
      </c>
      <c r="F22" s="102">
        <f>F21/F13</f>
        <v>0.91635025754231048</v>
      </c>
      <c r="G22" s="270">
        <f>G21/G13</f>
        <v>0.93057115891602926</v>
      </c>
      <c r="H22" s="203">
        <v>0.9</v>
      </c>
      <c r="I22" s="52">
        <v>0.9</v>
      </c>
      <c r="J22" s="52">
        <v>0.9</v>
      </c>
      <c r="K22" s="52">
        <v>0.9</v>
      </c>
      <c r="L22" s="52">
        <v>0.9</v>
      </c>
      <c r="M22" s="52">
        <v>0.9</v>
      </c>
      <c r="N22" s="52">
        <v>0.9</v>
      </c>
      <c r="O22" s="52">
        <v>0.9</v>
      </c>
      <c r="P22" s="52">
        <v>0.9</v>
      </c>
      <c r="Q22" s="52">
        <v>0.9</v>
      </c>
      <c r="R22" s="52"/>
      <c r="S22" s="50"/>
      <c r="T22" s="50"/>
      <c r="U22" s="51"/>
    </row>
    <row r="23" spans="1:21" x14ac:dyDescent="0.3">
      <c r="A23" s="11"/>
      <c r="B23" s="11"/>
      <c r="C23" s="12"/>
      <c r="D23" s="12"/>
      <c r="E23" s="12"/>
      <c r="F23" s="12"/>
      <c r="G23" s="251"/>
      <c r="H23" s="197"/>
      <c r="I23" s="56"/>
      <c r="J23" s="56"/>
      <c r="K23" s="56"/>
      <c r="L23" s="56"/>
      <c r="M23" s="56"/>
      <c r="N23" s="56"/>
      <c r="O23" s="56"/>
      <c r="P23" s="56"/>
      <c r="Q23" s="56"/>
      <c r="R23" s="56"/>
      <c r="S23" s="12"/>
      <c r="T23" s="12"/>
      <c r="U23" s="13"/>
    </row>
    <row r="24" spans="1:21" x14ac:dyDescent="0.3">
      <c r="A24" s="8" t="s">
        <v>16</v>
      </c>
      <c r="B24" s="8" t="s">
        <v>17</v>
      </c>
      <c r="C24" s="9">
        <f t="shared" ref="C24:Q24" si="41">C5-C15</f>
        <v>1348.9049999999997</v>
      </c>
      <c r="D24" s="9">
        <f t="shared" si="41"/>
        <v>3895.7350000000006</v>
      </c>
      <c r="E24" s="9">
        <f t="shared" si="41"/>
        <v>5185.277</v>
      </c>
      <c r="F24" s="9">
        <f t="shared" si="41"/>
        <v>5833.6469999999999</v>
      </c>
      <c r="G24" s="255">
        <f t="shared" si="41"/>
        <v>7205.0880000000016</v>
      </c>
      <c r="H24" s="207">
        <f t="shared" si="41"/>
        <v>9316.5611427991771</v>
      </c>
      <c r="I24" s="9">
        <f t="shared" si="41"/>
        <v>11671.743059451874</v>
      </c>
      <c r="J24" s="9">
        <f t="shared" si="41"/>
        <v>14155.350408584163</v>
      </c>
      <c r="K24" s="9">
        <f t="shared" si="41"/>
        <v>17981.567172983428</v>
      </c>
      <c r="L24" s="9">
        <f t="shared" si="41"/>
        <v>21359.454872879498</v>
      </c>
      <c r="M24" s="9">
        <f t="shared" si="41"/>
        <v>26547.629754190413</v>
      </c>
      <c r="N24" s="9">
        <f t="shared" si="41"/>
        <v>30802.149017903663</v>
      </c>
      <c r="O24" s="9">
        <f t="shared" si="41"/>
        <v>35756.936366042144</v>
      </c>
      <c r="P24" s="9">
        <f t="shared" si="41"/>
        <v>41533.530585811372</v>
      </c>
      <c r="Q24" s="9">
        <f t="shared" si="41"/>
        <v>48270.126151916673</v>
      </c>
      <c r="R24" s="54"/>
      <c r="S24" s="9">
        <v>9453.2916949999999</v>
      </c>
      <c r="T24" s="9">
        <v>11559.3680988</v>
      </c>
      <c r="U24" s="10">
        <v>7205.0880517578098</v>
      </c>
    </row>
    <row r="25" spans="1:21" x14ac:dyDescent="0.3">
      <c r="A25" s="72" t="s">
        <v>107</v>
      </c>
      <c r="B25" s="73"/>
      <c r="C25" s="55">
        <f t="shared" ref="C25:Q25" si="42">C24/C5</f>
        <v>0.30827435561779876</v>
      </c>
      <c r="D25" s="55">
        <f t="shared" si="42"/>
        <v>0.39132703645033401</v>
      </c>
      <c r="E25" s="55">
        <f t="shared" si="42"/>
        <v>0.41649798127746801</v>
      </c>
      <c r="F25" s="55">
        <f t="shared" si="42"/>
        <v>0.44655874815134622</v>
      </c>
      <c r="G25" s="264">
        <f t="shared" si="42"/>
        <v>0.42836774086071794</v>
      </c>
      <c r="H25" s="202">
        <f t="shared" si="42"/>
        <v>0.44040405705729391</v>
      </c>
      <c r="I25" s="55">
        <f t="shared" si="42"/>
        <v>0.4404687079022217</v>
      </c>
      <c r="J25" s="55">
        <f t="shared" si="42"/>
        <v>0.44102537228397448</v>
      </c>
      <c r="K25" s="55">
        <f t="shared" si="42"/>
        <v>0.46227392089952252</v>
      </c>
      <c r="L25" s="55">
        <f t="shared" si="42"/>
        <v>0.46257216206143381</v>
      </c>
      <c r="M25" s="55">
        <f t="shared" si="42"/>
        <v>0.4851203465638827</v>
      </c>
      <c r="N25" s="55">
        <f t="shared" si="42"/>
        <v>0.48541817214711241</v>
      </c>
      <c r="O25" s="55">
        <f t="shared" si="42"/>
        <v>0.48595211508792435</v>
      </c>
      <c r="P25" s="55">
        <f t="shared" si="42"/>
        <v>0.48648494426036121</v>
      </c>
      <c r="Q25" s="55">
        <f t="shared" si="42"/>
        <v>0.48701422210308359</v>
      </c>
      <c r="R25" s="54"/>
      <c r="S25" s="9"/>
      <c r="T25" s="9"/>
      <c r="U25" s="10"/>
    </row>
    <row r="26" spans="1:21" x14ac:dyDescent="0.3">
      <c r="A26" s="11" t="s">
        <v>18</v>
      </c>
      <c r="B26" s="11" t="s">
        <v>19</v>
      </c>
      <c r="C26" s="12">
        <f t="shared" ref="C26:D26" si="43">C27+C32+C34+C36</f>
        <v>2652.23</v>
      </c>
      <c r="D26" s="12">
        <f t="shared" si="43"/>
        <v>5478.7950000000001</v>
      </c>
      <c r="E26" s="12">
        <f>E27+E32+E34+E36</f>
        <v>6672.7849999999999</v>
      </c>
      <c r="F26" s="12">
        <f t="shared" ref="F26:G26" si="44">F27+F32+F34+F36</f>
        <v>5608.8690000000006</v>
      </c>
      <c r="G26" s="251">
        <f t="shared" si="44"/>
        <v>6542.9359999999997</v>
      </c>
      <c r="H26" s="208">
        <f t="shared" ref="H26" si="45">H27+H32+H34+H36</f>
        <v>8865.4945212588555</v>
      </c>
      <c r="I26" s="12">
        <f t="shared" ref="I26" si="46">I27+I32+I34+I36</f>
        <v>10691.146832637842</v>
      </c>
      <c r="J26" s="12">
        <f t="shared" ref="J26" si="47">J27+J32+J34+J36</f>
        <v>12728.18938427467</v>
      </c>
      <c r="K26" s="12">
        <f t="shared" ref="K26" si="48">K27+K32+K34+K36</f>
        <v>15364.536176271544</v>
      </c>
      <c r="L26" s="12">
        <f t="shared" ref="L26" si="49">L27+L32+L34+L36</f>
        <v>17988.85568136978</v>
      </c>
      <c r="M26" s="12">
        <f t="shared" ref="M26" si="50">M27+M32+M34+M36</f>
        <v>21329.37296691005</v>
      </c>
      <c r="N26" s="12">
        <f t="shared" ref="N26" si="51">N27+N32+N34+N36</f>
        <v>24772.826165767667</v>
      </c>
      <c r="O26" s="12">
        <f t="shared" ref="O26:Q26" si="52">O27+O32+O34+O36</f>
        <v>28690.322007903636</v>
      </c>
      <c r="P26" s="12">
        <f t="shared" si="52"/>
        <v>33298.388445908829</v>
      </c>
      <c r="Q26" s="12">
        <f t="shared" si="52"/>
        <v>38665.87388646914</v>
      </c>
      <c r="R26" s="56"/>
      <c r="S26" s="12"/>
      <c r="T26" s="12"/>
      <c r="U26" s="13">
        <v>6542.9359999999997</v>
      </c>
    </row>
    <row r="27" spans="1:21" x14ac:dyDescent="0.3">
      <c r="A27" s="11" t="s">
        <v>20</v>
      </c>
      <c r="B27" s="11" t="s">
        <v>21</v>
      </c>
      <c r="C27" s="12">
        <f t="shared" ref="C27:D27" si="53">C28+C30</f>
        <v>2430.5810000000001</v>
      </c>
      <c r="D27" s="12">
        <f t="shared" si="53"/>
        <v>4817.6109999999999</v>
      </c>
      <c r="E27" s="12">
        <f>E28+E30</f>
        <v>4706.835</v>
      </c>
      <c r="F27" s="12">
        <f t="shared" ref="F27:G27" si="54">F28+F30</f>
        <v>3913.9470000000001</v>
      </c>
      <c r="G27" s="251">
        <f t="shared" si="54"/>
        <v>4740.3919999999998</v>
      </c>
      <c r="H27" s="208">
        <f t="shared" ref="H27" si="55">H28+H30</f>
        <v>6196.9019628321075</v>
      </c>
      <c r="I27" s="12">
        <f t="shared" ref="I27" si="56">I28+I30</f>
        <v>7403.1933797026759</v>
      </c>
      <c r="J27" s="12">
        <f t="shared" ref="J27" si="57">J28+J30</f>
        <v>8762.224536029813</v>
      </c>
      <c r="K27" s="12">
        <f t="shared" ref="K27" si="58">K28+K30</f>
        <v>10517.937109569031</v>
      </c>
      <c r="L27" s="12">
        <f t="shared" ref="L27" si="59">L28+L30</f>
        <v>12259.377067249643</v>
      </c>
      <c r="M27" s="12">
        <f t="shared" ref="M27" si="60">M28+M30</f>
        <v>14539.205226927414</v>
      </c>
      <c r="N27" s="12">
        <f t="shared" ref="N27" si="61">N28+N30</f>
        <v>16888.370891654769</v>
      </c>
      <c r="O27" s="12">
        <f t="shared" ref="O27:Q27" si="62">O28+O30</f>
        <v>19556.089882873377</v>
      </c>
      <c r="P27" s="12">
        <f t="shared" si="62"/>
        <v>22698.493191729609</v>
      </c>
      <c r="Q27" s="12">
        <f t="shared" si="62"/>
        <v>26357.570952186579</v>
      </c>
      <c r="R27" s="56"/>
      <c r="S27" s="12"/>
      <c r="T27" s="12"/>
      <c r="U27" s="13">
        <v>4740.3919999999998</v>
      </c>
    </row>
    <row r="28" spans="1:21" x14ac:dyDescent="0.3">
      <c r="A28" s="30" t="s">
        <v>22</v>
      </c>
      <c r="B28" s="14" t="s">
        <v>23</v>
      </c>
      <c r="C28" s="38">
        <f>'Income - Actual'!C14</f>
        <v>1830.875</v>
      </c>
      <c r="D28" s="15">
        <f>'Income - Actual'!D14</f>
        <v>3829.7429999999999</v>
      </c>
      <c r="E28" s="15">
        <f>'Income - Actual'!E14</f>
        <v>3269.223</v>
      </c>
      <c r="F28" s="15">
        <f>'Income - Actual'!F14</f>
        <v>2779.223</v>
      </c>
      <c r="G28" s="260">
        <f>'Income - Actual'!G14</f>
        <v>3472.6860000000001</v>
      </c>
      <c r="H28" s="209">
        <f>H29*H$5</f>
        <v>4238.6586762150537</v>
      </c>
      <c r="I28" s="57">
        <f t="shared" ref="I28:Q28" si="63">I29*I$5</f>
        <v>5152.5938433454376</v>
      </c>
      <c r="J28" s="57">
        <f t="shared" si="63"/>
        <v>6056.8028181179689</v>
      </c>
      <c r="K28" s="57">
        <f t="shared" si="63"/>
        <v>7123.5366967989075</v>
      </c>
      <c r="L28" s="57">
        <f t="shared" si="63"/>
        <v>8311.5721014955889</v>
      </c>
      <c r="M28" s="57">
        <f t="shared" si="63"/>
        <v>9850.2843461442226</v>
      </c>
      <c r="N28" s="57">
        <f t="shared" si="63"/>
        <v>11421.877344843941</v>
      </c>
      <c r="O28" s="57">
        <f t="shared" si="63"/>
        <v>13244.614738888546</v>
      </c>
      <c r="P28" s="57">
        <f t="shared" si="63"/>
        <v>15367.455033603172</v>
      </c>
      <c r="Q28" s="57">
        <f t="shared" si="63"/>
        <v>17840.593381081853</v>
      </c>
      <c r="R28" s="57"/>
      <c r="S28" s="15"/>
      <c r="T28" s="15"/>
      <c r="U28" s="16">
        <v>3472.6860000000001</v>
      </c>
    </row>
    <row r="29" spans="1:21" x14ac:dyDescent="0.3">
      <c r="A29" s="64" t="s">
        <v>859</v>
      </c>
      <c r="B29" s="65"/>
      <c r="C29" s="66">
        <f>C28/C$5</f>
        <v>0.41842220974919464</v>
      </c>
      <c r="D29" s="66">
        <f t="shared" ref="D29:G29" si="64">D28/D$5</f>
        <v>0.38469813233097505</v>
      </c>
      <c r="E29" s="66">
        <f t="shared" si="64"/>
        <v>0.26259441488774232</v>
      </c>
      <c r="F29" s="66">
        <f t="shared" si="64"/>
        <v>0.21274621925416962</v>
      </c>
      <c r="G29" s="271">
        <f t="shared" si="64"/>
        <v>0.2064633570802526</v>
      </c>
      <c r="H29" s="210">
        <f>G29*(G29/F29)</f>
        <v>0.20036604159776364</v>
      </c>
      <c r="I29" s="224">
        <f t="shared" ref="I29:K29" si="65">H29*(H29/G29)</f>
        <v>0.19444879320620426</v>
      </c>
      <c r="J29" s="224">
        <f t="shared" si="65"/>
        <v>0.18870629412968948</v>
      </c>
      <c r="K29" s="224">
        <f t="shared" si="65"/>
        <v>0.18313338363791229</v>
      </c>
      <c r="L29" s="224">
        <v>0.18</v>
      </c>
      <c r="M29" s="224">
        <v>0.18</v>
      </c>
      <c r="N29" s="224">
        <v>0.18</v>
      </c>
      <c r="O29" s="224">
        <v>0.18</v>
      </c>
      <c r="P29" s="224">
        <v>0.18</v>
      </c>
      <c r="Q29" s="224">
        <v>0.18</v>
      </c>
      <c r="R29" s="67"/>
      <c r="S29" s="68"/>
      <c r="T29" s="68"/>
      <c r="U29" s="67"/>
    </row>
    <row r="30" spans="1:21" x14ac:dyDescent="0.3">
      <c r="A30" s="30" t="s">
        <v>24</v>
      </c>
      <c r="B30" s="14" t="s">
        <v>25</v>
      </c>
      <c r="C30" s="38">
        <f>'Income - Actual'!C16</f>
        <v>599.70600000000002</v>
      </c>
      <c r="D30" s="15">
        <f>'Income - Actual'!D16</f>
        <v>987.86800000000005</v>
      </c>
      <c r="E30" s="15">
        <f>'Income - Actual'!E16</f>
        <v>1437.6120000000001</v>
      </c>
      <c r="F30" s="15">
        <f>'Income - Actual'!F16</f>
        <v>1134.7239999999999</v>
      </c>
      <c r="G30" s="260">
        <f>'Income - Actual'!G16</f>
        <v>1267.7059999999999</v>
      </c>
      <c r="H30" s="209">
        <f>H31*H$5</f>
        <v>1958.2432866170543</v>
      </c>
      <c r="I30" s="57">
        <f t="shared" ref="I30" si="66">I31*I$5</f>
        <v>2250.5995363572379</v>
      </c>
      <c r="J30" s="57">
        <f t="shared" ref="J30" si="67">J31*J$5</f>
        <v>2705.4217179118436</v>
      </c>
      <c r="K30" s="57">
        <f t="shared" ref="K30" si="68">K31*K$5</f>
        <v>3394.4004127701241</v>
      </c>
      <c r="L30" s="57">
        <f t="shared" ref="L30" si="69">L31*L$5</f>
        <v>3947.8049657540546</v>
      </c>
      <c r="M30" s="57">
        <f t="shared" ref="M30" si="70">M31*M$5</f>
        <v>4688.9208807831919</v>
      </c>
      <c r="N30" s="57">
        <f t="shared" ref="N30" si="71">N31*N$5</f>
        <v>5466.4935468108297</v>
      </c>
      <c r="O30" s="57">
        <f t="shared" ref="O30:Q30" si="72">O31*O$5</f>
        <v>6311.4751439848324</v>
      </c>
      <c r="P30" s="57">
        <f t="shared" si="72"/>
        <v>7331.0381581264364</v>
      </c>
      <c r="Q30" s="57">
        <f t="shared" si="72"/>
        <v>8516.9775711047278</v>
      </c>
      <c r="R30" s="57"/>
      <c r="S30" s="15"/>
      <c r="T30" s="15"/>
      <c r="U30" s="16">
        <v>1267.7059999999999</v>
      </c>
    </row>
    <row r="31" spans="1:21" x14ac:dyDescent="0.3">
      <c r="A31" s="64" t="s">
        <v>859</v>
      </c>
      <c r="B31" s="65"/>
      <c r="C31" s="66">
        <f>C30/C$5</f>
        <v>0.13705485613154941</v>
      </c>
      <c r="D31" s="66">
        <f t="shared" ref="D31" si="73">D30/D$5</f>
        <v>9.9231456155030692E-2</v>
      </c>
      <c r="E31" s="66">
        <f t="shared" ref="E31" si="74">E30/E$5</f>
        <v>0.11547357949445389</v>
      </c>
      <c r="F31" s="66">
        <f t="shared" ref="F31" si="75">F30/F$5</f>
        <v>8.6861774278986739E-2</v>
      </c>
      <c r="G31" s="271">
        <f t="shared" ref="G31" si="76">G30/G$5</f>
        <v>7.5369565964437515E-2</v>
      </c>
      <c r="H31" s="210">
        <f>AVERAGE(E31:G31)</f>
        <v>9.2568306579292714E-2</v>
      </c>
      <c r="I31" s="224">
        <f t="shared" ref="I31:O31" si="77">AVERAGE(F31:H31)</f>
        <v>8.4933215607572318E-2</v>
      </c>
      <c r="J31" s="224">
        <f t="shared" si="77"/>
        <v>8.4290362717100845E-2</v>
      </c>
      <c r="K31" s="224">
        <f t="shared" si="77"/>
        <v>8.7263961634655288E-2</v>
      </c>
      <c r="L31" s="224">
        <f t="shared" si="77"/>
        <v>8.5495846653109484E-2</v>
      </c>
      <c r="M31" s="224">
        <f t="shared" si="77"/>
        <v>8.5683390334955201E-2</v>
      </c>
      <c r="N31" s="224">
        <f t="shared" si="77"/>
        <v>8.6147732874239991E-2</v>
      </c>
      <c r="O31" s="224">
        <f t="shared" si="77"/>
        <v>8.5775656620768234E-2</v>
      </c>
      <c r="P31" s="224">
        <f t="shared" ref="P31" si="78">AVERAGE(M31:O31)</f>
        <v>8.5868926609987808E-2</v>
      </c>
      <c r="Q31" s="224">
        <f t="shared" ref="Q31" si="79">AVERAGE(N31:P31)</f>
        <v>8.5930772034998673E-2</v>
      </c>
      <c r="R31" s="67"/>
      <c r="S31" s="68"/>
      <c r="T31" s="68"/>
      <c r="U31" s="67"/>
    </row>
    <row r="32" spans="1:21" x14ac:dyDescent="0.3">
      <c r="A32" s="11" t="s">
        <v>26</v>
      </c>
      <c r="B32" s="11" t="s">
        <v>27</v>
      </c>
      <c r="C32" s="39">
        <f>'Income - Actual'!C13</f>
        <v>353.78500000000003</v>
      </c>
      <c r="D32" s="12">
        <f>'Income - Actual'!D13</f>
        <v>831.70299999999997</v>
      </c>
      <c r="E32" s="12">
        <f>'Income - Actual'!E13</f>
        <v>1376.501</v>
      </c>
      <c r="F32" s="12">
        <f>'Income - Actual'!F13</f>
        <v>1164.126</v>
      </c>
      <c r="G32" s="251">
        <f>'Income - Actual'!G13</f>
        <v>1206.05</v>
      </c>
      <c r="H32" s="209">
        <f>H33*H$5</f>
        <v>1798.1389690851729</v>
      </c>
      <c r="I32" s="57">
        <f t="shared" ref="I32" si="80">I33*I$5</f>
        <v>2252.3692200028936</v>
      </c>
      <c r="J32" s="57">
        <f t="shared" ref="J32" si="81">J33*J$5</f>
        <v>2728.1985580523815</v>
      </c>
      <c r="K32" s="57">
        <f t="shared" ref="K32" si="82">K33*K$5</f>
        <v>3306.336655828361</v>
      </c>
      <c r="L32" s="57">
        <f t="shared" ref="L32" si="83">L33*L$5</f>
        <v>3924.9090479284732</v>
      </c>
      <c r="M32" s="57">
        <f t="shared" ref="M32" si="84">M33*M$5</f>
        <v>4651.5231634569946</v>
      </c>
      <c r="N32" s="57">
        <f t="shared" ref="N32" si="85">N33*N$5</f>
        <v>5393.6643017318611</v>
      </c>
      <c r="O32" s="57">
        <f t="shared" ref="O32:Q32" si="86">O33*O$5</f>
        <v>6254.4014044751475</v>
      </c>
      <c r="P32" s="57">
        <f t="shared" si="86"/>
        <v>7256.8537658681653</v>
      </c>
      <c r="Q32" s="57">
        <f t="shared" si="86"/>
        <v>8424.7246521775432</v>
      </c>
      <c r="R32" s="56"/>
      <c r="S32" s="12"/>
      <c r="T32" s="12"/>
      <c r="U32" s="13">
        <v>1206.05</v>
      </c>
    </row>
    <row r="33" spans="1:23" x14ac:dyDescent="0.3">
      <c r="A33" s="48" t="s">
        <v>859</v>
      </c>
      <c r="B33" s="49"/>
      <c r="C33" s="53">
        <f>C32/C$5</f>
        <v>8.0852871701300663E-2</v>
      </c>
      <c r="D33" s="52">
        <f t="shared" ref="D33" si="87">D32/D$5</f>
        <v>8.3544663637760794E-2</v>
      </c>
      <c r="E33" s="52">
        <f t="shared" ref="E33" si="88">E32/E$5</f>
        <v>0.11056494912931672</v>
      </c>
      <c r="F33" s="52">
        <f t="shared" ref="F33" si="89">F32/F$5</f>
        <v>8.9112462452807656E-2</v>
      </c>
      <c r="G33" s="265">
        <f t="shared" ref="G33" si="90">G32/G$5</f>
        <v>7.1703900613714747E-2</v>
      </c>
      <c r="H33" s="203">
        <v>8.5000000000000006E-2</v>
      </c>
      <c r="I33" s="52">
        <v>8.5000000000000006E-2</v>
      </c>
      <c r="J33" s="52">
        <v>8.5000000000000006E-2</v>
      </c>
      <c r="K33" s="52">
        <v>8.5000000000000006E-2</v>
      </c>
      <c r="L33" s="52">
        <v>8.5000000000000006E-2</v>
      </c>
      <c r="M33" s="52">
        <v>8.5000000000000006E-2</v>
      </c>
      <c r="N33" s="52">
        <v>8.5000000000000006E-2</v>
      </c>
      <c r="O33" s="52">
        <v>8.5000000000000006E-2</v>
      </c>
      <c r="P33" s="52">
        <v>8.5000000000000006E-2</v>
      </c>
      <c r="Q33" s="52">
        <v>8.5000000000000006E-2</v>
      </c>
      <c r="R33" s="67"/>
      <c r="S33" s="68"/>
      <c r="T33" s="68"/>
      <c r="U33" s="67"/>
    </row>
    <row r="34" spans="1:23" x14ac:dyDescent="0.3">
      <c r="A34" s="11" t="s">
        <v>28</v>
      </c>
      <c r="B34" s="11" t="s">
        <v>29</v>
      </c>
      <c r="C34" s="39">
        <f>'Income - Actual'!C15</f>
        <v>57.509</v>
      </c>
      <c r="D34" s="12">
        <f>'Income - Actual'!D15</f>
        <v>117.42700000000001</v>
      </c>
      <c r="E34" s="12">
        <f>'Income - Actual'!E15</f>
        <v>513.69000000000005</v>
      </c>
      <c r="F34" s="12">
        <f>'Income - Actual'!F15</f>
        <v>633.94200000000001</v>
      </c>
      <c r="G34" s="251">
        <f>'Income - Actual'!G15</f>
        <v>776.93700000000001</v>
      </c>
      <c r="H34" s="209">
        <f>H35*H$5</f>
        <v>958.86891653810289</v>
      </c>
      <c r="I34" s="57">
        <f t="shared" ref="I34" si="91">I35*I$5</f>
        <v>1237.0004702882779</v>
      </c>
      <c r="J34" s="57">
        <f t="shared" ref="J34" si="92">J35*J$5</f>
        <v>1478.580765139777</v>
      </c>
      <c r="K34" s="57">
        <f t="shared" ref="K34" si="93">K35*K$5</f>
        <v>1790.2912315487422</v>
      </c>
      <c r="L34" s="57">
        <f t="shared" ref="L34" si="94">L35*L$5</f>
        <v>2135.9809619962102</v>
      </c>
      <c r="M34" s="57">
        <f t="shared" ref="M34" si="95">M35*M$5</f>
        <v>2523.6786841269018</v>
      </c>
      <c r="N34" s="57">
        <f t="shared" ref="N34" si="96">N35*N$5</f>
        <v>2927.381133678065</v>
      </c>
      <c r="O34" s="57">
        <f t="shared" ref="O34:Q34" si="97">O35*O$5</f>
        <v>3397.1925145941759</v>
      </c>
      <c r="P34" s="57">
        <f t="shared" si="97"/>
        <v>3939.1691764754619</v>
      </c>
      <c r="Q34" s="57">
        <f t="shared" si="97"/>
        <v>4573.8763109649572</v>
      </c>
      <c r="R34" s="56"/>
      <c r="S34" s="12"/>
      <c r="T34" s="12"/>
      <c r="U34" s="13">
        <v>776.93700000000001</v>
      </c>
    </row>
    <row r="35" spans="1:23" x14ac:dyDescent="0.3">
      <c r="A35" s="48" t="s">
        <v>859</v>
      </c>
      <c r="B35" s="49"/>
      <c r="C35" s="53">
        <f>C34/C$5</f>
        <v>1.314291956603615E-2</v>
      </c>
      <c r="D35" s="52">
        <f t="shared" ref="D35" si="98">D34/D$5</f>
        <v>1.1795555885924829E-2</v>
      </c>
      <c r="E35" s="52">
        <f t="shared" ref="E35" si="99">E34/E$5</f>
        <v>4.1261218639317164E-2</v>
      </c>
      <c r="F35" s="52">
        <f t="shared" ref="F35" si="100">F34/F$5</f>
        <v>4.85275070501456E-2</v>
      </c>
      <c r="G35" s="265">
        <f t="shared" ref="G35" si="101">G34/G$5</f>
        <v>4.6191628399417685E-2</v>
      </c>
      <c r="H35" s="203">
        <f>AVERAGE(E35:G35)</f>
        <v>4.5326784696293483E-2</v>
      </c>
      <c r="I35" s="52">
        <f t="shared" ref="I35:O35" si="102">AVERAGE(F35:H35)</f>
        <v>4.6681973381952256E-2</v>
      </c>
      <c r="J35" s="52">
        <f t="shared" si="102"/>
        <v>4.606679549255447E-2</v>
      </c>
      <c r="K35" s="52">
        <f t="shared" si="102"/>
        <v>4.602518452360007E-2</v>
      </c>
      <c r="L35" s="52">
        <f t="shared" si="102"/>
        <v>4.6257984466035601E-2</v>
      </c>
      <c r="M35" s="52">
        <f t="shared" si="102"/>
        <v>4.6116654827396714E-2</v>
      </c>
      <c r="N35" s="52">
        <f t="shared" si="102"/>
        <v>4.6133274605677461E-2</v>
      </c>
      <c r="O35" s="52">
        <f t="shared" si="102"/>
        <v>4.616930463303659E-2</v>
      </c>
      <c r="P35" s="52">
        <f t="shared" ref="P35" si="103">AVERAGE(M35:O35)</f>
        <v>4.6139744688703584E-2</v>
      </c>
      <c r="Q35" s="52">
        <f t="shared" ref="Q35" si="104">AVERAGE(N35:P35)</f>
        <v>4.6147441309139205E-2</v>
      </c>
      <c r="R35" s="67"/>
      <c r="S35" s="68"/>
      <c r="T35" s="68"/>
      <c r="U35" s="67"/>
    </row>
    <row r="36" spans="1:23" x14ac:dyDescent="0.3">
      <c r="A36" s="32" t="s">
        <v>292</v>
      </c>
      <c r="B36" s="11" t="s">
        <v>30</v>
      </c>
      <c r="C36" s="39">
        <f>'Income - Actual'!C22+'Income - Actual'!C19</f>
        <v>-189.64500000000001</v>
      </c>
      <c r="D36" s="12">
        <f>'Income - Actual'!D22+'Income - Actual'!D19</f>
        <v>-287.94600000000003</v>
      </c>
      <c r="E36" s="12">
        <f>'Income - Actual'!E22+'Income - Actual'!E19</f>
        <v>75.758999999999958</v>
      </c>
      <c r="F36" s="12">
        <f>'Income - Actual'!F22+'Income - Actual'!F19</f>
        <v>-103.14599999999999</v>
      </c>
      <c r="G36" s="251">
        <f>'Income - Actual'!G22+'Income - Actual'!G19</f>
        <v>-180.44300000000001</v>
      </c>
      <c r="H36" s="209">
        <f>H37*H$5</f>
        <v>-88.415327196528708</v>
      </c>
      <c r="I36" s="57">
        <f t="shared" ref="I36" si="105">I37*I$5</f>
        <v>-201.41623735600521</v>
      </c>
      <c r="J36" s="57">
        <f t="shared" ref="J36" si="106">J37*J$5</f>
        <v>-240.8144749473019</v>
      </c>
      <c r="K36" s="57">
        <f t="shared" ref="K36" si="107">K37*K$5</f>
        <v>-250.02882067459186</v>
      </c>
      <c r="L36" s="57">
        <f t="shared" ref="L36" si="108">L37*L$5</f>
        <v>-331.41139580454399</v>
      </c>
      <c r="M36" s="57">
        <f t="shared" ref="M36" si="109">M37*M$5</f>
        <v>-385.03410760125831</v>
      </c>
      <c r="N36" s="57">
        <f t="shared" ref="N36" si="110">N37*N$5</f>
        <v>-436.59016129702763</v>
      </c>
      <c r="O36" s="57">
        <f t="shared" ref="O36:Q36" si="111">O37*O$5</f>
        <v>-517.36179403906146</v>
      </c>
      <c r="P36" s="57">
        <f t="shared" si="111"/>
        <v>-596.12768816440609</v>
      </c>
      <c r="Q36" s="57">
        <f t="shared" si="111"/>
        <v>-690.29802885994093</v>
      </c>
      <c r="R36" s="56"/>
      <c r="S36" s="12"/>
      <c r="T36" s="12"/>
      <c r="U36" s="13">
        <v>-180.44300000000001</v>
      </c>
    </row>
    <row r="37" spans="1:23" x14ac:dyDescent="0.3">
      <c r="A37" s="48" t="s">
        <v>859</v>
      </c>
      <c r="B37" s="49"/>
      <c r="C37" s="53">
        <f>C36/C$5</f>
        <v>-4.33408506686071E-2</v>
      </c>
      <c r="D37" s="52">
        <f t="shared" ref="D37" si="112">D36/D$5</f>
        <v>-2.8924209382241828E-2</v>
      </c>
      <c r="E37" s="52">
        <f t="shared" ref="E37" si="113">E36/E$5</f>
        <v>6.0852044285386649E-3</v>
      </c>
      <c r="F37" s="52">
        <f t="shared" ref="F37" si="114">F36/F$5</f>
        <v>-7.8957037744688263E-3</v>
      </c>
      <c r="G37" s="265">
        <f t="shared" ref="G37" si="115">G36/G$5</f>
        <v>-1.0727968938634825E-2</v>
      </c>
      <c r="H37" s="203">
        <f>AVERAGE(E37:G37)</f>
        <v>-4.1794894281883292E-3</v>
      </c>
      <c r="I37" s="52">
        <f t="shared" ref="I37:O37" si="116">AVERAGE(F37:H37)</f>
        <v>-7.6010540470973281E-3</v>
      </c>
      <c r="J37" s="52">
        <f t="shared" si="116"/>
        <v>-7.5028374713068278E-3</v>
      </c>
      <c r="K37" s="52">
        <f t="shared" si="116"/>
        <v>-6.4277936488641614E-3</v>
      </c>
      <c r="L37" s="52">
        <f t="shared" si="116"/>
        <v>-7.1772283890894394E-3</v>
      </c>
      <c r="M37" s="52">
        <f t="shared" si="116"/>
        <v>-7.0359531697534762E-3</v>
      </c>
      <c r="N37" s="52">
        <f t="shared" si="116"/>
        <v>-6.8803250692356923E-3</v>
      </c>
      <c r="O37" s="52">
        <f t="shared" si="116"/>
        <v>-7.0311688760262029E-3</v>
      </c>
      <c r="P37" s="52">
        <f t="shared" ref="P37" si="117">AVERAGE(M37:O37)</f>
        <v>-6.9824823716717914E-3</v>
      </c>
      <c r="Q37" s="52">
        <f t="shared" ref="Q37" si="118">AVERAGE(N37:P37)</f>
        <v>-6.9646587723112283E-3</v>
      </c>
      <c r="R37" s="67"/>
      <c r="S37" s="68"/>
      <c r="T37" s="68"/>
      <c r="U37" s="67"/>
    </row>
    <row r="38" spans="1:23" x14ac:dyDescent="0.3">
      <c r="A38" s="69"/>
      <c r="B38" s="34"/>
      <c r="C38" s="70"/>
      <c r="D38" s="71"/>
      <c r="E38" s="71"/>
      <c r="F38" s="71"/>
      <c r="G38" s="272"/>
      <c r="H38" s="209"/>
      <c r="I38" s="57"/>
      <c r="J38" s="57"/>
      <c r="K38" s="57"/>
      <c r="L38" s="57"/>
      <c r="M38" s="57"/>
      <c r="N38" s="57"/>
      <c r="O38" s="57"/>
      <c r="P38" s="57"/>
      <c r="Q38" s="57"/>
      <c r="R38" s="57"/>
      <c r="S38" s="38"/>
      <c r="T38" s="38"/>
      <c r="U38" s="57"/>
    </row>
    <row r="39" spans="1:23" x14ac:dyDescent="0.3">
      <c r="A39" s="8" t="s">
        <v>31</v>
      </c>
      <c r="B39" s="8" t="s">
        <v>32</v>
      </c>
      <c r="C39" s="9">
        <f t="shared" ref="C39:H39" si="119">C24-C26</f>
        <v>-1303.3250000000003</v>
      </c>
      <c r="D39" s="9">
        <f t="shared" si="119"/>
        <v>-1583.0599999999995</v>
      </c>
      <c r="E39" s="9">
        <f t="shared" si="119"/>
        <v>-1487.5079999999998</v>
      </c>
      <c r="F39" s="9">
        <f t="shared" si="119"/>
        <v>224.77799999999934</v>
      </c>
      <c r="G39" s="255">
        <f t="shared" si="119"/>
        <v>662.15200000000186</v>
      </c>
      <c r="H39" s="207">
        <f t="shared" si="119"/>
        <v>451.06662154032165</v>
      </c>
      <c r="I39" s="9">
        <f t="shared" ref="I39:O39" si="120">I24-I26</f>
        <v>980.59622681403198</v>
      </c>
      <c r="J39" s="9">
        <f t="shared" si="120"/>
        <v>1427.1610243094929</v>
      </c>
      <c r="K39" s="9">
        <f t="shared" si="120"/>
        <v>2617.0309967118847</v>
      </c>
      <c r="L39" s="9">
        <f t="shared" si="120"/>
        <v>3370.5991915097184</v>
      </c>
      <c r="M39" s="9">
        <f t="shared" si="120"/>
        <v>5218.2567872803629</v>
      </c>
      <c r="N39" s="9">
        <f t="shared" si="120"/>
        <v>6029.3228521359961</v>
      </c>
      <c r="O39" s="9">
        <f t="shared" si="120"/>
        <v>7066.6143581385077</v>
      </c>
      <c r="P39" s="9">
        <f t="shared" ref="P39:Q39" si="121">P24-P26</f>
        <v>8235.1421399025421</v>
      </c>
      <c r="Q39" s="9">
        <f t="shared" si="121"/>
        <v>9604.2522654475324</v>
      </c>
      <c r="R39" s="54"/>
      <c r="S39" s="9">
        <v>1952.636</v>
      </c>
      <c r="T39" s="9">
        <v>3036.05</v>
      </c>
      <c r="U39" s="10">
        <v>662.15200000000004</v>
      </c>
    </row>
    <row r="40" spans="1:23" x14ac:dyDescent="0.3">
      <c r="A40" s="72" t="s">
        <v>109</v>
      </c>
      <c r="B40" s="73"/>
      <c r="C40" s="55">
        <f>C39/C30</f>
        <v>-2.1732732372195711</v>
      </c>
      <c r="D40" s="55">
        <f t="shared" ref="D40" si="122">D39/D30</f>
        <v>-1.6025015487899188</v>
      </c>
      <c r="E40" s="55">
        <f t="shared" ref="E40" si="123">E39/E30</f>
        <v>-1.0347075566981909</v>
      </c>
      <c r="F40" s="55">
        <f t="shared" ref="F40" si="124">F39/F30</f>
        <v>0.19809046076402662</v>
      </c>
      <c r="G40" s="264">
        <f t="shared" ref="G40" si="125">G39/G30</f>
        <v>0.52232299918119962</v>
      </c>
      <c r="H40" s="202">
        <f t="shared" ref="H40" si="126">H39/H30</f>
        <v>0.23034248329764875</v>
      </c>
      <c r="I40" s="55">
        <f t="shared" ref="I40" si="127">I39/I30</f>
        <v>0.43570444718086082</v>
      </c>
      <c r="J40" s="55">
        <f t="shared" ref="J40" si="128">J39/J30</f>
        <v>0.52751887621092752</v>
      </c>
      <c r="K40" s="55">
        <f t="shared" ref="K40" si="129">K39/K30</f>
        <v>0.77098476268925542</v>
      </c>
      <c r="L40" s="55">
        <f t="shared" ref="L40" si="130">L39/L30</f>
        <v>0.85379070667081791</v>
      </c>
      <c r="M40" s="55">
        <f t="shared" ref="M40" si="131">M39/M30</f>
        <v>1.1128907737954314</v>
      </c>
      <c r="N40" s="55">
        <f t="shared" ref="N40" si="132">N39/N30</f>
        <v>1.1029598408020664</v>
      </c>
      <c r="O40" s="55">
        <f t="shared" ref="O40:Q40" si="133">O39/O30</f>
        <v>1.1196454389705333</v>
      </c>
      <c r="P40" s="55">
        <f t="shared" si="133"/>
        <v>1.123325504829614</v>
      </c>
      <c r="Q40" s="55">
        <f t="shared" si="133"/>
        <v>1.1276596874026728</v>
      </c>
      <c r="R40" s="54"/>
      <c r="S40" s="9"/>
      <c r="T40" s="9"/>
      <c r="U40" s="10"/>
    </row>
    <row r="41" spans="1:23" x14ac:dyDescent="0.3">
      <c r="A41" s="11" t="s">
        <v>33</v>
      </c>
      <c r="B41" s="11" t="s">
        <v>34</v>
      </c>
      <c r="C41" s="12">
        <f t="shared" ref="C41:D41" si="134">C42+C47+C48+C49</f>
        <v>179.91300000000001</v>
      </c>
      <c r="D41" s="12">
        <f t="shared" si="134"/>
        <v>132.124</v>
      </c>
      <c r="E41" s="12">
        <f>E42+E47+E48+E49</f>
        <v>13.024999999999977</v>
      </c>
      <c r="F41" s="12">
        <f t="shared" ref="F41:G41" si="135">F42+F47+F48+F49</f>
        <v>-207.61599999999999</v>
      </c>
      <c r="G41" s="251">
        <f t="shared" si="135"/>
        <v>-116.631</v>
      </c>
      <c r="H41" s="208">
        <f t="shared" ref="H41" ca="1" si="136">H42+H47+H48+H49</f>
        <v>-464.7565830850765</v>
      </c>
      <c r="I41" s="12">
        <f t="shared" ref="I41" ca="1" si="137">I42+I47+I48+I49</f>
        <v>-599.85869364455527</v>
      </c>
      <c r="J41" s="12">
        <f t="shared" ref="J41" ca="1" si="138">J42+J47+J48+J49</f>
        <v>-734.58257305661016</v>
      </c>
      <c r="K41" s="12">
        <f t="shared" ref="K41" ca="1" si="139">K42+K47+K48+K49</f>
        <v>-913.40594139668974</v>
      </c>
      <c r="L41" s="12">
        <f t="shared" ref="L41" ca="1" si="140">L42+L47+L48+L49</f>
        <v>-1148.0054928242846</v>
      </c>
      <c r="M41" s="12">
        <f t="shared" ref="M41" ca="1" si="141">M42+M47+M48+M49</f>
        <v>-1453.7419599456646</v>
      </c>
      <c r="N41" s="12">
        <f t="shared" ref="N41" ca="1" si="142">N42+N47+N48+N49</f>
        <v>-1836.0230345413845</v>
      </c>
      <c r="O41" s="12">
        <f t="shared" ref="O41:Q41" ca="1" si="143">O42+O47+O48+O49</f>
        <v>-2287.5211657637537</v>
      </c>
      <c r="P41" s="12">
        <f t="shared" ca="1" si="143"/>
        <v>-2819.7941683470981</v>
      </c>
      <c r="Q41" s="12">
        <f t="shared" ca="1" si="143"/>
        <v>-3445.2645721641029</v>
      </c>
      <c r="R41" s="56"/>
      <c r="S41" s="12"/>
      <c r="T41" s="12"/>
      <c r="U41" s="13">
        <v>-116.631</v>
      </c>
    </row>
    <row r="42" spans="1:23" x14ac:dyDescent="0.3">
      <c r="A42" s="34" t="s">
        <v>35</v>
      </c>
      <c r="B42" s="34" t="s">
        <v>36</v>
      </c>
      <c r="C42" s="39">
        <f t="shared" ref="C42:D42" si="144">C43-C45</f>
        <v>99.039000000000001</v>
      </c>
      <c r="D42" s="39">
        <f t="shared" si="144"/>
        <v>100.79400000000001</v>
      </c>
      <c r="E42" s="39">
        <f>E43-E45</f>
        <v>-70.119</v>
      </c>
      <c r="F42" s="39">
        <f t="shared" ref="F42:G42" si="145">F43-F45</f>
        <v>-290.23500000000001</v>
      </c>
      <c r="G42" s="256">
        <f t="shared" si="145"/>
        <v>-327.476</v>
      </c>
      <c r="H42" s="211">
        <f t="shared" ref="H42" ca="1" si="146">H43-H45</f>
        <v>-464.7565830850765</v>
      </c>
      <c r="I42" s="39">
        <f t="shared" ref="I42" ca="1" si="147">I43-I45</f>
        <v>-599.85869364455527</v>
      </c>
      <c r="J42" s="39">
        <f t="shared" ref="J42" ca="1" si="148">J43-J45</f>
        <v>-734.58257305661016</v>
      </c>
      <c r="K42" s="39">
        <f t="shared" ref="K42" ca="1" si="149">K43-K45</f>
        <v>-913.40594139668974</v>
      </c>
      <c r="L42" s="39">
        <f t="shared" ref="L42" ca="1" si="150">L43-L45</f>
        <v>-1148.0054928242846</v>
      </c>
      <c r="M42" s="39">
        <f t="shared" ref="M42" ca="1" si="151">M43-M45</f>
        <v>-1453.7419599456646</v>
      </c>
      <c r="N42" s="39">
        <f t="shared" ref="N42" ca="1" si="152">N43-N45</f>
        <v>-1836.0230345413845</v>
      </c>
      <c r="O42" s="39">
        <f t="shared" ref="O42:Q42" ca="1" si="153">O43-O45</f>
        <v>-2287.5211657637537</v>
      </c>
      <c r="P42" s="39">
        <f t="shared" ca="1" si="153"/>
        <v>-2819.7941683470981</v>
      </c>
      <c r="Q42" s="39">
        <f t="shared" ca="1" si="153"/>
        <v>-3445.2645721641029</v>
      </c>
      <c r="R42" s="56"/>
      <c r="S42" s="39"/>
      <c r="T42" s="39"/>
      <c r="U42" s="56">
        <v>-327.476</v>
      </c>
    </row>
    <row r="43" spans="1:23" x14ac:dyDescent="0.3">
      <c r="A43" s="225" t="s">
        <v>37</v>
      </c>
      <c r="B43" s="226" t="s">
        <v>38</v>
      </c>
      <c r="C43" s="38">
        <f>'Income - Actual'!C25</f>
        <v>123.843</v>
      </c>
      <c r="D43" s="38">
        <f>'Income - Actual'!D25</f>
        <v>136.876</v>
      </c>
      <c r="E43" s="38">
        <f>'Income - Actual'!E25</f>
        <v>45.396000000000001</v>
      </c>
      <c r="F43" s="38">
        <f>'Income - Actual'!F25</f>
        <v>41.075000000000003</v>
      </c>
      <c r="G43" s="273">
        <f>'Income - Actual'!G25</f>
        <v>38.341000000000001</v>
      </c>
      <c r="H43" s="209">
        <f ca="1">H44*AVERAGE('BS Model'!G121:H121)</f>
        <v>45.146575543000125</v>
      </c>
      <c r="I43" s="57">
        <f ca="1">I44*AVERAGE('BS Model'!H121:I121)</f>
        <v>54.298700984076639</v>
      </c>
      <c r="J43" s="57">
        <f ca="1">J44*AVERAGE('BS Model'!I121:J121)</f>
        <v>65.904030479213347</v>
      </c>
      <c r="K43" s="57">
        <f ca="1">K44*AVERAGE('BS Model'!J121:K121)</f>
        <v>81.602361899524936</v>
      </c>
      <c r="L43" s="57">
        <f ca="1">L44*AVERAGE('BS Model'!K121:L121)</f>
        <v>102.14741714949582</v>
      </c>
      <c r="M43" s="57">
        <f ca="1">M44*AVERAGE('BS Model'!L121:M121)</f>
        <v>128.91279065715224</v>
      </c>
      <c r="N43" s="57">
        <f ca="1">N44*AVERAGE('BS Model'!M121:N121)</f>
        <v>162.4341486524757</v>
      </c>
      <c r="O43" s="57">
        <f ca="1">O44*AVERAGE('BS Model'!N121:O121)</f>
        <v>201.86004355879319</v>
      </c>
      <c r="P43" s="57">
        <f ca="1">P44*AVERAGE('BS Model'!O121:P121)</f>
        <v>248.24911995999719</v>
      </c>
      <c r="Q43" s="57">
        <f ca="1">Q44*AVERAGE('BS Model'!P121:Q121)</f>
        <v>302.73182373275762</v>
      </c>
      <c r="R43" s="57"/>
      <c r="S43" s="38"/>
      <c r="T43" s="38"/>
      <c r="U43" s="57">
        <v>38.341000000000001</v>
      </c>
    </row>
    <row r="44" spans="1:23" x14ac:dyDescent="0.3">
      <c r="A44" s="227" t="s">
        <v>860</v>
      </c>
      <c r="B44" s="226"/>
      <c r="C44" s="228">
        <f>C43/'BS Model'!C121</f>
        <v>5.9176254382921879E-2</v>
      </c>
      <c r="D44" s="228">
        <f>D43/'BS Model'!D121</f>
        <v>3.2179503304913697E-2</v>
      </c>
      <c r="E44" s="228">
        <f>E43/'BS Model'!E121</f>
        <v>1.0121326153247259E-2</v>
      </c>
      <c r="F44" s="228">
        <f>F43/'BS Model'!F121</f>
        <v>9.2348299790797096E-3</v>
      </c>
      <c r="G44" s="274">
        <f>G43/'BS Model'!G121</f>
        <v>9.3272739259379275E-3</v>
      </c>
      <c r="H44" s="212">
        <v>0.01</v>
      </c>
      <c r="I44" s="229">
        <v>0.01</v>
      </c>
      <c r="J44" s="229">
        <v>0.01</v>
      </c>
      <c r="K44" s="229">
        <v>0.01</v>
      </c>
      <c r="L44" s="229">
        <v>0.01</v>
      </c>
      <c r="M44" s="229">
        <v>0.01</v>
      </c>
      <c r="N44" s="229">
        <v>0.01</v>
      </c>
      <c r="O44" s="229">
        <v>0.01</v>
      </c>
      <c r="P44" s="229">
        <v>0.01</v>
      </c>
      <c r="Q44" s="229">
        <v>0.01</v>
      </c>
      <c r="R44" s="57"/>
      <c r="S44" s="38"/>
      <c r="T44" s="38"/>
      <c r="U44" s="57"/>
    </row>
    <row r="45" spans="1:23" x14ac:dyDescent="0.3">
      <c r="A45" s="225" t="s">
        <v>39</v>
      </c>
      <c r="B45" s="226" t="s">
        <v>40</v>
      </c>
      <c r="C45" s="38">
        <f>-'Income - Actual'!C27</f>
        <v>24.803999999999998</v>
      </c>
      <c r="D45" s="38">
        <f>-'Income - Actual'!D27</f>
        <v>36.082000000000001</v>
      </c>
      <c r="E45" s="38">
        <f>-'Income - Actual'!E27</f>
        <v>115.515</v>
      </c>
      <c r="F45" s="38">
        <f>-'Income - Actual'!F27</f>
        <v>331.31</v>
      </c>
      <c r="G45" s="273">
        <f>-'Income - Actual'!G27</f>
        <v>365.81700000000001</v>
      </c>
      <c r="H45" s="209">
        <f ca="1">H46*AVERAGE('BS Model'!G6:H6)</f>
        <v>509.9031586280766</v>
      </c>
      <c r="I45" s="57">
        <f ca="1">I46*AVERAGE('BS Model'!H6:I6)</f>
        <v>654.15739462863189</v>
      </c>
      <c r="J45" s="57">
        <f ca="1">J46*AVERAGE('BS Model'!I6:J6)</f>
        <v>800.48660353582352</v>
      </c>
      <c r="K45" s="57">
        <f ca="1">K46*AVERAGE('BS Model'!J6:K6)</f>
        <v>995.00830329621465</v>
      </c>
      <c r="L45" s="57">
        <f ca="1">L46*AVERAGE('BS Model'!K6:L6)</f>
        <v>1250.1529099737804</v>
      </c>
      <c r="M45" s="57">
        <f ca="1">M46*AVERAGE('BS Model'!L6:M6)</f>
        <v>1582.6547506028169</v>
      </c>
      <c r="N45" s="57">
        <f ca="1">N46*AVERAGE('BS Model'!M6:N6)</f>
        <v>1998.4571831938601</v>
      </c>
      <c r="O45" s="57">
        <f ca="1">O46*AVERAGE('BS Model'!N6:O6)</f>
        <v>2489.381209322547</v>
      </c>
      <c r="P45" s="57">
        <f ca="1">P46*AVERAGE('BS Model'!O6:P6)</f>
        <v>3068.0432883070953</v>
      </c>
      <c r="Q45" s="57">
        <f ca="1">Q46*AVERAGE('BS Model'!P6:Q6)</f>
        <v>3747.9963958968606</v>
      </c>
      <c r="R45" s="57"/>
      <c r="S45" s="38"/>
      <c r="T45" s="38"/>
      <c r="U45" s="57">
        <v>365.81700000000001</v>
      </c>
      <c r="W45" s="31"/>
    </row>
    <row r="46" spans="1:23" x14ac:dyDescent="0.3">
      <c r="A46" s="227" t="s">
        <v>895</v>
      </c>
      <c r="B46" s="226"/>
      <c r="C46" s="228">
        <f>C45/'BS Model'!C6</f>
        <v>3.941535479460522E-3</v>
      </c>
      <c r="D46" s="228">
        <f>D45/'BS Model'!D6</f>
        <v>3.5517124989036856E-3</v>
      </c>
      <c r="E46" s="228">
        <f>E45/'BS Model'!E6</f>
        <v>1.6755590309825028E-2</v>
      </c>
      <c r="F46" s="228">
        <f>F45/'BS Model'!F6</f>
        <v>6.1826562412525425E-2</v>
      </c>
      <c r="G46" s="274">
        <f>G45/'BS Model'!G6</f>
        <v>4.2435331467410069E-2</v>
      </c>
      <c r="H46" s="212">
        <v>0.05</v>
      </c>
      <c r="I46" s="229">
        <v>0.05</v>
      </c>
      <c r="J46" s="229">
        <v>0.05</v>
      </c>
      <c r="K46" s="229">
        <v>0.05</v>
      </c>
      <c r="L46" s="229">
        <v>0.05</v>
      </c>
      <c r="M46" s="229">
        <v>0.05</v>
      </c>
      <c r="N46" s="229">
        <v>0.05</v>
      </c>
      <c r="O46" s="229">
        <v>0.05</v>
      </c>
      <c r="P46" s="229">
        <v>0.05</v>
      </c>
      <c r="Q46" s="229">
        <v>0.05</v>
      </c>
      <c r="R46" s="57"/>
      <c r="S46" s="38"/>
      <c r="T46" s="38"/>
      <c r="U46" s="57"/>
    </row>
    <row r="47" spans="1:23" x14ac:dyDescent="0.3">
      <c r="A47" s="11" t="s">
        <v>41</v>
      </c>
      <c r="B47" s="11" t="s">
        <v>42</v>
      </c>
      <c r="C47" s="39">
        <f>'Income - Actual'!C31</f>
        <v>17.82</v>
      </c>
      <c r="D47" s="39">
        <f>'Income - Actual'!D31</f>
        <v>43.502000000000002</v>
      </c>
      <c r="E47" s="39">
        <f>'Income - Actual'!E31</f>
        <v>207.33099999999999</v>
      </c>
      <c r="F47" s="39">
        <f>'Income - Actual'!F31</f>
        <v>125.65600000000001</v>
      </c>
      <c r="G47" s="256">
        <f>'Income - Actual'!G31</f>
        <v>250.22</v>
      </c>
      <c r="H47" s="213">
        <v>0</v>
      </c>
      <c r="I47" s="75">
        <v>0</v>
      </c>
      <c r="J47" s="75">
        <v>0</v>
      </c>
      <c r="K47" s="75">
        <v>0</v>
      </c>
      <c r="L47" s="75">
        <v>0</v>
      </c>
      <c r="M47" s="75">
        <v>0</v>
      </c>
      <c r="N47" s="75">
        <v>0</v>
      </c>
      <c r="O47" s="75">
        <v>0</v>
      </c>
      <c r="P47" s="75">
        <v>0</v>
      </c>
      <c r="Q47" s="75">
        <v>0</v>
      </c>
      <c r="R47" s="56"/>
      <c r="S47" s="12"/>
      <c r="T47" s="12"/>
      <c r="U47" s="13"/>
    </row>
    <row r="48" spans="1:23" x14ac:dyDescent="0.3">
      <c r="A48" s="11" t="s">
        <v>44</v>
      </c>
      <c r="B48" s="11" t="s">
        <v>45</v>
      </c>
      <c r="C48" s="39">
        <f>'Income - Actual'!C26</f>
        <v>38.567</v>
      </c>
      <c r="D48" s="39">
        <f>'Income - Actual'!D26</f>
        <v>-14.241</v>
      </c>
      <c r="E48" s="39">
        <f>'Income - Actual'!E26</f>
        <v>75.510000000000005</v>
      </c>
      <c r="F48" s="39">
        <f>'Income - Actual'!F26</f>
        <v>-4.4870000000000001</v>
      </c>
      <c r="G48" s="256">
        <f>'Income - Actual'!G26</f>
        <v>3.246</v>
      </c>
      <c r="H48" s="213">
        <v>0</v>
      </c>
      <c r="I48" s="75">
        <v>0</v>
      </c>
      <c r="J48" s="75">
        <v>0</v>
      </c>
      <c r="K48" s="75">
        <v>0</v>
      </c>
      <c r="L48" s="75">
        <v>0</v>
      </c>
      <c r="M48" s="75">
        <v>0</v>
      </c>
      <c r="N48" s="75">
        <v>0</v>
      </c>
      <c r="O48" s="75">
        <v>0</v>
      </c>
      <c r="P48" s="75">
        <v>0</v>
      </c>
      <c r="Q48" s="75">
        <v>0</v>
      </c>
      <c r="R48" s="56"/>
      <c r="S48" s="12"/>
      <c r="T48" s="12"/>
      <c r="U48" s="13">
        <v>24.858000000000001</v>
      </c>
    </row>
    <row r="49" spans="1:21" x14ac:dyDescent="0.3">
      <c r="A49" s="11" t="s">
        <v>46</v>
      </c>
      <c r="B49" s="11" t="s">
        <v>47</v>
      </c>
      <c r="C49" s="12">
        <f>'Income - Actual'!C30+0.087</f>
        <v>24.486999999999998</v>
      </c>
      <c r="D49" s="12">
        <f>'Income - Actual'!D30</f>
        <v>2.069</v>
      </c>
      <c r="E49" s="12">
        <f>'Income - Actual'!E30</f>
        <v>-199.697</v>
      </c>
      <c r="F49" s="12">
        <f>'Income - Actual'!F30</f>
        <v>-38.549999999999997</v>
      </c>
      <c r="G49" s="251">
        <f>'Income - Actual'!G30</f>
        <v>-42.621000000000002</v>
      </c>
      <c r="H49" s="213">
        <v>0</v>
      </c>
      <c r="I49" s="75">
        <v>0</v>
      </c>
      <c r="J49" s="75">
        <v>0</v>
      </c>
      <c r="K49" s="75">
        <v>0</v>
      </c>
      <c r="L49" s="75">
        <v>0</v>
      </c>
      <c r="M49" s="75">
        <v>0</v>
      </c>
      <c r="N49" s="75">
        <v>0</v>
      </c>
      <c r="O49" s="75">
        <v>0</v>
      </c>
      <c r="P49" s="75">
        <v>0</v>
      </c>
      <c r="Q49" s="75">
        <v>0</v>
      </c>
      <c r="R49" s="56"/>
      <c r="S49" s="12"/>
      <c r="T49" s="12"/>
      <c r="U49" s="13">
        <v>107.688</v>
      </c>
    </row>
    <row r="50" spans="1:21" x14ac:dyDescent="0.3">
      <c r="A50" s="11"/>
      <c r="B50" s="11"/>
      <c r="C50" s="12"/>
      <c r="D50" s="12"/>
      <c r="E50" s="12"/>
      <c r="F50" s="12"/>
      <c r="G50" s="251"/>
      <c r="H50" s="197"/>
      <c r="I50" s="56"/>
      <c r="J50" s="56"/>
      <c r="K50" s="56"/>
      <c r="L50" s="56"/>
      <c r="M50" s="56"/>
      <c r="N50" s="56"/>
      <c r="O50" s="56"/>
      <c r="P50" s="56"/>
      <c r="Q50" s="56"/>
      <c r="R50" s="56"/>
      <c r="S50" s="12"/>
      <c r="T50" s="12"/>
      <c r="U50" s="13"/>
    </row>
    <row r="51" spans="1:21" x14ac:dyDescent="0.3">
      <c r="A51" s="8" t="s">
        <v>48</v>
      </c>
      <c r="B51" s="8" t="s">
        <v>49</v>
      </c>
      <c r="C51" s="9">
        <f t="shared" ref="C51:D51" si="154">C39-C41</f>
        <v>-1483.2380000000003</v>
      </c>
      <c r="D51" s="9">
        <f t="shared" si="154"/>
        <v>-1715.1839999999995</v>
      </c>
      <c r="E51" s="9">
        <f>E39-E41</f>
        <v>-1500.5329999999999</v>
      </c>
      <c r="F51" s="9">
        <f t="shared" ref="F51:O51" si="155">F39-F41</f>
        <v>432.39399999999932</v>
      </c>
      <c r="G51" s="255">
        <f t="shared" si="155"/>
        <v>778.78300000000183</v>
      </c>
      <c r="H51" s="207">
        <f t="shared" ca="1" si="155"/>
        <v>915.82320462539815</v>
      </c>
      <c r="I51" s="9">
        <f t="shared" ca="1" si="155"/>
        <v>1580.4549204585874</v>
      </c>
      <c r="J51" s="9">
        <f t="shared" ca="1" si="155"/>
        <v>2161.7435973661031</v>
      </c>
      <c r="K51" s="9">
        <f t="shared" ca="1" si="155"/>
        <v>3530.4369381085744</v>
      </c>
      <c r="L51" s="9">
        <f t="shared" ca="1" si="155"/>
        <v>4518.6046843340027</v>
      </c>
      <c r="M51" s="9">
        <f t="shared" ca="1" si="155"/>
        <v>6671.9987472260273</v>
      </c>
      <c r="N51" s="9">
        <f t="shared" ca="1" si="155"/>
        <v>7865.3458866773808</v>
      </c>
      <c r="O51" s="9">
        <f t="shared" ca="1" si="155"/>
        <v>9354.1355239022614</v>
      </c>
      <c r="P51" s="9">
        <f t="shared" ref="P51:Q51" ca="1" si="156">P39-P41</f>
        <v>11054.93630824964</v>
      </c>
      <c r="Q51" s="9">
        <f t="shared" ca="1" si="156"/>
        <v>13049.516837611634</v>
      </c>
      <c r="R51" s="54"/>
      <c r="S51" s="9">
        <v>2039.69</v>
      </c>
      <c r="T51" s="9">
        <v>3044.5360000000001</v>
      </c>
      <c r="U51" s="10">
        <v>778.78300137329097</v>
      </c>
    </row>
    <row r="52" spans="1:21" x14ac:dyDescent="0.3">
      <c r="A52" s="11" t="s">
        <v>50</v>
      </c>
      <c r="B52" s="11" t="s">
        <v>51</v>
      </c>
      <c r="C52" s="12">
        <f>C54+C55</f>
        <v>141.64000000000001</v>
      </c>
      <c r="D52" s="12">
        <f>D54+D55</f>
        <v>332.86499999999995</v>
      </c>
      <c r="E52" s="12">
        <f>E54+E55</f>
        <v>168.39499999999998</v>
      </c>
      <c r="F52" s="12">
        <f>F54+F55</f>
        <v>262.68</v>
      </c>
      <c r="G52" s="251">
        <f>G54+G55</f>
        <v>321.2</v>
      </c>
      <c r="H52" s="208">
        <f ca="1">H53*H51</f>
        <v>366.3292818501593</v>
      </c>
      <c r="I52" s="12">
        <f t="shared" ref="I52:O52" ca="1" si="157">I53*I51</f>
        <v>632.18196818343495</v>
      </c>
      <c r="J52" s="12">
        <f t="shared" ca="1" si="157"/>
        <v>864.69743894644125</v>
      </c>
      <c r="K52" s="12">
        <f t="shared" ca="1" si="157"/>
        <v>1412.1747752434298</v>
      </c>
      <c r="L52" s="12">
        <f t="shared" ca="1" si="157"/>
        <v>1807.4418737336011</v>
      </c>
      <c r="M52" s="12">
        <f t="shared" ca="1" si="157"/>
        <v>2668.7994988904111</v>
      </c>
      <c r="N52" s="12">
        <f t="shared" ca="1" si="157"/>
        <v>3146.1383546709526</v>
      </c>
      <c r="O52" s="12">
        <f t="shared" ca="1" si="157"/>
        <v>3741.6542095609047</v>
      </c>
      <c r="P52" s="12">
        <f t="shared" ref="P52:Q52" ca="1" si="158">P53*P51</f>
        <v>4421.9745232998566</v>
      </c>
      <c r="Q52" s="12">
        <f t="shared" ca="1" si="158"/>
        <v>5219.8067350446545</v>
      </c>
      <c r="R52" s="56"/>
      <c r="S52" s="12"/>
      <c r="T52" s="12"/>
      <c r="U52" s="13">
        <v>321.16800000000001</v>
      </c>
    </row>
    <row r="53" spans="1:21" x14ac:dyDescent="0.3">
      <c r="A53" s="48" t="s">
        <v>861</v>
      </c>
      <c r="B53" s="49"/>
      <c r="C53" s="53">
        <f>C52/C51</f>
        <v>-9.5493777802348634E-2</v>
      </c>
      <c r="D53" s="52">
        <f t="shared" ref="D53:G53" si="159">D52/D51</f>
        <v>-0.19406955755184285</v>
      </c>
      <c r="E53" s="52">
        <f t="shared" si="159"/>
        <v>-0.11222345659842202</v>
      </c>
      <c r="F53" s="52">
        <f t="shared" si="159"/>
        <v>0.60750149169507539</v>
      </c>
      <c r="G53" s="265">
        <f t="shared" si="159"/>
        <v>0.41243838142332234</v>
      </c>
      <c r="H53" s="214">
        <v>0.4</v>
      </c>
      <c r="I53" s="66">
        <v>0.4</v>
      </c>
      <c r="J53" s="66">
        <v>0.4</v>
      </c>
      <c r="K53" s="66">
        <v>0.4</v>
      </c>
      <c r="L53" s="66">
        <v>0.4</v>
      </c>
      <c r="M53" s="66">
        <v>0.4</v>
      </c>
      <c r="N53" s="66">
        <v>0.4</v>
      </c>
      <c r="O53" s="66">
        <v>0.4</v>
      </c>
      <c r="P53" s="66">
        <v>0.4</v>
      </c>
      <c r="Q53" s="66">
        <v>0.4</v>
      </c>
      <c r="R53" s="56"/>
      <c r="S53" s="12"/>
      <c r="T53" s="12"/>
      <c r="U53" s="13"/>
    </row>
    <row r="54" spans="1:21" x14ac:dyDescent="0.3">
      <c r="A54" s="11" t="s">
        <v>52</v>
      </c>
      <c r="B54" s="11" t="s">
        <v>53</v>
      </c>
      <c r="C54" s="12">
        <f>'Income - Actual'!C73</f>
        <v>169.09100000000001</v>
      </c>
      <c r="D54" s="12">
        <f>'Income - Actual'!D73</f>
        <v>333.84</v>
      </c>
      <c r="E54" s="12">
        <f>'Income - Actual'!E73</f>
        <v>308.94799999999998</v>
      </c>
      <c r="F54" s="12">
        <f>'Income - Actual'!F73</f>
        <v>357.23099999999999</v>
      </c>
      <c r="G54" s="251">
        <f>'Income - Actual'!G73</f>
        <v>321.2</v>
      </c>
      <c r="H54" s="197">
        <f ca="1">H52-H55</f>
        <v>366.3292818501593</v>
      </c>
      <c r="I54" s="56">
        <f t="shared" ref="I54:O54" ca="1" si="160">I52-I55</f>
        <v>632.18196818343495</v>
      </c>
      <c r="J54" s="56">
        <f t="shared" ca="1" si="160"/>
        <v>864.69743894644125</v>
      </c>
      <c r="K54" s="56">
        <f t="shared" ca="1" si="160"/>
        <v>1412.1747752434298</v>
      </c>
      <c r="L54" s="56">
        <f t="shared" ca="1" si="160"/>
        <v>1807.4418737336011</v>
      </c>
      <c r="M54" s="56">
        <f t="shared" ca="1" si="160"/>
        <v>2668.7994988904111</v>
      </c>
      <c r="N54" s="56">
        <f t="shared" ca="1" si="160"/>
        <v>3146.1383546709526</v>
      </c>
      <c r="O54" s="56">
        <f t="shared" ca="1" si="160"/>
        <v>3741.6542095609047</v>
      </c>
      <c r="P54" s="56">
        <f t="shared" ref="P54:Q54" ca="1" si="161">P52-P55</f>
        <v>4421.9745232998566</v>
      </c>
      <c r="Q54" s="56">
        <f t="shared" ca="1" si="161"/>
        <v>5219.8067350446545</v>
      </c>
      <c r="R54" s="56"/>
      <c r="S54" s="12"/>
      <c r="T54" s="12"/>
      <c r="U54" s="13"/>
    </row>
    <row r="55" spans="1:21" x14ac:dyDescent="0.3">
      <c r="A55" s="11" t="s">
        <v>54</v>
      </c>
      <c r="B55" s="11" t="s">
        <v>55</v>
      </c>
      <c r="C55" s="12">
        <f>'Income - Actual'!C74</f>
        <v>-27.451000000000001</v>
      </c>
      <c r="D55" s="12">
        <f>'Income - Actual'!D74</f>
        <v>-0.97499999999999998</v>
      </c>
      <c r="E55" s="12">
        <f>'Income - Actual'!E74</f>
        <v>-140.553</v>
      </c>
      <c r="F55" s="12">
        <f>'Income - Actual'!F74</f>
        <v>-94.551000000000002</v>
      </c>
      <c r="G55" s="251">
        <f>'Income - Actual'!G74</f>
        <v>0</v>
      </c>
      <c r="H55" s="197">
        <v>0</v>
      </c>
      <c r="I55" s="56">
        <v>0</v>
      </c>
      <c r="J55" s="56">
        <v>0</v>
      </c>
      <c r="K55" s="56">
        <v>0</v>
      </c>
      <c r="L55" s="56">
        <v>0</v>
      </c>
      <c r="M55" s="56">
        <v>0</v>
      </c>
      <c r="N55" s="56">
        <v>0</v>
      </c>
      <c r="O55" s="56">
        <v>0</v>
      </c>
      <c r="P55" s="56">
        <v>0</v>
      </c>
      <c r="Q55" s="56">
        <v>0</v>
      </c>
      <c r="R55" s="56"/>
      <c r="S55" s="12"/>
      <c r="T55" s="12"/>
      <c r="U55" s="13"/>
    </row>
    <row r="56" spans="1:21" x14ac:dyDescent="0.3">
      <c r="A56" s="11" t="s">
        <v>56</v>
      </c>
      <c r="B56" s="11" t="s">
        <v>57</v>
      </c>
      <c r="C56" s="12">
        <f>'Income - Actual'!C33</f>
        <v>-0.72099999999999997</v>
      </c>
      <c r="D56" s="12">
        <f>'Income - Actual'!D33</f>
        <v>-5.0190000000000001</v>
      </c>
      <c r="E56" s="12">
        <f>'Income - Actual'!E33</f>
        <v>-11.156000000000001</v>
      </c>
      <c r="F56" s="12">
        <f>'Income - Actual'!F33</f>
        <v>7.032</v>
      </c>
      <c r="G56" s="251">
        <f>'Income - Actual'!G33</f>
        <v>9.7880000000000003</v>
      </c>
      <c r="H56" s="213">
        <v>10</v>
      </c>
      <c r="I56" s="75">
        <v>10</v>
      </c>
      <c r="J56" s="75">
        <v>10</v>
      </c>
      <c r="K56" s="75">
        <v>10</v>
      </c>
      <c r="L56" s="75">
        <v>10</v>
      </c>
      <c r="M56" s="75">
        <v>10</v>
      </c>
      <c r="N56" s="75">
        <v>10</v>
      </c>
      <c r="O56" s="75">
        <v>10</v>
      </c>
      <c r="P56" s="75">
        <v>10</v>
      </c>
      <c r="Q56" s="75">
        <v>10</v>
      </c>
      <c r="R56" s="56"/>
      <c r="S56" s="12"/>
      <c r="T56" s="12"/>
      <c r="U56" s="13">
        <v>9.7880000000000003</v>
      </c>
    </row>
    <row r="57" spans="1:21" x14ac:dyDescent="0.3">
      <c r="A57" s="8" t="s">
        <v>58</v>
      </c>
      <c r="B57" s="8" t="s">
        <v>59</v>
      </c>
      <c r="C57" s="9">
        <f>C51-C52-C56</f>
        <v>-1624.1570000000004</v>
      </c>
      <c r="D57" s="9">
        <f>D51-D52-D56</f>
        <v>-2043.0299999999995</v>
      </c>
      <c r="E57" s="9">
        <f>E51-E52-E56</f>
        <v>-1657.7719999999999</v>
      </c>
      <c r="F57" s="9">
        <f>F51-F52-F56</f>
        <v>162.68199999999931</v>
      </c>
      <c r="G57" s="255">
        <f>G51-G52-G56</f>
        <v>447.79500000000183</v>
      </c>
      <c r="H57" s="207">
        <f t="shared" ref="H57:O57" ca="1" si="162">H51-H52-H56</f>
        <v>539.49392277523884</v>
      </c>
      <c r="I57" s="9">
        <f t="shared" ca="1" si="162"/>
        <v>938.27295227515242</v>
      </c>
      <c r="J57" s="9">
        <f t="shared" ca="1" si="162"/>
        <v>1287.0461584196619</v>
      </c>
      <c r="K57" s="9">
        <f t="shared" ca="1" si="162"/>
        <v>2108.2621628651445</v>
      </c>
      <c r="L57" s="9">
        <f t="shared" ca="1" si="162"/>
        <v>2701.1628106004018</v>
      </c>
      <c r="M57" s="9">
        <f t="shared" ca="1" si="162"/>
        <v>3993.1992483356162</v>
      </c>
      <c r="N57" s="9">
        <f t="shared" ca="1" si="162"/>
        <v>4709.2075320064287</v>
      </c>
      <c r="O57" s="9">
        <f t="shared" ca="1" si="162"/>
        <v>5602.4813143413567</v>
      </c>
      <c r="P57" s="9">
        <f t="shared" ref="P57:Q57" ca="1" si="163">P51-P52-P56</f>
        <v>6622.9617849497836</v>
      </c>
      <c r="Q57" s="9">
        <f t="shared" ca="1" si="163"/>
        <v>7819.7101025669799</v>
      </c>
      <c r="R57" s="54"/>
      <c r="S57" s="9">
        <v>1597.087</v>
      </c>
      <c r="T57" s="9">
        <v>2458.4090000000001</v>
      </c>
      <c r="U57" s="10">
        <v>447.827</v>
      </c>
    </row>
    <row r="58" spans="1:21" x14ac:dyDescent="0.3">
      <c r="A58" s="11" t="s">
        <v>60</v>
      </c>
      <c r="B58" s="11" t="s">
        <v>61</v>
      </c>
      <c r="C58" s="35">
        <f t="shared" ref="C58:D58" si="164">C59+C60</f>
        <v>0</v>
      </c>
      <c r="D58" s="35">
        <f t="shared" si="164"/>
        <v>0</v>
      </c>
      <c r="E58" s="35">
        <f>E59+E60</f>
        <v>0</v>
      </c>
      <c r="F58" s="35">
        <f t="shared" ref="F58:G58" si="165">F59+F60</f>
        <v>0</v>
      </c>
      <c r="G58" s="275">
        <f t="shared" si="165"/>
        <v>0</v>
      </c>
      <c r="H58" s="215">
        <f t="shared" ref="H58" si="166">H59+H60</f>
        <v>0</v>
      </c>
      <c r="I58" s="35">
        <f t="shared" ref="I58" si="167">I59+I60</f>
        <v>0</v>
      </c>
      <c r="J58" s="35">
        <f t="shared" ref="J58" si="168">J59+J60</f>
        <v>0</v>
      </c>
      <c r="K58" s="35">
        <f t="shared" ref="K58" si="169">K59+K60</f>
        <v>0</v>
      </c>
      <c r="L58" s="35">
        <f t="shared" ref="L58" si="170">L59+L60</f>
        <v>0</v>
      </c>
      <c r="M58" s="35">
        <f t="shared" ref="M58" si="171">M59+M60</f>
        <v>0</v>
      </c>
      <c r="N58" s="35">
        <f t="shared" ref="N58" si="172">N59+N60</f>
        <v>0</v>
      </c>
      <c r="O58" s="35">
        <f t="shared" ref="O58:Q58" si="173">O59+O60</f>
        <v>0</v>
      </c>
      <c r="P58" s="35">
        <f t="shared" si="173"/>
        <v>0</v>
      </c>
      <c r="Q58" s="35">
        <f t="shared" si="173"/>
        <v>0</v>
      </c>
      <c r="R58" s="56"/>
      <c r="S58" s="12"/>
      <c r="T58" s="12"/>
      <c r="U58" s="13">
        <v>0</v>
      </c>
    </row>
    <row r="59" spans="1:21" x14ac:dyDescent="0.3">
      <c r="A59" s="11" t="s">
        <v>62</v>
      </c>
      <c r="B59" s="11" t="s">
        <v>63</v>
      </c>
      <c r="C59" s="35">
        <v>0</v>
      </c>
      <c r="D59" s="35">
        <v>0</v>
      </c>
      <c r="E59" s="35">
        <v>0</v>
      </c>
      <c r="F59" s="35">
        <v>0</v>
      </c>
      <c r="G59" s="275">
        <v>0</v>
      </c>
      <c r="H59" s="215">
        <v>0</v>
      </c>
      <c r="I59" s="35">
        <v>0</v>
      </c>
      <c r="J59" s="35">
        <v>0</v>
      </c>
      <c r="K59" s="35">
        <v>0</v>
      </c>
      <c r="L59" s="35">
        <v>0</v>
      </c>
      <c r="M59" s="35">
        <v>0</v>
      </c>
      <c r="N59" s="35">
        <v>0</v>
      </c>
      <c r="O59" s="35">
        <v>0</v>
      </c>
      <c r="P59" s="35">
        <v>0</v>
      </c>
      <c r="Q59" s="35">
        <v>0</v>
      </c>
      <c r="R59" s="56"/>
      <c r="S59" s="12"/>
      <c r="T59" s="12"/>
      <c r="U59" s="13">
        <v>0</v>
      </c>
    </row>
    <row r="60" spans="1:21" x14ac:dyDescent="0.3">
      <c r="A60" s="11" t="s">
        <v>64</v>
      </c>
      <c r="B60" s="11" t="s">
        <v>65</v>
      </c>
      <c r="C60" s="35">
        <v>0</v>
      </c>
      <c r="D60" s="35">
        <v>0</v>
      </c>
      <c r="E60" s="35">
        <v>0</v>
      </c>
      <c r="F60" s="35">
        <v>0</v>
      </c>
      <c r="G60" s="275">
        <v>0</v>
      </c>
      <c r="H60" s="215">
        <v>0</v>
      </c>
      <c r="I60" s="35">
        <v>0</v>
      </c>
      <c r="J60" s="35">
        <v>0</v>
      </c>
      <c r="K60" s="35">
        <v>0</v>
      </c>
      <c r="L60" s="35">
        <v>0</v>
      </c>
      <c r="M60" s="35">
        <v>0</v>
      </c>
      <c r="N60" s="35">
        <v>0</v>
      </c>
      <c r="O60" s="35">
        <v>0</v>
      </c>
      <c r="P60" s="35">
        <v>0</v>
      </c>
      <c r="Q60" s="35">
        <v>0</v>
      </c>
      <c r="R60" s="56"/>
      <c r="S60" s="12"/>
      <c r="T60" s="12"/>
      <c r="U60" s="13">
        <v>0</v>
      </c>
    </row>
    <row r="61" spans="1:21" x14ac:dyDescent="0.3">
      <c r="A61" s="8" t="s">
        <v>66</v>
      </c>
      <c r="B61" s="8" t="s">
        <v>67</v>
      </c>
      <c r="C61" s="9">
        <f t="shared" ref="C61:D61" si="174">C57-C58</f>
        <v>-1624.1570000000004</v>
      </c>
      <c r="D61" s="9">
        <f t="shared" si="174"/>
        <v>-2043.0299999999995</v>
      </c>
      <c r="E61" s="9">
        <f>E57-E58</f>
        <v>-1657.7719999999999</v>
      </c>
      <c r="F61" s="9">
        <f t="shared" ref="F61:O61" si="175">F57-F58</f>
        <v>162.68199999999931</v>
      </c>
      <c r="G61" s="255">
        <f t="shared" si="175"/>
        <v>447.79500000000183</v>
      </c>
      <c r="H61" s="207">
        <f t="shared" ca="1" si="175"/>
        <v>539.49392277523884</v>
      </c>
      <c r="I61" s="9">
        <f t="shared" ca="1" si="175"/>
        <v>938.27295227515242</v>
      </c>
      <c r="J61" s="9">
        <f t="shared" ca="1" si="175"/>
        <v>1287.0461584196619</v>
      </c>
      <c r="K61" s="9">
        <f t="shared" ca="1" si="175"/>
        <v>2108.2621628651445</v>
      </c>
      <c r="L61" s="9">
        <f t="shared" ca="1" si="175"/>
        <v>2701.1628106004018</v>
      </c>
      <c r="M61" s="9">
        <f t="shared" ca="1" si="175"/>
        <v>3993.1992483356162</v>
      </c>
      <c r="N61" s="9">
        <f t="shared" ca="1" si="175"/>
        <v>4709.2075320064287</v>
      </c>
      <c r="O61" s="9">
        <f t="shared" ca="1" si="175"/>
        <v>5602.4813143413567</v>
      </c>
      <c r="P61" s="9">
        <f t="shared" ref="P61:Q61" ca="1" si="176">P57-P58</f>
        <v>6622.9617849497836</v>
      </c>
      <c r="Q61" s="9">
        <f t="shared" ca="1" si="176"/>
        <v>7819.7101025669799</v>
      </c>
      <c r="R61" s="54"/>
      <c r="S61" s="9"/>
      <c r="T61" s="9"/>
      <c r="U61" s="10">
        <v>447.827</v>
      </c>
    </row>
    <row r="62" spans="1:21" x14ac:dyDescent="0.3">
      <c r="A62" s="11" t="s">
        <v>68</v>
      </c>
      <c r="B62" s="11" t="s">
        <v>69</v>
      </c>
      <c r="C62" s="12">
        <f>'Income - Actual'!C35</f>
        <v>-6.101</v>
      </c>
      <c r="D62" s="12">
        <f>'Income - Actual'!D35</f>
        <v>3.7290000000000001</v>
      </c>
      <c r="E62" s="12">
        <f>'Income - Actual'!E35</f>
        <v>-6.351</v>
      </c>
      <c r="F62" s="12">
        <f>'Income - Actual'!F35</f>
        <v>11.956</v>
      </c>
      <c r="G62" s="251">
        <f>'Income - Actual'!G35</f>
        <v>3.5059999999999998</v>
      </c>
      <c r="H62" s="215">
        <v>4</v>
      </c>
      <c r="I62" s="35">
        <v>4</v>
      </c>
      <c r="J62" s="35">
        <v>4</v>
      </c>
      <c r="K62" s="35">
        <v>4</v>
      </c>
      <c r="L62" s="35">
        <v>4</v>
      </c>
      <c r="M62" s="35">
        <v>4</v>
      </c>
      <c r="N62" s="35">
        <v>4</v>
      </c>
      <c r="O62" s="35">
        <v>4</v>
      </c>
      <c r="P62" s="35">
        <v>4</v>
      </c>
      <c r="Q62" s="35">
        <v>4</v>
      </c>
      <c r="R62" s="56"/>
      <c r="S62" s="12"/>
      <c r="T62" s="12"/>
      <c r="U62" s="13"/>
    </row>
    <row r="63" spans="1:21" x14ac:dyDescent="0.3">
      <c r="A63" s="73" t="s">
        <v>70</v>
      </c>
      <c r="B63" s="73" t="s">
        <v>71</v>
      </c>
      <c r="C63" s="74">
        <f t="shared" ref="C63:D63" si="177">C61-C62</f>
        <v>-1618.0560000000003</v>
      </c>
      <c r="D63" s="74">
        <f t="shared" si="177"/>
        <v>-2046.7589999999996</v>
      </c>
      <c r="E63" s="74">
        <f>E61-E62</f>
        <v>-1651.4209999999998</v>
      </c>
      <c r="F63" s="74">
        <f t="shared" ref="F63:G63" si="178">F61-F62</f>
        <v>150.72599999999932</v>
      </c>
      <c r="G63" s="276">
        <f t="shared" si="178"/>
        <v>444.28900000000186</v>
      </c>
      <c r="H63" s="216">
        <f t="shared" ref="H63" ca="1" si="179">H61-H62</f>
        <v>535.49392277523884</v>
      </c>
      <c r="I63" s="74">
        <f t="shared" ref="I63" ca="1" si="180">I61-I62</f>
        <v>934.27295227515242</v>
      </c>
      <c r="J63" s="74">
        <f t="shared" ref="J63" ca="1" si="181">J61-J62</f>
        <v>1283.0461584196619</v>
      </c>
      <c r="K63" s="74">
        <f t="shared" ref="K63" ca="1" si="182">K61-K62</f>
        <v>2104.2621628651445</v>
      </c>
      <c r="L63" s="74">
        <f t="shared" ref="L63" ca="1" si="183">L61-L62</f>
        <v>2697.1628106004018</v>
      </c>
      <c r="M63" s="74">
        <f t="shared" ref="M63" ca="1" si="184">M61-M62</f>
        <v>3989.1992483356162</v>
      </c>
      <c r="N63" s="74">
        <f t="shared" ref="N63" ca="1" si="185">N61-N62</f>
        <v>4705.2075320064287</v>
      </c>
      <c r="O63" s="74">
        <f t="shared" ref="O63:Q63" ca="1" si="186">O61-O62</f>
        <v>5598.4813143413567</v>
      </c>
      <c r="P63" s="74">
        <f t="shared" ca="1" si="186"/>
        <v>6618.9617849497836</v>
      </c>
      <c r="Q63" s="74">
        <f t="shared" ca="1" si="186"/>
        <v>7815.7101025669799</v>
      </c>
      <c r="R63" s="54"/>
      <c r="S63" s="74">
        <v>1597.087</v>
      </c>
      <c r="T63" s="74">
        <v>2458.4090000000001</v>
      </c>
      <c r="U63" s="10">
        <v>442.36799999999999</v>
      </c>
    </row>
    <row r="64" spans="1:21" x14ac:dyDescent="0.3">
      <c r="A64" s="11" t="s">
        <v>72</v>
      </c>
      <c r="B64" s="11" t="s">
        <v>73</v>
      </c>
      <c r="C64" s="35">
        <v>0</v>
      </c>
      <c r="D64" s="35">
        <v>0</v>
      </c>
      <c r="E64" s="35">
        <v>0</v>
      </c>
      <c r="F64" s="35">
        <v>0</v>
      </c>
      <c r="G64" s="275">
        <v>0</v>
      </c>
      <c r="H64" s="215">
        <v>0</v>
      </c>
      <c r="I64" s="35">
        <v>0</v>
      </c>
      <c r="J64" s="35">
        <v>0</v>
      </c>
      <c r="K64" s="35">
        <v>0</v>
      </c>
      <c r="L64" s="35">
        <v>0</v>
      </c>
      <c r="M64" s="35">
        <v>0</v>
      </c>
      <c r="N64" s="35">
        <v>0</v>
      </c>
      <c r="O64" s="35">
        <v>0</v>
      </c>
      <c r="P64" s="35">
        <v>0</v>
      </c>
      <c r="Q64" s="35">
        <v>0</v>
      </c>
      <c r="R64" s="56"/>
      <c r="S64" s="12"/>
      <c r="T64" s="12"/>
      <c r="U64" s="13">
        <v>0</v>
      </c>
    </row>
    <row r="65" spans="1:21" x14ac:dyDescent="0.3">
      <c r="A65" s="11" t="s">
        <v>74</v>
      </c>
      <c r="B65" s="11" t="s">
        <v>75</v>
      </c>
      <c r="C65" s="35">
        <v>0</v>
      </c>
      <c r="D65" s="35">
        <v>0</v>
      </c>
      <c r="E65" s="35">
        <v>0</v>
      </c>
      <c r="F65" s="35">
        <v>0</v>
      </c>
      <c r="G65" s="275">
        <v>0</v>
      </c>
      <c r="H65" s="215">
        <v>0</v>
      </c>
      <c r="I65" s="35">
        <v>0</v>
      </c>
      <c r="J65" s="35">
        <v>0</v>
      </c>
      <c r="K65" s="35">
        <v>0</v>
      </c>
      <c r="L65" s="35">
        <v>0</v>
      </c>
      <c r="M65" s="35">
        <v>0</v>
      </c>
      <c r="N65" s="35">
        <v>0</v>
      </c>
      <c r="O65" s="35">
        <v>0</v>
      </c>
      <c r="P65" s="35">
        <v>0</v>
      </c>
      <c r="Q65" s="35">
        <v>0</v>
      </c>
      <c r="R65" s="56"/>
      <c r="S65" s="12"/>
      <c r="T65" s="12"/>
      <c r="U65" s="13">
        <v>0</v>
      </c>
    </row>
    <row r="66" spans="1:21" x14ac:dyDescent="0.3">
      <c r="A66" s="230" t="s">
        <v>76</v>
      </c>
      <c r="B66" s="230" t="s">
        <v>77</v>
      </c>
      <c r="C66" s="231">
        <f t="shared" ref="C66:D66" si="187">C63-C64-C65</f>
        <v>-1618.0560000000003</v>
      </c>
      <c r="D66" s="231">
        <f t="shared" si="187"/>
        <v>-2046.7589999999996</v>
      </c>
      <c r="E66" s="231">
        <f>E63-E64-E65</f>
        <v>-1651.4209999999998</v>
      </c>
      <c r="F66" s="231">
        <f t="shared" ref="F66:G66" si="188">F63-F64-F65</f>
        <v>150.72599999999932</v>
      </c>
      <c r="G66" s="277">
        <f t="shared" si="188"/>
        <v>444.28900000000186</v>
      </c>
      <c r="H66" s="217">
        <f t="shared" ref="H66" ca="1" si="189">H63-H64-H65</f>
        <v>535.49392277523884</v>
      </c>
      <c r="I66" s="231">
        <f t="shared" ref="I66" ca="1" si="190">I63-I64-I65</f>
        <v>934.27295227515242</v>
      </c>
      <c r="J66" s="231">
        <f t="shared" ref="J66" ca="1" si="191">J63-J64-J65</f>
        <v>1283.0461584196619</v>
      </c>
      <c r="K66" s="231">
        <f t="shared" ref="K66" ca="1" si="192">K63-K64-K65</f>
        <v>2104.2621628651445</v>
      </c>
      <c r="L66" s="231">
        <f t="shared" ref="L66" ca="1" si="193">L63-L64-L65</f>
        <v>2697.1628106004018</v>
      </c>
      <c r="M66" s="231">
        <f t="shared" ref="M66" ca="1" si="194">M63-M64-M65</f>
        <v>3989.1992483356162</v>
      </c>
      <c r="N66" s="231">
        <f t="shared" ref="N66" ca="1" si="195">N63-N64-N65</f>
        <v>4705.2075320064287</v>
      </c>
      <c r="O66" s="231">
        <f t="shared" ref="O66:Q66" ca="1" si="196">O63-O64-O65</f>
        <v>5598.4813143413567</v>
      </c>
      <c r="P66" s="231">
        <f t="shared" ca="1" si="196"/>
        <v>6618.9617849497836</v>
      </c>
      <c r="Q66" s="231">
        <f t="shared" ca="1" si="196"/>
        <v>7815.7101025669799</v>
      </c>
      <c r="R66" s="54"/>
      <c r="S66" s="9">
        <v>1597.087</v>
      </c>
      <c r="T66" s="9">
        <v>2458.4090000000001</v>
      </c>
      <c r="U66" s="10">
        <v>442.36799946594198</v>
      </c>
    </row>
    <row r="67" spans="1:21" x14ac:dyDescent="0.3">
      <c r="A67" s="8"/>
      <c r="B67" s="17"/>
      <c r="C67" s="17"/>
      <c r="D67" s="17"/>
      <c r="E67" s="17"/>
      <c r="F67" s="17"/>
      <c r="G67" s="250"/>
      <c r="H67" s="218"/>
      <c r="I67" s="58"/>
      <c r="J67" s="58"/>
      <c r="K67" s="58"/>
      <c r="L67" s="58"/>
      <c r="M67" s="58"/>
      <c r="N67" s="58"/>
      <c r="O67" s="58"/>
      <c r="P67" s="58"/>
      <c r="Q67" s="58"/>
      <c r="R67" s="58"/>
      <c r="S67" s="17"/>
      <c r="T67" s="17"/>
      <c r="U67" s="18"/>
    </row>
    <row r="68" spans="1:21" x14ac:dyDescent="0.3">
      <c r="A68" s="8" t="s">
        <v>78</v>
      </c>
      <c r="B68" s="8" t="s">
        <v>77</v>
      </c>
      <c r="C68" s="78">
        <f>C66+C69+C70</f>
        <v>-1626.8560000000002</v>
      </c>
      <c r="D68" s="78">
        <f t="shared" ref="D68:O68" si="197">D66+D69+D70</f>
        <v>-2008.9589999999996</v>
      </c>
      <c r="E68" s="78">
        <f t="shared" si="197"/>
        <v>-1290.1209999999999</v>
      </c>
      <c r="F68" s="78">
        <f t="shared" si="197"/>
        <v>265.71999999999935</v>
      </c>
      <c r="G68" s="278">
        <f t="shared" si="197"/>
        <v>616.59620000000189</v>
      </c>
      <c r="H68" s="219">
        <f t="shared" ca="1" si="197"/>
        <v>535.49392277523884</v>
      </c>
      <c r="I68" s="78">
        <f t="shared" ca="1" si="197"/>
        <v>934.27295227515242</v>
      </c>
      <c r="J68" s="78">
        <f t="shared" ca="1" si="197"/>
        <v>1283.0461584196619</v>
      </c>
      <c r="K68" s="78">
        <f t="shared" ca="1" si="197"/>
        <v>2104.2621628651445</v>
      </c>
      <c r="L68" s="78">
        <f t="shared" ca="1" si="197"/>
        <v>2697.1628106004018</v>
      </c>
      <c r="M68" s="78">
        <f t="shared" ca="1" si="197"/>
        <v>3989.1992483356162</v>
      </c>
      <c r="N68" s="78">
        <f t="shared" ca="1" si="197"/>
        <v>4705.2075320064287</v>
      </c>
      <c r="O68" s="78">
        <f t="shared" ca="1" si="197"/>
        <v>5598.4813143413567</v>
      </c>
      <c r="P68" s="78">
        <f t="shared" ref="P68:Q68" ca="1" si="198">P66+P69+P70</f>
        <v>6618.9617849497836</v>
      </c>
      <c r="Q68" s="78">
        <f t="shared" ca="1" si="198"/>
        <v>7815.7101025669799</v>
      </c>
      <c r="R68" s="54"/>
      <c r="S68" s="9">
        <v>2034.056</v>
      </c>
      <c r="T68" s="9">
        <v>2935.7649999999999</v>
      </c>
      <c r="U68" s="10">
        <v>618.66912973754904</v>
      </c>
    </row>
    <row r="69" spans="1:21" x14ac:dyDescent="0.3">
      <c r="A69" s="11" t="s">
        <v>79</v>
      </c>
      <c r="B69" s="11" t="s">
        <v>80</v>
      </c>
      <c r="C69" s="79">
        <v>-8.8000000000000007</v>
      </c>
      <c r="D69" s="79">
        <v>37.799999999999997</v>
      </c>
      <c r="E69" s="79">
        <v>361.3</v>
      </c>
      <c r="F69" s="41">
        <v>114.994</v>
      </c>
      <c r="G69" s="253">
        <v>172.30719999999999</v>
      </c>
      <c r="H69" s="215">
        <v>0</v>
      </c>
      <c r="I69" s="35">
        <v>0</v>
      </c>
      <c r="J69" s="35">
        <v>0</v>
      </c>
      <c r="K69" s="35">
        <v>0</v>
      </c>
      <c r="L69" s="35">
        <v>0</v>
      </c>
      <c r="M69" s="35">
        <v>0</v>
      </c>
      <c r="N69" s="35">
        <v>0</v>
      </c>
      <c r="O69" s="35">
        <v>0</v>
      </c>
      <c r="P69" s="35">
        <v>0</v>
      </c>
      <c r="Q69" s="35">
        <v>0</v>
      </c>
      <c r="R69" s="56"/>
      <c r="S69" s="12"/>
      <c r="T69" s="12"/>
      <c r="U69" s="13">
        <v>176.30113</v>
      </c>
    </row>
    <row r="70" spans="1:21" x14ac:dyDescent="0.3">
      <c r="A70" s="11" t="s">
        <v>81</v>
      </c>
      <c r="B70" s="11" t="s">
        <v>61</v>
      </c>
      <c r="C70" s="35">
        <v>0</v>
      </c>
      <c r="D70" s="35">
        <v>0</v>
      </c>
      <c r="E70" s="35">
        <v>0</v>
      </c>
      <c r="F70" s="35">
        <v>0</v>
      </c>
      <c r="G70" s="275">
        <v>0</v>
      </c>
      <c r="H70" s="215">
        <v>0</v>
      </c>
      <c r="I70" s="35">
        <v>0</v>
      </c>
      <c r="J70" s="35">
        <v>0</v>
      </c>
      <c r="K70" s="35">
        <v>0</v>
      </c>
      <c r="L70" s="35">
        <v>0</v>
      </c>
      <c r="M70" s="35">
        <v>0</v>
      </c>
      <c r="N70" s="35">
        <v>0</v>
      </c>
      <c r="O70" s="35">
        <v>0</v>
      </c>
      <c r="P70" s="35">
        <v>0</v>
      </c>
      <c r="Q70" s="35">
        <v>0</v>
      </c>
      <c r="R70" s="56"/>
      <c r="S70" s="12"/>
      <c r="T70" s="12"/>
      <c r="U70" s="13">
        <v>0</v>
      </c>
    </row>
    <row r="71" spans="1:21" x14ac:dyDescent="0.3">
      <c r="A71" s="8"/>
      <c r="B71" s="17"/>
      <c r="C71" s="17"/>
      <c r="D71" s="17"/>
      <c r="E71" s="17"/>
      <c r="F71" s="17"/>
      <c r="G71" s="250"/>
      <c r="H71" s="218"/>
      <c r="I71" s="58"/>
      <c r="J71" s="58"/>
      <c r="K71" s="58"/>
      <c r="L71" s="58"/>
      <c r="M71" s="58"/>
      <c r="N71" s="58"/>
      <c r="O71" s="58"/>
      <c r="P71" s="58"/>
      <c r="Q71" s="58"/>
      <c r="R71" s="58"/>
      <c r="S71" s="17"/>
      <c r="T71" s="17"/>
      <c r="U71" s="18"/>
    </row>
    <row r="72" spans="1:21" x14ac:dyDescent="0.3">
      <c r="A72" s="11" t="s">
        <v>82</v>
      </c>
      <c r="B72" s="11" t="s">
        <v>83</v>
      </c>
      <c r="C72" s="12">
        <f>'Income - Actual'!C61</f>
        <v>477.26488799999998</v>
      </c>
      <c r="D72" s="12">
        <f>'Income - Actual'!D61</f>
        <v>532.70579599999996</v>
      </c>
      <c r="E72" s="12">
        <f>'Income - Actual'!E61</f>
        <v>558.11990000000003</v>
      </c>
      <c r="F72" s="12">
        <f>'Income - Actual'!F61</f>
        <v>566.61279999999999</v>
      </c>
      <c r="G72" s="251">
        <f>'Income - Actual'!G61</f>
        <v>574.96630000000005</v>
      </c>
      <c r="H72" s="197">
        <f>G72+H73</f>
        <v>574.96630000000005</v>
      </c>
      <c r="I72" s="56">
        <f t="shared" ref="I72:O72" si="199">H72+I73</f>
        <v>574.96630000000005</v>
      </c>
      <c r="J72" s="56">
        <f t="shared" si="199"/>
        <v>574.96630000000005</v>
      </c>
      <c r="K72" s="56">
        <f t="shared" si="199"/>
        <v>574.96630000000005</v>
      </c>
      <c r="L72" s="56">
        <f t="shared" si="199"/>
        <v>574.96630000000005</v>
      </c>
      <c r="M72" s="56">
        <f t="shared" si="199"/>
        <v>574.96630000000005</v>
      </c>
      <c r="N72" s="56">
        <f t="shared" si="199"/>
        <v>574.96630000000005</v>
      </c>
      <c r="O72" s="56">
        <f t="shared" si="199"/>
        <v>574.96630000000005</v>
      </c>
      <c r="P72" s="56">
        <f t="shared" ref="P72" si="200">O72+P73</f>
        <v>574.96630000000005</v>
      </c>
      <c r="Q72" s="56">
        <f t="shared" ref="Q72" si="201">P72+Q73</f>
        <v>574.96630000000005</v>
      </c>
      <c r="R72" s="56"/>
      <c r="S72" s="12"/>
      <c r="T72" s="12"/>
      <c r="U72" s="13">
        <v>580.04645700000003</v>
      </c>
    </row>
    <row r="73" spans="1:21" x14ac:dyDescent="0.3">
      <c r="A73" s="80" t="s">
        <v>862</v>
      </c>
      <c r="B73" s="49"/>
      <c r="C73" s="50" t="s">
        <v>863</v>
      </c>
      <c r="D73" s="50" t="s">
        <v>863</v>
      </c>
      <c r="E73" s="50" t="s">
        <v>863</v>
      </c>
      <c r="F73" s="50" t="s">
        <v>863</v>
      </c>
      <c r="G73" s="252" t="s">
        <v>863</v>
      </c>
      <c r="H73" s="220">
        <v>0</v>
      </c>
      <c r="I73" s="51">
        <v>0</v>
      </c>
      <c r="J73" s="51">
        <v>0</v>
      </c>
      <c r="K73" s="51">
        <v>0</v>
      </c>
      <c r="L73" s="51">
        <v>0</v>
      </c>
      <c r="M73" s="51">
        <v>0</v>
      </c>
      <c r="N73" s="51">
        <v>0</v>
      </c>
      <c r="O73" s="51">
        <v>0</v>
      </c>
      <c r="P73" s="51">
        <v>0</v>
      </c>
      <c r="Q73" s="51">
        <v>0</v>
      </c>
      <c r="R73" s="56"/>
      <c r="S73" s="12"/>
      <c r="T73" s="12"/>
      <c r="U73" s="13"/>
    </row>
    <row r="74" spans="1:21" x14ac:dyDescent="0.3">
      <c r="A74" s="8" t="s">
        <v>84</v>
      </c>
      <c r="B74" s="8" t="s">
        <v>85</v>
      </c>
      <c r="C74" s="19">
        <f t="shared" ref="C74:D74" si="202">C63/C72</f>
        <v>-3.3902682570690184</v>
      </c>
      <c r="D74" s="19">
        <f t="shared" si="202"/>
        <v>-3.8421939753026448</v>
      </c>
      <c r="E74" s="19">
        <f>E63/E72</f>
        <v>-2.9589000499713407</v>
      </c>
      <c r="F74" s="19">
        <f t="shared" ref="F74:G74" si="203">F63/F72</f>
        <v>0.26601234564414944</v>
      </c>
      <c r="G74" s="279">
        <f t="shared" si="203"/>
        <v>0.77272180995651718</v>
      </c>
      <c r="H74" s="221">
        <f t="shared" ref="H74" ca="1" si="204">H63/H72</f>
        <v>0.93134836385234887</v>
      </c>
      <c r="I74" s="19">
        <f t="shared" ref="I74" ca="1" si="205">I63/I72</f>
        <v>1.6249177600063731</v>
      </c>
      <c r="J74" s="19">
        <f t="shared" ref="J74" ca="1" si="206">J63/J72</f>
        <v>2.2315154095460232</v>
      </c>
      <c r="K74" s="19">
        <f t="shared" ref="K74" ca="1" si="207">K63/K72</f>
        <v>3.6598008663553747</v>
      </c>
      <c r="L74" s="19">
        <f t="shared" ref="L74" ca="1" si="208">L63/L72</f>
        <v>4.6909928644520589</v>
      </c>
      <c r="M74" s="19">
        <f t="shared" ref="M74" ca="1" si="209">M63/M72</f>
        <v>6.9381444587893517</v>
      </c>
      <c r="N74" s="19">
        <f t="shared" ref="N74" ca="1" si="210">N63/N72</f>
        <v>8.1834492421667644</v>
      </c>
      <c r="O74" s="19">
        <f t="shared" ref="O74:Q74" ca="1" si="211">O63/O72</f>
        <v>9.7370599187141167</v>
      </c>
      <c r="P74" s="19">
        <f t="shared" ca="1" si="211"/>
        <v>11.511912585050259</v>
      </c>
      <c r="Q74" s="19">
        <f t="shared" ca="1" si="211"/>
        <v>13.593335996504456</v>
      </c>
      <c r="R74" s="59"/>
      <c r="S74" s="19">
        <v>2.6309999999999998</v>
      </c>
      <c r="T74" s="19">
        <v>3.8479999999999999</v>
      </c>
      <c r="U74" s="20">
        <v>0.77</v>
      </c>
    </row>
    <row r="75" spans="1:21" x14ac:dyDescent="0.3">
      <c r="A75" s="8" t="s">
        <v>86</v>
      </c>
      <c r="B75" s="8" t="s">
        <v>87</v>
      </c>
      <c r="C75" s="19">
        <f t="shared" ref="C75:D75" si="212">C66/C72</f>
        <v>-3.3902682570690184</v>
      </c>
      <c r="D75" s="19">
        <f t="shared" si="212"/>
        <v>-3.8421939753026448</v>
      </c>
      <c r="E75" s="19">
        <f>E66/E72</f>
        <v>-2.9589000499713407</v>
      </c>
      <c r="F75" s="19">
        <f t="shared" ref="F75:G75" si="213">F66/F72</f>
        <v>0.26601234564414944</v>
      </c>
      <c r="G75" s="279">
        <f t="shared" si="213"/>
        <v>0.77272180995651718</v>
      </c>
      <c r="H75" s="221">
        <f t="shared" ref="H75:O75" ca="1" si="214">H66/H72</f>
        <v>0.93134836385234887</v>
      </c>
      <c r="I75" s="19">
        <f t="shared" ca="1" si="214"/>
        <v>1.6249177600063731</v>
      </c>
      <c r="J75" s="19">
        <f t="shared" ca="1" si="214"/>
        <v>2.2315154095460232</v>
      </c>
      <c r="K75" s="19">
        <f t="shared" ca="1" si="214"/>
        <v>3.6598008663553747</v>
      </c>
      <c r="L75" s="19">
        <f t="shared" ca="1" si="214"/>
        <v>4.6909928644520589</v>
      </c>
      <c r="M75" s="19">
        <f t="shared" ca="1" si="214"/>
        <v>6.9381444587893517</v>
      </c>
      <c r="N75" s="19">
        <f t="shared" ca="1" si="214"/>
        <v>8.1834492421667644</v>
      </c>
      <c r="O75" s="19">
        <f t="shared" ca="1" si="214"/>
        <v>9.7370599187141167</v>
      </c>
      <c r="P75" s="19">
        <f t="shared" ref="P75:Q75" ca="1" si="215">P66/P72</f>
        <v>11.511912585050259</v>
      </c>
      <c r="Q75" s="19">
        <f t="shared" ca="1" si="215"/>
        <v>13.593335996504456</v>
      </c>
      <c r="R75" s="59"/>
      <c r="S75" s="19">
        <v>2.6309999999999998</v>
      </c>
      <c r="T75" s="19">
        <v>3.8479999999999999</v>
      </c>
      <c r="U75" s="20">
        <v>0.77</v>
      </c>
    </row>
    <row r="76" spans="1:21" x14ac:dyDescent="0.3">
      <c r="A76" s="8" t="s">
        <v>88</v>
      </c>
      <c r="B76" s="8" t="s">
        <v>89</v>
      </c>
      <c r="C76" s="81">
        <f t="shared" ref="C76:D76" si="216">C68/C72</f>
        <v>-3.4087066551604361</v>
      </c>
      <c r="D76" s="81">
        <f t="shared" si="216"/>
        <v>-3.7712354832347268</v>
      </c>
      <c r="E76" s="82">
        <f>E68/E72</f>
        <v>-2.3115481100028861</v>
      </c>
      <c r="F76" s="19">
        <f t="shared" ref="F76:G76" si="217">F68/F72</f>
        <v>0.46896222605631105</v>
      </c>
      <c r="G76" s="279">
        <f t="shared" si="217"/>
        <v>1.0724040695950385</v>
      </c>
      <c r="H76" s="221">
        <f t="shared" ref="H76:O76" ca="1" si="218">H68/H72</f>
        <v>0.93134836385234887</v>
      </c>
      <c r="I76" s="19">
        <f t="shared" ca="1" si="218"/>
        <v>1.6249177600063731</v>
      </c>
      <c r="J76" s="19">
        <f t="shared" ca="1" si="218"/>
        <v>2.2315154095460232</v>
      </c>
      <c r="K76" s="19">
        <f t="shared" ca="1" si="218"/>
        <v>3.6598008663553747</v>
      </c>
      <c r="L76" s="19">
        <f t="shared" ca="1" si="218"/>
        <v>4.6909928644520589</v>
      </c>
      <c r="M76" s="19">
        <f t="shared" ca="1" si="218"/>
        <v>6.9381444587893517</v>
      </c>
      <c r="N76" s="19">
        <f t="shared" ca="1" si="218"/>
        <v>8.1834492421667644</v>
      </c>
      <c r="O76" s="19">
        <f t="shared" ca="1" si="218"/>
        <v>9.7370599187141167</v>
      </c>
      <c r="P76" s="19">
        <f t="shared" ref="P76:Q76" ca="1" si="219">P68/P72</f>
        <v>11.511912585050259</v>
      </c>
      <c r="Q76" s="19">
        <f t="shared" ca="1" si="219"/>
        <v>13.593335996504456</v>
      </c>
      <c r="R76" s="59"/>
      <c r="S76" s="19">
        <v>3.5960000000000001</v>
      </c>
      <c r="T76" s="19">
        <v>5.0960000000000001</v>
      </c>
      <c r="U76" s="20">
        <v>1.074468</v>
      </c>
    </row>
    <row r="77" spans="1:21" x14ac:dyDescent="0.3">
      <c r="A77" s="8"/>
      <c r="B77" s="17"/>
      <c r="C77" s="17"/>
      <c r="D77" s="17"/>
      <c r="E77" s="17"/>
      <c r="F77" s="17"/>
      <c r="G77" s="250"/>
      <c r="H77" s="218"/>
      <c r="I77" s="58"/>
      <c r="J77" s="58"/>
      <c r="K77" s="58"/>
      <c r="L77" s="58"/>
      <c r="M77" s="58"/>
      <c r="N77" s="58"/>
      <c r="O77" s="58"/>
      <c r="P77" s="58"/>
      <c r="Q77" s="58"/>
      <c r="R77" s="58"/>
      <c r="S77" s="17"/>
      <c r="T77" s="17"/>
      <c r="U77" s="18"/>
    </row>
    <row r="78" spans="1:21" x14ac:dyDescent="0.3">
      <c r="A78" s="11" t="s">
        <v>90</v>
      </c>
      <c r="B78" s="11" t="s">
        <v>91</v>
      </c>
      <c r="C78" s="12">
        <f>'Income - Actual'!C63</f>
        <v>477.26488799999998</v>
      </c>
      <c r="D78" s="12">
        <f>'Income - Actual'!D63</f>
        <v>532.70579599999996</v>
      </c>
      <c r="E78" s="12">
        <f>'Income - Actual'!E63</f>
        <v>558.11990000000003</v>
      </c>
      <c r="F78" s="12">
        <v>594.40560000000005</v>
      </c>
      <c r="G78" s="251">
        <v>604.71400000000006</v>
      </c>
      <c r="H78" s="197">
        <f>G78+H73</f>
        <v>604.71400000000006</v>
      </c>
      <c r="I78" s="56">
        <f t="shared" ref="I78:O78" si="220">H78+I73</f>
        <v>604.71400000000006</v>
      </c>
      <c r="J78" s="56">
        <f t="shared" si="220"/>
        <v>604.71400000000006</v>
      </c>
      <c r="K78" s="56">
        <f t="shared" si="220"/>
        <v>604.71400000000006</v>
      </c>
      <c r="L78" s="56">
        <f t="shared" si="220"/>
        <v>604.71400000000006</v>
      </c>
      <c r="M78" s="56">
        <f t="shared" si="220"/>
        <v>604.71400000000006</v>
      </c>
      <c r="N78" s="56">
        <f t="shared" si="220"/>
        <v>604.71400000000006</v>
      </c>
      <c r="O78" s="56">
        <f t="shared" si="220"/>
        <v>604.71400000000006</v>
      </c>
      <c r="P78" s="56">
        <f t="shared" ref="P78" si="221">O78+P73</f>
        <v>604.71400000000006</v>
      </c>
      <c r="Q78" s="56">
        <f t="shared" ref="Q78" si="222">P78+Q73</f>
        <v>604.71400000000006</v>
      </c>
      <c r="R78" s="56"/>
      <c r="S78" s="12"/>
      <c r="T78" s="12"/>
      <c r="U78" s="13">
        <v>610.13677600000005</v>
      </c>
    </row>
    <row r="79" spans="1:21" x14ac:dyDescent="0.3">
      <c r="A79" s="8" t="s">
        <v>92</v>
      </c>
      <c r="B79" s="8" t="s">
        <v>93</v>
      </c>
      <c r="C79" s="19">
        <f t="shared" ref="C79:D79" si="223">C63/C78</f>
        <v>-3.3902682570690184</v>
      </c>
      <c r="D79" s="19">
        <f t="shared" si="223"/>
        <v>-3.8421939753026448</v>
      </c>
      <c r="E79" s="19">
        <f>E63/E78</f>
        <v>-2.9589000499713407</v>
      </c>
      <c r="F79" s="19">
        <v>0.25</v>
      </c>
      <c r="G79" s="279">
        <v>0.74</v>
      </c>
      <c r="H79" s="221">
        <v>0.74</v>
      </c>
      <c r="I79" s="19">
        <v>0.74</v>
      </c>
      <c r="J79" s="19">
        <v>0.74</v>
      </c>
      <c r="K79" s="19">
        <v>0.74</v>
      </c>
      <c r="L79" s="19">
        <v>0.74</v>
      </c>
      <c r="M79" s="19">
        <v>0.74</v>
      </c>
      <c r="N79" s="19">
        <v>0.74</v>
      </c>
      <c r="O79" s="19">
        <v>0.74</v>
      </c>
      <c r="P79" s="19">
        <v>0.74</v>
      </c>
      <c r="Q79" s="19">
        <v>0.74</v>
      </c>
      <c r="R79" s="59"/>
      <c r="S79" s="19">
        <v>2.6309999999999998</v>
      </c>
      <c r="T79" s="19">
        <v>3.8479999999999999</v>
      </c>
      <c r="U79" s="20">
        <v>0.73</v>
      </c>
    </row>
    <row r="80" spans="1:21" x14ac:dyDescent="0.3">
      <c r="A80" s="8" t="s">
        <v>94</v>
      </c>
      <c r="B80" s="8" t="s">
        <v>95</v>
      </c>
      <c r="C80" s="19">
        <f t="shared" ref="C80:D80" si="224">C66/C78</f>
        <v>-3.3902682570690184</v>
      </c>
      <c r="D80" s="19">
        <f t="shared" si="224"/>
        <v>-3.8421939753026448</v>
      </c>
      <c r="E80" s="19">
        <f>E66/E78</f>
        <v>-2.9589000499713407</v>
      </c>
      <c r="F80" s="19">
        <v>0.25</v>
      </c>
      <c r="G80" s="279">
        <v>0.74</v>
      </c>
      <c r="H80" s="221">
        <v>0.74</v>
      </c>
      <c r="I80" s="19">
        <v>0.74</v>
      </c>
      <c r="J80" s="19">
        <v>0.74</v>
      </c>
      <c r="K80" s="19">
        <v>0.74</v>
      </c>
      <c r="L80" s="19">
        <v>0.74</v>
      </c>
      <c r="M80" s="19">
        <v>0.74</v>
      </c>
      <c r="N80" s="19">
        <v>0.74</v>
      </c>
      <c r="O80" s="19">
        <v>0.74</v>
      </c>
      <c r="P80" s="19">
        <v>0.74</v>
      </c>
      <c r="Q80" s="19">
        <v>0.74</v>
      </c>
      <c r="R80" s="59"/>
      <c r="S80" s="19">
        <v>2.6309999999999998</v>
      </c>
      <c r="T80" s="19">
        <v>3.8479999999999999</v>
      </c>
      <c r="U80" s="20">
        <v>0.73</v>
      </c>
    </row>
    <row r="81" spans="1:22" x14ac:dyDescent="0.3">
      <c r="A81" s="45" t="s">
        <v>96</v>
      </c>
      <c r="B81" s="45" t="s">
        <v>97</v>
      </c>
      <c r="C81" s="232">
        <f t="shared" ref="C81:D81" si="225">C68/C78</f>
        <v>-3.4087066551604361</v>
      </c>
      <c r="D81" s="232">
        <f t="shared" si="225"/>
        <v>-3.7712354832347268</v>
      </c>
      <c r="E81" s="232">
        <f>E68/E78</f>
        <v>-2.3115481100028861</v>
      </c>
      <c r="F81" s="233">
        <v>0.44350000000000001</v>
      </c>
      <c r="G81" s="280">
        <v>1.0248999999999999</v>
      </c>
      <c r="H81" s="234">
        <v>1.0248999999999999</v>
      </c>
      <c r="I81" s="233">
        <v>1.0248999999999999</v>
      </c>
      <c r="J81" s="233">
        <v>1.0248999999999999</v>
      </c>
      <c r="K81" s="233">
        <v>1.0248999999999999</v>
      </c>
      <c r="L81" s="233">
        <v>1.0248999999999999</v>
      </c>
      <c r="M81" s="233">
        <v>1.0248999999999999</v>
      </c>
      <c r="N81" s="233">
        <v>1.0248999999999999</v>
      </c>
      <c r="O81" s="233">
        <v>1.0248999999999999</v>
      </c>
      <c r="P81" s="233">
        <v>1.0248999999999999</v>
      </c>
      <c r="Q81" s="233">
        <v>1.0248999999999999</v>
      </c>
      <c r="R81" s="59"/>
      <c r="S81" s="19">
        <v>3.5960000000000001</v>
      </c>
      <c r="T81" s="19">
        <v>5.0960000000000001</v>
      </c>
      <c r="U81" s="20">
        <v>1.0247809999999999</v>
      </c>
    </row>
    <row r="82" spans="1:22" x14ac:dyDescent="0.3">
      <c r="A82" s="8"/>
      <c r="B82" s="17"/>
      <c r="C82" s="17"/>
      <c r="D82" s="17"/>
      <c r="E82" s="17"/>
      <c r="F82" s="17"/>
      <c r="G82" s="250"/>
      <c r="H82" s="218"/>
      <c r="I82" s="58"/>
      <c r="J82" s="58"/>
      <c r="K82" s="58"/>
      <c r="L82" s="58"/>
      <c r="M82" s="58"/>
      <c r="N82" s="58"/>
      <c r="O82" s="58"/>
      <c r="P82" s="58"/>
      <c r="Q82" s="58"/>
      <c r="R82" s="58"/>
      <c r="S82" s="17"/>
      <c r="T82" s="17"/>
      <c r="U82" s="18"/>
    </row>
    <row r="83" spans="1:22" x14ac:dyDescent="0.3">
      <c r="A83" s="8" t="s">
        <v>98</v>
      </c>
      <c r="B83" s="17"/>
      <c r="C83" s="17"/>
      <c r="D83" s="17"/>
      <c r="E83" s="17"/>
      <c r="F83" s="17"/>
      <c r="G83" s="250"/>
      <c r="H83" s="218"/>
      <c r="I83" s="58"/>
      <c r="J83" s="58"/>
      <c r="K83" s="58"/>
      <c r="L83" s="58"/>
      <c r="M83" s="58"/>
      <c r="N83" s="58"/>
      <c r="O83" s="58"/>
      <c r="P83" s="58"/>
      <c r="Q83" s="58"/>
      <c r="R83" s="58"/>
      <c r="S83" s="17"/>
      <c r="T83" s="17"/>
      <c r="U83" s="18"/>
    </row>
    <row r="84" spans="1:22" x14ac:dyDescent="0.3">
      <c r="A84" s="11" t="s">
        <v>99</v>
      </c>
      <c r="B84" s="11" t="s">
        <v>100</v>
      </c>
      <c r="C84" s="21" t="s">
        <v>101</v>
      </c>
      <c r="D84" s="21" t="s">
        <v>101</v>
      </c>
      <c r="E84" s="21" t="s">
        <v>101</v>
      </c>
      <c r="F84" s="21" t="s">
        <v>101</v>
      </c>
      <c r="G84" s="281" t="s">
        <v>101</v>
      </c>
      <c r="H84" s="222"/>
      <c r="I84" s="60"/>
      <c r="J84" s="60"/>
      <c r="K84" s="60"/>
      <c r="L84" s="60"/>
      <c r="M84" s="60"/>
      <c r="N84" s="60"/>
      <c r="O84" s="60"/>
      <c r="P84" s="60"/>
      <c r="Q84" s="60"/>
      <c r="R84" s="60"/>
      <c r="S84" s="21"/>
      <c r="T84" s="21"/>
      <c r="U84" s="22"/>
    </row>
    <row r="85" spans="1:22" x14ac:dyDescent="0.3">
      <c r="A85" s="11" t="str">
        <f>'Income - Actual'!A55</f>
        <v>Depreciation and Amortization</v>
      </c>
      <c r="B85" s="11"/>
      <c r="C85" s="12">
        <f>'Income - Actual'!C55</f>
        <v>180.761</v>
      </c>
      <c r="D85" s="12">
        <f>'Income - Actual'!D55</f>
        <v>279.03199999999998</v>
      </c>
      <c r="E85" s="12">
        <f>'Income - Actual'!E55</f>
        <v>428.34399999999999</v>
      </c>
      <c r="F85" s="12">
        <f>'Income - Actual'!F55</f>
        <v>440.84500000000003</v>
      </c>
      <c r="G85" s="251">
        <f>'Income - Actual'!G55</f>
        <v>389.673</v>
      </c>
      <c r="H85" s="222"/>
      <c r="I85" s="60"/>
      <c r="J85" s="60"/>
      <c r="K85" s="60"/>
      <c r="L85" s="60"/>
      <c r="M85" s="60"/>
      <c r="N85" s="60"/>
      <c r="O85" s="60"/>
      <c r="P85" s="60"/>
      <c r="Q85" s="60"/>
      <c r="R85" s="60"/>
      <c r="S85" s="21"/>
      <c r="T85" s="21"/>
      <c r="U85" s="22"/>
    </row>
    <row r="86" spans="1:22" x14ac:dyDescent="0.3">
      <c r="A86" s="11" t="s">
        <v>293</v>
      </c>
      <c r="B86" s="11"/>
      <c r="C86" s="11"/>
      <c r="D86" s="11"/>
      <c r="E86" s="41">
        <v>257.36</v>
      </c>
      <c r="F86" s="41">
        <v>295.5</v>
      </c>
      <c r="G86" s="251"/>
      <c r="H86" s="222"/>
      <c r="I86" s="60"/>
      <c r="J86" s="60"/>
      <c r="K86" s="60"/>
      <c r="L86" s="60"/>
      <c r="M86" s="60"/>
      <c r="N86" s="60"/>
      <c r="O86" s="60"/>
      <c r="P86" s="60"/>
      <c r="Q86" s="60"/>
      <c r="R86" s="60"/>
      <c r="S86" s="21"/>
      <c r="T86" s="21"/>
      <c r="U86" s="22"/>
    </row>
    <row r="87" spans="1:22" x14ac:dyDescent="0.3">
      <c r="A87" s="11" t="s">
        <v>294</v>
      </c>
      <c r="B87" s="11" t="s">
        <v>102</v>
      </c>
      <c r="C87" s="12">
        <f>C90+C85+C86</f>
        <v>-1122.5640000000003</v>
      </c>
      <c r="D87" s="12">
        <f>D90+D85+D86</f>
        <v>-1304.0279999999996</v>
      </c>
      <c r="E87" s="12">
        <f>E90+E85+E86</f>
        <v>-801.80399999999975</v>
      </c>
      <c r="F87" s="12">
        <f>F90+F85+F86</f>
        <v>961.12299999999937</v>
      </c>
      <c r="G87" s="251">
        <f>G90+G85+G86</f>
        <v>1051.8250000000019</v>
      </c>
      <c r="H87" s="197"/>
      <c r="I87" s="56"/>
      <c r="J87" s="56"/>
      <c r="K87" s="56"/>
      <c r="L87" s="56"/>
      <c r="M87" s="56"/>
      <c r="N87" s="56"/>
      <c r="O87" s="56"/>
      <c r="P87" s="56"/>
      <c r="Q87" s="56"/>
      <c r="R87" s="56"/>
      <c r="S87" s="12">
        <v>2956.1</v>
      </c>
      <c r="T87" s="12">
        <v>4181.7370000000001</v>
      </c>
      <c r="U87" s="13">
        <v>1051.825</v>
      </c>
    </row>
    <row r="88" spans="1:22" x14ac:dyDescent="0.3">
      <c r="A88" s="11" t="s">
        <v>103</v>
      </c>
      <c r="B88" s="11" t="s">
        <v>104</v>
      </c>
      <c r="C88" s="42">
        <f>C87/C5</f>
        <v>-0.25654712061986484</v>
      </c>
      <c r="D88" s="42">
        <f>D87/D5</f>
        <v>-0.13098976513758145</v>
      </c>
      <c r="E88" s="42">
        <f>E87/E5</f>
        <v>-6.4403453736453981E-2</v>
      </c>
      <c r="F88" s="42">
        <f>F87/F5</f>
        <v>7.3572823946917942E-2</v>
      </c>
      <c r="G88" s="282">
        <f>G87/G5</f>
        <v>6.2534683688918916E-2</v>
      </c>
      <c r="H88" s="196"/>
      <c r="I88" s="61"/>
      <c r="J88" s="61"/>
      <c r="K88" s="61"/>
      <c r="L88" s="61"/>
      <c r="M88" s="61"/>
      <c r="N88" s="61"/>
      <c r="O88" s="61"/>
      <c r="P88" s="61"/>
      <c r="Q88" s="61"/>
      <c r="R88" s="61"/>
      <c r="S88" s="42">
        <f>S87/S5</f>
        <v>0.1409646884909754</v>
      </c>
      <c r="T88" s="42">
        <f>T87/T5</f>
        <v>0.16754994520427635</v>
      </c>
      <c r="U88" s="43">
        <f>U87/U5</f>
        <v>6.2534683688918805E-2</v>
      </c>
    </row>
    <row r="89" spans="1:22" x14ac:dyDescent="0.3">
      <c r="A89" s="11" t="s">
        <v>105</v>
      </c>
      <c r="B89" s="11" t="s">
        <v>105</v>
      </c>
      <c r="C89" s="11"/>
      <c r="D89" s="11"/>
      <c r="E89" s="11"/>
      <c r="F89" s="12">
        <v>548.88800000000003</v>
      </c>
      <c r="G89" s="251" t="s">
        <v>43</v>
      </c>
      <c r="H89" s="197"/>
      <c r="I89" s="56"/>
      <c r="J89" s="56"/>
      <c r="K89" s="56"/>
      <c r="L89" s="56"/>
      <c r="M89" s="56"/>
      <c r="N89" s="56"/>
      <c r="O89" s="56"/>
      <c r="P89" s="56"/>
      <c r="Q89" s="56"/>
      <c r="R89" s="56"/>
      <c r="S89" s="12"/>
      <c r="T89" s="12"/>
      <c r="U89" s="13"/>
      <c r="V89" s="31"/>
    </row>
    <row r="90" spans="1:22" x14ac:dyDescent="0.3">
      <c r="A90" s="11" t="s">
        <v>106</v>
      </c>
      <c r="B90" s="11" t="s">
        <v>106</v>
      </c>
      <c r="C90" s="40">
        <f t="shared" ref="C90:D90" si="226">C39</f>
        <v>-1303.3250000000003</v>
      </c>
      <c r="D90" s="40">
        <f t="shared" si="226"/>
        <v>-1583.0599999999995</v>
      </c>
      <c r="E90" s="40">
        <f>E39</f>
        <v>-1487.5079999999998</v>
      </c>
      <c r="F90" s="40">
        <f t="shared" ref="F90:G90" si="227">F39</f>
        <v>224.77799999999934</v>
      </c>
      <c r="G90" s="283">
        <f t="shared" si="227"/>
        <v>662.15200000000186</v>
      </c>
      <c r="H90" s="197"/>
      <c r="I90" s="56"/>
      <c r="J90" s="56"/>
      <c r="K90" s="56"/>
      <c r="L90" s="56"/>
      <c r="M90" s="56"/>
      <c r="N90" s="56"/>
      <c r="O90" s="56"/>
      <c r="P90" s="56"/>
      <c r="Q90" s="56"/>
      <c r="R90" s="56"/>
      <c r="S90" s="12">
        <v>1952.636</v>
      </c>
      <c r="T90" s="12">
        <v>3036.05</v>
      </c>
      <c r="U90" s="13">
        <v>662.15200000000004</v>
      </c>
      <c r="V90" s="31"/>
    </row>
    <row r="91" spans="1:22" x14ac:dyDescent="0.3">
      <c r="A91" s="11" t="s">
        <v>107</v>
      </c>
      <c r="B91" s="11" t="s">
        <v>108</v>
      </c>
      <c r="C91" s="42">
        <f>C24/C5</f>
        <v>0.30827435561779876</v>
      </c>
      <c r="D91" s="42">
        <f>D24/D5</f>
        <v>0.39132703645033401</v>
      </c>
      <c r="E91" s="42">
        <f>E24/E5</f>
        <v>0.41649798127746801</v>
      </c>
      <c r="F91" s="42">
        <f>F24/F5</f>
        <v>0.44655874815134622</v>
      </c>
      <c r="G91" s="282">
        <f>G24/G5</f>
        <v>0.42836774086071794</v>
      </c>
      <c r="H91" s="196"/>
      <c r="I91" s="61"/>
      <c r="J91" s="61"/>
      <c r="K91" s="61"/>
      <c r="L91" s="61"/>
      <c r="M91" s="61"/>
      <c r="N91" s="61"/>
      <c r="O91" s="61"/>
      <c r="P91" s="61"/>
      <c r="Q91" s="61"/>
      <c r="R91" s="61"/>
      <c r="S91" s="23"/>
      <c r="T91" s="23"/>
      <c r="U91" s="43">
        <f>U24/U5</f>
        <v>0.42836774393790111</v>
      </c>
      <c r="V91" s="31"/>
    </row>
    <row r="92" spans="1:22" x14ac:dyDescent="0.3">
      <c r="A92" s="11" t="s">
        <v>109</v>
      </c>
      <c r="B92" s="11" t="s">
        <v>110</v>
      </c>
      <c r="C92" s="42">
        <f>C39/C5</f>
        <v>-0.29785765086167504</v>
      </c>
      <c r="D92" s="42">
        <f>D39/D5</f>
        <v>-0.1590185621771156</v>
      </c>
      <c r="E92" s="42">
        <f>E39/E5</f>
        <v>-0.11948138530190071</v>
      </c>
      <c r="F92" s="42">
        <f>F39/F5</f>
        <v>1.720648888970536E-2</v>
      </c>
      <c r="G92" s="282">
        <f>G39/G5</f>
        <v>3.936725774153027E-2</v>
      </c>
      <c r="H92" s="196"/>
      <c r="I92" s="61"/>
      <c r="J92" s="61"/>
      <c r="K92" s="61"/>
      <c r="L92" s="61"/>
      <c r="M92" s="61"/>
      <c r="N92" s="61"/>
      <c r="O92" s="61"/>
      <c r="P92" s="61"/>
      <c r="Q92" s="61"/>
      <c r="R92" s="61"/>
      <c r="S92" s="23">
        <v>9.3113468920626605</v>
      </c>
      <c r="T92" s="23">
        <v>12.164562504467501</v>
      </c>
      <c r="U92" s="43">
        <f>U39/U5</f>
        <v>3.9367257741530159E-2</v>
      </c>
    </row>
    <row r="93" spans="1:22" x14ac:dyDescent="0.3">
      <c r="A93" s="11" t="s">
        <v>111</v>
      </c>
      <c r="B93" s="11" t="s">
        <v>112</v>
      </c>
      <c r="C93" s="42">
        <f>C63/C5</f>
        <v>-0.36978524859312789</v>
      </c>
      <c r="D93" s="42">
        <f>D63/D5</f>
        <v>-0.20559718096791718</v>
      </c>
      <c r="E93" s="42">
        <f>E63/E5</f>
        <v>-0.13264740007895767</v>
      </c>
      <c r="F93" s="42">
        <f>F63/F5</f>
        <v>1.1537896254925864E-2</v>
      </c>
      <c r="G93" s="282">
        <f>G63/G5</f>
        <v>2.6414538617608594E-2</v>
      </c>
      <c r="H93" s="196">
        <f ca="1">H66/H5</f>
        <v>2.5313384681859532E-2</v>
      </c>
      <c r="I93" s="196">
        <f t="shared" ref="I93:Q93" ca="1" si="228">I66/I5</f>
        <v>3.5257630160336652E-2</v>
      </c>
      <c r="J93" s="196">
        <f t="shared" ca="1" si="228"/>
        <v>3.9974701674033115E-2</v>
      </c>
      <c r="K93" s="196">
        <f t="shared" ca="1" si="228"/>
        <v>5.4096815437182276E-2</v>
      </c>
      <c r="L93" s="196">
        <f t="shared" ca="1" si="228"/>
        <v>5.8411248796207044E-2</v>
      </c>
      <c r="M93" s="196">
        <f t="shared" ca="1" si="228"/>
        <v>7.2896968195794803E-2</v>
      </c>
      <c r="N93" s="196">
        <f t="shared" ca="1" si="228"/>
        <v>7.4150450945218854E-2</v>
      </c>
      <c r="O93" s="196">
        <f t="shared" ca="1" si="228"/>
        <v>7.6085764399214981E-2</v>
      </c>
      <c r="P93" s="196">
        <f t="shared" ca="1" si="228"/>
        <v>7.7528329751788E-2</v>
      </c>
      <c r="Q93" s="196">
        <f t="shared" ca="1" si="228"/>
        <v>7.8855438740835546E-2</v>
      </c>
      <c r="R93" s="61"/>
      <c r="S93" s="23">
        <v>9.6996065902100597</v>
      </c>
      <c r="T93" s="23">
        <v>11.7627499023165</v>
      </c>
      <c r="U93" s="43">
        <f>U63/U5</f>
        <v>2.6300328433056477E-2</v>
      </c>
    </row>
    <row r="94" spans="1:22" x14ac:dyDescent="0.3">
      <c r="A94" s="11" t="s">
        <v>113</v>
      </c>
      <c r="B94" s="11" t="s">
        <v>114</v>
      </c>
      <c r="C94" s="11"/>
      <c r="D94" s="11"/>
      <c r="E94" s="12" t="s">
        <v>43</v>
      </c>
      <c r="F94" s="12" t="s">
        <v>43</v>
      </c>
      <c r="G94" s="251" t="s">
        <v>43</v>
      </c>
      <c r="H94" s="197"/>
      <c r="I94" s="56"/>
      <c r="J94" s="56"/>
      <c r="K94" s="56"/>
      <c r="L94" s="56"/>
      <c r="M94" s="56"/>
      <c r="N94" s="56"/>
      <c r="O94" s="56"/>
      <c r="P94" s="56"/>
      <c r="Q94" s="56"/>
      <c r="R94" s="56"/>
      <c r="S94" s="12">
        <v>2746.3119999999999</v>
      </c>
      <c r="T94" s="12">
        <v>3886.0360000000001</v>
      </c>
      <c r="U94" s="13"/>
    </row>
    <row r="95" spans="1:22" x14ac:dyDescent="0.3">
      <c r="A95" s="11" t="s">
        <v>115</v>
      </c>
      <c r="B95" s="11" t="s">
        <v>116</v>
      </c>
      <c r="C95" s="11"/>
      <c r="D95" s="11"/>
      <c r="E95" s="11"/>
      <c r="F95" s="23">
        <v>208350.23920000001</v>
      </c>
      <c r="G95" s="284" t="s">
        <v>43</v>
      </c>
      <c r="H95" s="198"/>
      <c r="I95" s="62"/>
      <c r="J95" s="62"/>
      <c r="K95" s="62"/>
      <c r="L95" s="62"/>
      <c r="M95" s="62"/>
      <c r="N95" s="62"/>
      <c r="O95" s="62"/>
      <c r="P95" s="62"/>
      <c r="Q95" s="62"/>
      <c r="R95" s="62"/>
      <c r="S95" s="23"/>
      <c r="T95" s="23"/>
      <c r="U95" s="24"/>
    </row>
    <row r="96" spans="1:22" x14ac:dyDescent="0.3">
      <c r="A96" s="11" t="s">
        <v>117</v>
      </c>
      <c r="B96" s="11" t="s">
        <v>118</v>
      </c>
      <c r="C96" s="11"/>
      <c r="D96" s="11"/>
      <c r="E96" s="11"/>
      <c r="F96" s="23">
        <v>0</v>
      </c>
      <c r="G96" s="284">
        <v>0</v>
      </c>
      <c r="H96" s="198"/>
      <c r="I96" s="62"/>
      <c r="J96" s="62"/>
      <c r="K96" s="62"/>
      <c r="L96" s="62"/>
      <c r="M96" s="62"/>
      <c r="N96" s="62"/>
      <c r="O96" s="62"/>
      <c r="P96" s="62"/>
      <c r="Q96" s="62"/>
      <c r="R96" s="62"/>
      <c r="S96" s="23">
        <v>0</v>
      </c>
      <c r="T96" s="23">
        <v>0</v>
      </c>
      <c r="U96" s="24">
        <v>0</v>
      </c>
    </row>
    <row r="97" spans="1:21" x14ac:dyDescent="0.3">
      <c r="A97" s="11" t="s">
        <v>119</v>
      </c>
      <c r="B97" s="11" t="s">
        <v>120</v>
      </c>
      <c r="C97" s="11"/>
      <c r="D97" s="11"/>
      <c r="E97" s="11"/>
      <c r="F97" s="12">
        <v>0</v>
      </c>
      <c r="G97" s="251">
        <v>0</v>
      </c>
      <c r="H97" s="197"/>
      <c r="I97" s="56"/>
      <c r="J97" s="56"/>
      <c r="K97" s="56"/>
      <c r="L97" s="56"/>
      <c r="M97" s="56"/>
      <c r="N97" s="56"/>
      <c r="O97" s="56"/>
      <c r="P97" s="56"/>
      <c r="Q97" s="56"/>
      <c r="R97" s="56"/>
      <c r="S97" s="12"/>
      <c r="T97" s="12"/>
      <c r="U97" s="13">
        <v>0</v>
      </c>
    </row>
    <row r="98" spans="1:21" x14ac:dyDescent="0.3">
      <c r="A98" s="11" t="s">
        <v>121</v>
      </c>
      <c r="B98" s="11" t="s">
        <v>122</v>
      </c>
      <c r="C98" s="11"/>
      <c r="D98" s="11"/>
      <c r="E98" s="11"/>
      <c r="F98" s="12">
        <v>412.23599999999999</v>
      </c>
      <c r="G98" s="251" t="s">
        <v>43</v>
      </c>
      <c r="H98" s="197"/>
      <c r="I98" s="56"/>
      <c r="J98" s="56"/>
      <c r="K98" s="56"/>
      <c r="L98" s="56"/>
      <c r="M98" s="56"/>
      <c r="N98" s="56"/>
      <c r="O98" s="56"/>
      <c r="P98" s="56"/>
      <c r="Q98" s="56"/>
      <c r="R98" s="56"/>
      <c r="S98" s="12"/>
      <c r="T98" s="12"/>
      <c r="U98" s="13"/>
    </row>
    <row r="99" spans="1:21" x14ac:dyDescent="0.3">
      <c r="A99" s="11" t="s">
        <v>123</v>
      </c>
      <c r="B99" s="11" t="s">
        <v>124</v>
      </c>
      <c r="C99" s="11"/>
      <c r="D99" s="11"/>
      <c r="E99" s="11"/>
      <c r="F99" s="12">
        <v>318.673</v>
      </c>
      <c r="G99" s="285" t="s">
        <v>43</v>
      </c>
      <c r="H99" s="197"/>
      <c r="I99" s="56"/>
      <c r="J99" s="56"/>
      <c r="K99" s="56"/>
      <c r="L99" s="56"/>
      <c r="M99" s="56"/>
      <c r="N99" s="56"/>
      <c r="O99" s="56"/>
      <c r="P99" s="56"/>
      <c r="Q99" s="56"/>
      <c r="R99" s="56"/>
      <c r="S99" s="12"/>
      <c r="T99" s="12"/>
      <c r="U99" s="13"/>
    </row>
    <row r="100" spans="1:21" x14ac:dyDescent="0.3">
      <c r="A100" s="25" t="s">
        <v>125</v>
      </c>
      <c r="B100" s="25"/>
      <c r="C100" s="25"/>
      <c r="D100" s="25"/>
      <c r="E100" s="25"/>
      <c r="F100" s="25" t="s">
        <v>126</v>
      </c>
      <c r="G100" s="25"/>
      <c r="H100" s="63"/>
      <c r="I100" s="63"/>
      <c r="J100" s="63"/>
      <c r="K100" s="63"/>
      <c r="L100" s="63"/>
      <c r="M100" s="63"/>
      <c r="N100" s="63"/>
      <c r="O100" s="63"/>
      <c r="P100" s="63"/>
      <c r="Q100" s="63"/>
      <c r="R100" s="63"/>
      <c r="S100" s="25"/>
      <c r="T100" s="25"/>
      <c r="U100" s="2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3BA21-1512-4FC8-96AA-A4B1DF87BE4F}">
  <sheetPr>
    <pageSetUpPr autoPageBreaks="0"/>
  </sheetPr>
  <dimension ref="A1:Q135"/>
  <sheetViews>
    <sheetView showGridLines="0" topLeftCell="A48" workbookViewId="0">
      <selection activeCell="A19" sqref="A19"/>
    </sheetView>
  </sheetViews>
  <sheetFormatPr defaultRowHeight="14.4" x14ac:dyDescent="0.3"/>
  <cols>
    <col min="1" max="1" width="47.6640625" bestFit="1" customWidth="1"/>
    <col min="2" max="2" width="0" hidden="1" customWidth="1"/>
    <col min="3" max="15" width="11.88671875" customWidth="1"/>
    <col min="16" max="17" width="10.109375" bestFit="1" customWidth="1"/>
  </cols>
  <sheetData>
    <row r="1" spans="1:17" ht="21" x14ac:dyDescent="0.3">
      <c r="A1" s="2" t="s">
        <v>947</v>
      </c>
      <c r="B1" s="2"/>
      <c r="C1" s="2"/>
      <c r="D1" s="2"/>
      <c r="E1" s="2"/>
      <c r="F1" s="2"/>
      <c r="G1" s="2"/>
      <c r="H1" s="2"/>
      <c r="I1" s="2"/>
      <c r="J1" s="2"/>
      <c r="K1" s="2"/>
      <c r="L1" s="2"/>
      <c r="M1" s="2"/>
      <c r="N1" s="2"/>
      <c r="O1" s="2"/>
      <c r="P1" s="2"/>
      <c r="Q1" s="2"/>
    </row>
    <row r="2" spans="1:17" x14ac:dyDescent="0.3">
      <c r="A2" s="3"/>
      <c r="B2" s="3"/>
      <c r="C2" s="3"/>
      <c r="D2" s="3"/>
      <c r="E2" s="3"/>
      <c r="F2" s="3"/>
      <c r="G2" s="3"/>
    </row>
    <row r="3" spans="1:17" x14ac:dyDescent="0.3">
      <c r="A3" s="4" t="s">
        <v>0</v>
      </c>
      <c r="B3" s="4"/>
      <c r="C3" s="5" t="s">
        <v>129</v>
      </c>
      <c r="D3" s="5" t="s">
        <v>130</v>
      </c>
      <c r="E3" s="5" t="s">
        <v>127</v>
      </c>
      <c r="F3" s="5" t="s">
        <v>1</v>
      </c>
      <c r="G3" s="248" t="s">
        <v>2</v>
      </c>
      <c r="H3" s="199">
        <v>2025</v>
      </c>
      <c r="I3" s="47">
        <f>H3+1</f>
        <v>2026</v>
      </c>
      <c r="J3" s="47">
        <f t="shared" ref="J3:O3" si="0">I3+1</f>
        <v>2027</v>
      </c>
      <c r="K3" s="47">
        <f t="shared" si="0"/>
        <v>2028</v>
      </c>
      <c r="L3" s="47">
        <f t="shared" si="0"/>
        <v>2029</v>
      </c>
      <c r="M3" s="47">
        <f t="shared" si="0"/>
        <v>2030</v>
      </c>
      <c r="N3" s="47">
        <f t="shared" si="0"/>
        <v>2031</v>
      </c>
      <c r="O3" s="47">
        <f t="shared" si="0"/>
        <v>2032</v>
      </c>
      <c r="P3" s="47">
        <f t="shared" ref="P3" si="1">O3+1</f>
        <v>2033</v>
      </c>
      <c r="Q3" s="47">
        <f t="shared" ref="Q3" si="2">P3+1</f>
        <v>2034</v>
      </c>
    </row>
    <row r="4" spans="1:17" x14ac:dyDescent="0.3">
      <c r="A4" s="6" t="s">
        <v>6</v>
      </c>
      <c r="B4" s="6"/>
      <c r="C4" s="7" t="s">
        <v>131</v>
      </c>
      <c r="D4" s="7" t="s">
        <v>132</v>
      </c>
      <c r="E4" s="7" t="s">
        <v>133</v>
      </c>
      <c r="F4" s="7" t="s">
        <v>7</v>
      </c>
      <c r="G4" s="249" t="s">
        <v>8</v>
      </c>
      <c r="H4" s="200" t="s">
        <v>9</v>
      </c>
      <c r="I4" s="7" t="s">
        <v>10</v>
      </c>
      <c r="J4" s="26">
        <v>46752</v>
      </c>
      <c r="K4" s="26">
        <v>47118</v>
      </c>
      <c r="L4" s="26">
        <v>47483</v>
      </c>
      <c r="M4" s="26">
        <v>47848</v>
      </c>
      <c r="N4" s="26">
        <v>48213</v>
      </c>
      <c r="O4" s="26">
        <v>48579</v>
      </c>
      <c r="P4" s="26">
        <v>48944</v>
      </c>
      <c r="Q4" s="26">
        <v>49309</v>
      </c>
    </row>
    <row r="5" spans="1:17" x14ac:dyDescent="0.3">
      <c r="A5" s="8" t="s">
        <v>336</v>
      </c>
      <c r="B5" s="17"/>
      <c r="C5" s="17"/>
      <c r="D5" s="17"/>
      <c r="E5" s="17"/>
      <c r="F5" s="17"/>
      <c r="G5" s="250"/>
      <c r="H5" s="236"/>
      <c r="I5" s="83"/>
      <c r="J5" s="83"/>
      <c r="K5" s="83"/>
      <c r="L5" s="83"/>
      <c r="M5" s="83"/>
      <c r="N5" s="83"/>
      <c r="O5" s="83"/>
      <c r="P5" s="83"/>
      <c r="Q5" s="83"/>
    </row>
    <row r="6" spans="1:17" x14ac:dyDescent="0.3">
      <c r="A6" s="11" t="s">
        <v>614</v>
      </c>
      <c r="B6" s="11" t="s">
        <v>615</v>
      </c>
      <c r="C6" s="12">
        <f>C7+C8</f>
        <v>6292.9790000000003</v>
      </c>
      <c r="D6" s="12">
        <f t="shared" ref="D6:G6" si="3">D7+D8</f>
        <v>10159.043000000001</v>
      </c>
      <c r="E6" s="12">
        <f t="shared" si="3"/>
        <v>6894.1170000000002</v>
      </c>
      <c r="F6" s="12">
        <f t="shared" si="3"/>
        <v>5358.7</v>
      </c>
      <c r="G6" s="251">
        <f t="shared" si="3"/>
        <v>8620.5759999999991</v>
      </c>
      <c r="H6" s="237">
        <f ca="1">H112-H52-H19-H18-H16-H13-H9</f>
        <v>11775.550345123062</v>
      </c>
      <c r="I6" s="86">
        <f t="shared" ref="I6:O6" ca="1" si="4">I112-I52-I19-I18-I16-I13-I9</f>
        <v>14390.745440022214</v>
      </c>
      <c r="J6" s="86">
        <f t="shared" ca="1" si="4"/>
        <v>17628.718701410722</v>
      </c>
      <c r="K6" s="86">
        <f t="shared" ca="1" si="4"/>
        <v>22171.613430437865</v>
      </c>
      <c r="L6" s="86">
        <f t="shared" ca="1" si="4"/>
        <v>27834.502968513345</v>
      </c>
      <c r="M6" s="86">
        <f t="shared" ca="1" si="4"/>
        <v>35471.68705559933</v>
      </c>
      <c r="N6" s="86">
        <f t="shared" ca="1" si="4"/>
        <v>44466.600272155076</v>
      </c>
      <c r="O6" s="86">
        <f t="shared" ca="1" si="4"/>
        <v>55108.648100746803</v>
      </c>
      <c r="P6" s="86">
        <f t="shared" ref="P6:Q6" ca="1" si="5">P112-P52-P19-P18-P16-P13-P9</f>
        <v>67613.083431537001</v>
      </c>
      <c r="Q6" s="86">
        <f t="shared" ca="1" si="5"/>
        <v>82306.772404337418</v>
      </c>
    </row>
    <row r="7" spans="1:17" x14ac:dyDescent="0.3">
      <c r="A7" s="11" t="s">
        <v>616</v>
      </c>
      <c r="B7" s="11" t="s">
        <v>617</v>
      </c>
      <c r="C7" s="12">
        <f>'Balance Sheet - Actual'!C7</f>
        <v>6166.88</v>
      </c>
      <c r="D7" s="12">
        <f>'Balance Sheet - Actual'!D7</f>
        <v>9247.7620000000006</v>
      </c>
      <c r="E7" s="12">
        <f>'Balance Sheet - Actual'!E7</f>
        <v>6029.8590000000004</v>
      </c>
      <c r="F7" s="12">
        <f>'Balance Sheet - Actual'!F7</f>
        <v>2811.056</v>
      </c>
      <c r="G7" s="251">
        <f>'Balance Sheet - Actual'!G7</f>
        <v>2405.1529999999998</v>
      </c>
      <c r="H7" s="238"/>
      <c r="I7" s="84"/>
      <c r="J7" s="84"/>
      <c r="K7" s="84"/>
      <c r="L7" s="84"/>
      <c r="M7" s="84"/>
      <c r="N7" s="84"/>
      <c r="O7" s="84"/>
      <c r="P7" s="84"/>
      <c r="Q7" s="84"/>
    </row>
    <row r="8" spans="1:17" x14ac:dyDescent="0.3">
      <c r="A8" s="11" t="s">
        <v>618</v>
      </c>
      <c r="B8" s="11" t="s">
        <v>619</v>
      </c>
      <c r="C8" s="12">
        <f>'Balance Sheet - Actual'!C13</f>
        <v>126.099</v>
      </c>
      <c r="D8" s="12">
        <f>'Balance Sheet - Actual'!D13</f>
        <v>911.28099999999995</v>
      </c>
      <c r="E8" s="12">
        <f>'Balance Sheet - Actual'!E13</f>
        <v>864.25800000000004</v>
      </c>
      <c r="F8" s="12">
        <f>'Balance Sheet - Actual'!F13</f>
        <v>2547.6439999999998</v>
      </c>
      <c r="G8" s="251">
        <f>'Balance Sheet - Actual'!G13</f>
        <v>6215.4229999999998</v>
      </c>
      <c r="H8" s="238"/>
      <c r="I8" s="84"/>
      <c r="J8" s="84"/>
      <c r="K8" s="84"/>
      <c r="L8" s="84"/>
      <c r="M8" s="84"/>
      <c r="N8" s="84"/>
      <c r="O8" s="84"/>
      <c r="P8" s="84"/>
      <c r="Q8" s="84"/>
    </row>
    <row r="9" spans="1:17" x14ac:dyDescent="0.3">
      <c r="A9" s="11" t="s">
        <v>620</v>
      </c>
      <c r="B9" s="11" t="s">
        <v>621</v>
      </c>
      <c r="C9" s="12">
        <f>C10+C12</f>
        <v>362.99900000000002</v>
      </c>
      <c r="D9" s="12">
        <f t="shared" ref="D9:O9" si="6">D10+D12</f>
        <v>388.30799999999999</v>
      </c>
      <c r="E9" s="12">
        <f t="shared" si="6"/>
        <v>268.81400000000002</v>
      </c>
      <c r="F9" s="12">
        <f t="shared" si="6"/>
        <v>262.71600000000001</v>
      </c>
      <c r="G9" s="251">
        <f t="shared" si="6"/>
        <v>306.65699999999998</v>
      </c>
      <c r="H9" s="208">
        <f t="shared" si="6"/>
        <v>405.70419931011145</v>
      </c>
      <c r="I9" s="12">
        <f t="shared" si="6"/>
        <v>508.18967091120879</v>
      </c>
      <c r="J9" s="12">
        <f t="shared" si="6"/>
        <v>615.548425668547</v>
      </c>
      <c r="K9" s="12">
        <f t="shared" si="6"/>
        <v>745.99054281381234</v>
      </c>
      <c r="L9" s="12">
        <f t="shared" si="6"/>
        <v>885.55562725219374</v>
      </c>
      <c r="M9" s="12">
        <f t="shared" si="6"/>
        <v>1049.4975711264774</v>
      </c>
      <c r="N9" s="12">
        <f t="shared" si="6"/>
        <v>1216.9427916880911</v>
      </c>
      <c r="O9" s="12">
        <f t="shared" si="6"/>
        <v>1411.1461670048679</v>
      </c>
      <c r="P9" s="12">
        <f t="shared" ref="P9:Q9" si="7">P10+P12</f>
        <v>1637.3239761829864</v>
      </c>
      <c r="Q9" s="12">
        <f t="shared" si="7"/>
        <v>1900.8242567362706</v>
      </c>
    </row>
    <row r="10" spans="1:17" x14ac:dyDescent="0.3">
      <c r="A10" s="11" t="s">
        <v>622</v>
      </c>
      <c r="B10" s="11" t="s">
        <v>623</v>
      </c>
      <c r="C10" s="12">
        <f>'Balance Sheet - Actual'!C8</f>
        <v>362.99900000000002</v>
      </c>
      <c r="D10" s="12">
        <f>'Balance Sheet - Actual'!D8</f>
        <v>388.30799999999999</v>
      </c>
      <c r="E10" s="12">
        <f>'Balance Sheet - Actual'!E8</f>
        <v>268.81400000000002</v>
      </c>
      <c r="F10" s="12">
        <f>'Balance Sheet - Actual'!F8</f>
        <v>262.71600000000001</v>
      </c>
      <c r="G10" s="251">
        <f>'Balance Sheet - Actual'!G8</f>
        <v>306.65699999999998</v>
      </c>
      <c r="H10" s="237">
        <f t="shared" ref="H10:O10" si="8">H11*H116/365</f>
        <v>405.70419931011145</v>
      </c>
      <c r="I10" s="86">
        <f t="shared" si="8"/>
        <v>508.18967091120879</v>
      </c>
      <c r="J10" s="86">
        <f t="shared" si="8"/>
        <v>615.548425668547</v>
      </c>
      <c r="K10" s="86">
        <f t="shared" si="8"/>
        <v>745.99054281381234</v>
      </c>
      <c r="L10" s="86">
        <f t="shared" si="8"/>
        <v>885.55562725219374</v>
      </c>
      <c r="M10" s="86">
        <f t="shared" si="8"/>
        <v>1049.4975711264774</v>
      </c>
      <c r="N10" s="86">
        <f t="shared" si="8"/>
        <v>1216.9427916880911</v>
      </c>
      <c r="O10" s="86">
        <f t="shared" si="8"/>
        <v>1411.1461670048679</v>
      </c>
      <c r="P10" s="86">
        <f t="shared" ref="P10:Q10" si="9">P11*P116/365</f>
        <v>1637.3239761829864</v>
      </c>
      <c r="Q10" s="86">
        <f t="shared" si="9"/>
        <v>1900.8242567362706</v>
      </c>
    </row>
    <row r="11" spans="1:17" x14ac:dyDescent="0.3">
      <c r="A11" s="80" t="s">
        <v>864</v>
      </c>
      <c r="B11" s="49"/>
      <c r="C11" s="50">
        <f>C10/C116*365</f>
        <v>30.279892377476887</v>
      </c>
      <c r="D11" s="50">
        <f>D10/D116*365</f>
        <v>14.237038168030946</v>
      </c>
      <c r="E11" s="50">
        <f>E10/E116*365</f>
        <v>7.8810791099066213</v>
      </c>
      <c r="F11" s="50">
        <f>F10/F116*365</f>
        <v>7.3403681691667515</v>
      </c>
      <c r="G11" s="252">
        <f>G10/G116*365</f>
        <v>6.6546193055283549</v>
      </c>
      <c r="H11" s="239">
        <v>7</v>
      </c>
      <c r="I11" s="50">
        <v>7</v>
      </c>
      <c r="J11" s="50">
        <v>7</v>
      </c>
      <c r="K11" s="50">
        <v>7</v>
      </c>
      <c r="L11" s="50">
        <v>7</v>
      </c>
      <c r="M11" s="50">
        <v>7</v>
      </c>
      <c r="N11" s="50">
        <v>7</v>
      </c>
      <c r="O11" s="50">
        <v>7</v>
      </c>
      <c r="P11" s="50">
        <v>7</v>
      </c>
      <c r="Q11" s="50">
        <v>7</v>
      </c>
    </row>
    <row r="12" spans="1:17" x14ac:dyDescent="0.3">
      <c r="A12" s="11" t="s">
        <v>624</v>
      </c>
      <c r="B12" s="11" t="s">
        <v>625</v>
      </c>
      <c r="C12" s="41">
        <v>0</v>
      </c>
      <c r="D12" s="41">
        <v>0</v>
      </c>
      <c r="E12" s="41">
        <v>0</v>
      </c>
      <c r="F12" s="41">
        <v>0</v>
      </c>
      <c r="G12" s="253">
        <v>0</v>
      </c>
      <c r="H12" s="240">
        <v>0</v>
      </c>
      <c r="I12" s="87">
        <v>0</v>
      </c>
      <c r="J12" s="87">
        <v>0</v>
      </c>
      <c r="K12" s="87">
        <v>0</v>
      </c>
      <c r="L12" s="87">
        <v>0</v>
      </c>
      <c r="M12" s="87">
        <v>0</v>
      </c>
      <c r="N12" s="87">
        <v>0</v>
      </c>
      <c r="O12" s="87">
        <v>0</v>
      </c>
      <c r="P12" s="87">
        <v>0</v>
      </c>
      <c r="Q12" s="87">
        <v>0</v>
      </c>
    </row>
    <row r="13" spans="1:17" x14ac:dyDescent="0.3">
      <c r="A13" s="11" t="s">
        <v>626</v>
      </c>
      <c r="B13" s="11" t="s">
        <v>627</v>
      </c>
      <c r="C13" s="12">
        <f>'Balance Sheet - Actual'!C9</f>
        <v>64.218999999999994</v>
      </c>
      <c r="D13" s="12">
        <f>'Balance Sheet - Actual'!D9</f>
        <v>117.499</v>
      </c>
      <c r="E13" s="12">
        <f>'Balance Sheet - Actual'!E9</f>
        <v>109.66800000000001</v>
      </c>
      <c r="F13" s="12">
        <f>'Balance Sheet - Actual'!F9</f>
        <v>125.395</v>
      </c>
      <c r="G13" s="251">
        <f>'Balance Sheet - Actual'!G9</f>
        <v>143.24600000000001</v>
      </c>
      <c r="H13" s="237">
        <f t="shared" ref="H13:O13" si="10">H14*H117/365</f>
        <v>194.59750625893491</v>
      </c>
      <c r="I13" s="86">
        <f t="shared" si="10"/>
        <v>243.72687702488005</v>
      </c>
      <c r="J13" s="86">
        <f t="shared" si="10"/>
        <v>294.92224463936714</v>
      </c>
      <c r="K13" s="86">
        <f t="shared" si="10"/>
        <v>343.83305968569272</v>
      </c>
      <c r="L13" s="86">
        <f t="shared" si="10"/>
        <v>407.9333538244091</v>
      </c>
      <c r="M13" s="86">
        <f t="shared" si="10"/>
        <v>463.16995346026931</v>
      </c>
      <c r="N13" s="86">
        <f t="shared" si="10"/>
        <v>536.75712526221741</v>
      </c>
      <c r="O13" s="86">
        <f t="shared" si="10"/>
        <v>621.76860210054429</v>
      </c>
      <c r="P13" s="86">
        <f t="shared" ref="P13:Q13" si="11">P14*P117/365</f>
        <v>720.67758248010284</v>
      </c>
      <c r="Q13" s="86">
        <f t="shared" si="11"/>
        <v>835.7964085604433</v>
      </c>
    </row>
    <row r="14" spans="1:17" x14ac:dyDescent="0.3">
      <c r="A14" s="80" t="s">
        <v>866</v>
      </c>
      <c r="B14" s="49"/>
      <c r="C14" s="50">
        <f>C13/C117*365</f>
        <v>7.7442356659383842</v>
      </c>
      <c r="D14" s="50">
        <f>D13/D117*365</f>
        <v>7.0777215112580256</v>
      </c>
      <c r="E14" s="50">
        <f>E13/E117*365</f>
        <v>5.5102507726692318</v>
      </c>
      <c r="F14" s="50">
        <f>F13/F117*365</f>
        <v>6.3305291502124579</v>
      </c>
      <c r="G14" s="252">
        <f>G13/G117*365</f>
        <v>5.4379612300980851</v>
      </c>
      <c r="H14" s="239">
        <v>6</v>
      </c>
      <c r="I14" s="50">
        <v>6</v>
      </c>
      <c r="J14" s="50">
        <v>6</v>
      </c>
      <c r="K14" s="50">
        <v>6</v>
      </c>
      <c r="L14" s="50">
        <v>6</v>
      </c>
      <c r="M14" s="50">
        <v>6</v>
      </c>
      <c r="N14" s="50">
        <v>6</v>
      </c>
      <c r="O14" s="50">
        <v>6</v>
      </c>
      <c r="P14" s="50">
        <v>6</v>
      </c>
      <c r="Q14" s="50">
        <v>6</v>
      </c>
    </row>
    <row r="15" spans="1:17" x14ac:dyDescent="0.3">
      <c r="A15" s="11" t="s">
        <v>628</v>
      </c>
      <c r="B15" s="11" t="s">
        <v>629</v>
      </c>
      <c r="C15" s="12">
        <f>C16+C18+C19</f>
        <v>2218.8069999999998</v>
      </c>
      <c r="D15" s="12">
        <f t="shared" ref="D15:O15" si="12">D16+D18+D19</f>
        <v>4470.5470000000005</v>
      </c>
      <c r="E15" s="12">
        <f t="shared" si="12"/>
        <v>5415.4129999999996</v>
      </c>
      <c r="F15" s="12">
        <f t="shared" si="12"/>
        <v>6027.1229999999996</v>
      </c>
      <c r="G15" s="251">
        <f t="shared" si="12"/>
        <v>7787.1890000000003</v>
      </c>
      <c r="H15" s="208">
        <f t="shared" si="12"/>
        <v>9573.017324400771</v>
      </c>
      <c r="I15" s="12">
        <f t="shared" si="12"/>
        <v>11865.579177025496</v>
      </c>
      <c r="J15" s="12">
        <f t="shared" si="12"/>
        <v>14300.537356061417</v>
      </c>
      <c r="K15" s="12">
        <f t="shared" si="12"/>
        <v>17295.605394701233</v>
      </c>
      <c r="L15" s="12">
        <f t="shared" si="12"/>
        <v>20452.172170889909</v>
      </c>
      <c r="M15" s="12">
        <f t="shared" si="12"/>
        <v>24242.052502482806</v>
      </c>
      <c r="N15" s="12">
        <f t="shared" si="12"/>
        <v>28120.135760386831</v>
      </c>
      <c r="O15" s="12">
        <f t="shared" si="12"/>
        <v>32598.049006844522</v>
      </c>
      <c r="P15" s="12">
        <f t="shared" ref="P15:Q15" si="13">P16+P18+P19</f>
        <v>37825.635182444865</v>
      </c>
      <c r="Q15" s="12">
        <f t="shared" si="13"/>
        <v>43915.192518702243</v>
      </c>
    </row>
    <row r="16" spans="1:17" x14ac:dyDescent="0.3">
      <c r="A16" s="11" t="s">
        <v>630</v>
      </c>
      <c r="B16" s="11" t="s">
        <v>631</v>
      </c>
      <c r="C16" s="12">
        <f>'Balance Sheet - Actual'!C10</f>
        <v>1054.229</v>
      </c>
      <c r="D16" s="12">
        <f>'Balance Sheet - Actual'!D10</f>
        <v>1401.8630000000001</v>
      </c>
      <c r="E16" s="12">
        <f>'Balance Sheet - Actual'!E10</f>
        <v>1798.6510000000001</v>
      </c>
      <c r="F16" s="12">
        <f>'Balance Sheet - Actual'!F10</f>
        <v>1861.8420000000001</v>
      </c>
      <c r="G16" s="251">
        <f>'Balance Sheet - Actual'!G10</f>
        <v>1661.373</v>
      </c>
      <c r="H16" s="237">
        <f t="shared" ref="H16:O16" si="14">H17*H118</f>
        <v>2168.9156869912376</v>
      </c>
      <c r="I16" s="86">
        <f t="shared" si="14"/>
        <v>2591.1176828959365</v>
      </c>
      <c r="J16" s="86">
        <f t="shared" si="14"/>
        <v>3066.7785876104344</v>
      </c>
      <c r="K16" s="86">
        <f t="shared" si="14"/>
        <v>3681.2779883491608</v>
      </c>
      <c r="L16" s="86">
        <f t="shared" si="14"/>
        <v>4290.7819735373751</v>
      </c>
      <c r="M16" s="86">
        <f t="shared" si="14"/>
        <v>5088.721829424594</v>
      </c>
      <c r="N16" s="86">
        <f t="shared" si="14"/>
        <v>5910.9298120791691</v>
      </c>
      <c r="O16" s="86">
        <f t="shared" si="14"/>
        <v>6844.6314590056818</v>
      </c>
      <c r="P16" s="86">
        <f t="shared" ref="P16:Q16" si="15">P17*P118</f>
        <v>7944.4726171053626</v>
      </c>
      <c r="Q16" s="86">
        <f t="shared" si="15"/>
        <v>9225.1498332653027</v>
      </c>
    </row>
    <row r="17" spans="1:17" x14ac:dyDescent="0.3">
      <c r="A17" s="80" t="s">
        <v>868</v>
      </c>
      <c r="B17" s="49"/>
      <c r="C17" s="53">
        <f>C16/C118</f>
        <v>0.43373539083865131</v>
      </c>
      <c r="D17" s="53">
        <f>D16/D118</f>
        <v>0.29098717185758671</v>
      </c>
      <c r="E17" s="53">
        <f>E16/E118</f>
        <v>0.382135978847782</v>
      </c>
      <c r="F17" s="53">
        <f>F16/F118</f>
        <v>0.47569422886922075</v>
      </c>
      <c r="G17" s="254">
        <f>G16/G118</f>
        <v>0.35047164875816178</v>
      </c>
      <c r="H17" s="241">
        <v>0.35</v>
      </c>
      <c r="I17" s="53">
        <v>0.35</v>
      </c>
      <c r="J17" s="53">
        <v>0.35</v>
      </c>
      <c r="K17" s="53">
        <v>0.35</v>
      </c>
      <c r="L17" s="53">
        <v>0.35</v>
      </c>
      <c r="M17" s="53">
        <v>0.35</v>
      </c>
      <c r="N17" s="53">
        <v>0.35</v>
      </c>
      <c r="O17" s="53">
        <v>0.35</v>
      </c>
      <c r="P17" s="53">
        <v>0.35</v>
      </c>
      <c r="Q17" s="53">
        <v>0.35</v>
      </c>
    </row>
    <row r="18" spans="1:17" x14ac:dyDescent="0.3">
      <c r="A18" s="11" t="s">
        <v>632</v>
      </c>
      <c r="B18" s="11" t="s">
        <v>633</v>
      </c>
      <c r="C18" s="41">
        <v>0</v>
      </c>
      <c r="D18" s="41">
        <v>0</v>
      </c>
      <c r="E18" s="41">
        <v>0</v>
      </c>
      <c r="F18" s="41">
        <v>0</v>
      </c>
      <c r="G18" s="253">
        <v>0</v>
      </c>
      <c r="H18" s="242">
        <v>0</v>
      </c>
      <c r="I18" s="41">
        <v>0</v>
      </c>
      <c r="J18" s="41">
        <v>0</v>
      </c>
      <c r="K18" s="41">
        <v>0</v>
      </c>
      <c r="L18" s="41">
        <v>0</v>
      </c>
      <c r="M18" s="41">
        <v>0</v>
      </c>
      <c r="N18" s="41">
        <v>0</v>
      </c>
      <c r="O18" s="41">
        <v>0</v>
      </c>
      <c r="P18" s="41">
        <v>0</v>
      </c>
      <c r="Q18" s="41">
        <v>0</v>
      </c>
    </row>
    <row r="19" spans="1:17" x14ac:dyDescent="0.3">
      <c r="A19" s="11" t="s">
        <v>634</v>
      </c>
      <c r="B19" s="11" t="s">
        <v>635</v>
      </c>
      <c r="C19" s="12">
        <f>'Balance Sheet - Actual'!C11+'Balance Sheet - Actual'!C14+'Balance Sheet - Actual'!C15</f>
        <v>1164.578</v>
      </c>
      <c r="D19" s="12">
        <f>'Balance Sheet - Actual'!D11+'Balance Sheet - Actual'!D14+'Balance Sheet - Actual'!D15</f>
        <v>3068.6840000000002</v>
      </c>
      <c r="E19" s="12">
        <f>'Balance Sheet - Actual'!E11+'Balance Sheet - Actual'!E14+'Balance Sheet - Actual'!E15</f>
        <v>3616.7619999999997</v>
      </c>
      <c r="F19" s="12">
        <f>'Balance Sheet - Actual'!F11+'Balance Sheet - Actual'!F14+'Balance Sheet - Actual'!F15</f>
        <v>4165.2809999999999</v>
      </c>
      <c r="G19" s="251">
        <f>'Balance Sheet - Actual'!G11+'Balance Sheet - Actual'!G14+'Balance Sheet - Actual'!G15</f>
        <v>6125.8160000000007</v>
      </c>
      <c r="H19" s="237">
        <f t="shared" ref="H19:O19" si="16">H20*H116</f>
        <v>7404.1016374095343</v>
      </c>
      <c r="I19" s="86">
        <f t="shared" si="16"/>
        <v>9274.4614941295604</v>
      </c>
      <c r="J19" s="86">
        <f t="shared" si="16"/>
        <v>11233.758768450982</v>
      </c>
      <c r="K19" s="86">
        <f t="shared" si="16"/>
        <v>13614.327406352073</v>
      </c>
      <c r="L19" s="86">
        <f t="shared" si="16"/>
        <v>16161.390197352534</v>
      </c>
      <c r="M19" s="86">
        <f t="shared" si="16"/>
        <v>19153.330673058212</v>
      </c>
      <c r="N19" s="86">
        <f t="shared" si="16"/>
        <v>22209.205948307663</v>
      </c>
      <c r="O19" s="86">
        <f t="shared" si="16"/>
        <v>25753.417547838839</v>
      </c>
      <c r="P19" s="86">
        <f t="shared" ref="P19:Q19" si="17">P20*P116</f>
        <v>29881.162565339502</v>
      </c>
      <c r="Q19" s="86">
        <f t="shared" si="17"/>
        <v>34690.042685436936</v>
      </c>
    </row>
    <row r="20" spans="1:17" x14ac:dyDescent="0.3">
      <c r="A20" s="80" t="s">
        <v>859</v>
      </c>
      <c r="B20" s="49"/>
      <c r="C20" s="53">
        <f>C19/C116</f>
        <v>0.26614886334965393</v>
      </c>
      <c r="D20" s="53">
        <f>D19/D116</f>
        <v>0.30824966675673693</v>
      </c>
      <c r="E20" s="53">
        <f>E19/E116</f>
        <v>0.29050985545440633</v>
      </c>
      <c r="F20" s="53">
        <f>F19/F116</f>
        <v>0.31884731267740191</v>
      </c>
      <c r="G20" s="254">
        <f>G19/G116</f>
        <v>0.36420123679938948</v>
      </c>
      <c r="H20" s="243">
        <v>0.35</v>
      </c>
      <c r="I20" s="89">
        <v>0.35</v>
      </c>
      <c r="J20" s="89">
        <v>0.35</v>
      </c>
      <c r="K20" s="89">
        <v>0.35</v>
      </c>
      <c r="L20" s="89">
        <v>0.35</v>
      </c>
      <c r="M20" s="89">
        <v>0.35</v>
      </c>
      <c r="N20" s="89">
        <v>0.35</v>
      </c>
      <c r="O20" s="89">
        <v>0.35</v>
      </c>
      <c r="P20" s="89">
        <v>0.35</v>
      </c>
      <c r="Q20" s="89">
        <v>0.35</v>
      </c>
    </row>
    <row r="21" spans="1:17" x14ac:dyDescent="0.3">
      <c r="A21" s="8" t="s">
        <v>315</v>
      </c>
      <c r="B21" s="8" t="s">
        <v>636</v>
      </c>
      <c r="C21" s="9">
        <f t="shared" ref="C21:O21" si="18">C15+C13+C9+C6</f>
        <v>8939.0040000000008</v>
      </c>
      <c r="D21" s="9">
        <f t="shared" si="18"/>
        <v>15135.397000000001</v>
      </c>
      <c r="E21" s="9">
        <f t="shared" si="18"/>
        <v>12688.011999999999</v>
      </c>
      <c r="F21" s="9">
        <f t="shared" si="18"/>
        <v>11773.934000000001</v>
      </c>
      <c r="G21" s="255">
        <f t="shared" si="18"/>
        <v>16857.667999999998</v>
      </c>
      <c r="H21" s="207">
        <f t="shared" ca="1" si="18"/>
        <v>21948.86937509288</v>
      </c>
      <c r="I21" s="9">
        <f t="shared" ca="1" si="18"/>
        <v>27008.241164983796</v>
      </c>
      <c r="J21" s="9">
        <f t="shared" ca="1" si="18"/>
        <v>32839.726727780057</v>
      </c>
      <c r="K21" s="9">
        <f t="shared" ca="1" si="18"/>
        <v>40557.042427638604</v>
      </c>
      <c r="L21" s="9">
        <f t="shared" ca="1" si="18"/>
        <v>49580.164120479858</v>
      </c>
      <c r="M21" s="9">
        <f t="shared" ca="1" si="18"/>
        <v>61226.407082668884</v>
      </c>
      <c r="N21" s="9">
        <f t="shared" ca="1" si="18"/>
        <v>74340.43594949221</v>
      </c>
      <c r="O21" s="9">
        <f t="shared" ca="1" si="18"/>
        <v>89739.611876696727</v>
      </c>
      <c r="P21" s="9">
        <f t="shared" ref="P21:Q21" ca="1" si="19">P15+P13+P9+P6</f>
        <v>107796.72017264496</v>
      </c>
      <c r="Q21" s="9">
        <f t="shared" ca="1" si="19"/>
        <v>128958.58558833637</v>
      </c>
    </row>
    <row r="22" spans="1:17" x14ac:dyDescent="0.3">
      <c r="A22" s="34" t="s">
        <v>874</v>
      </c>
      <c r="B22" s="34" t="s">
        <v>637</v>
      </c>
      <c r="C22" s="39">
        <f>C24+C29-C33</f>
        <v>426.17399999999998</v>
      </c>
      <c r="D22" s="39">
        <f t="shared" ref="D22:O22" si="20">D24+D29-D33</f>
        <v>1082.48</v>
      </c>
      <c r="E22" s="39">
        <f t="shared" si="20"/>
        <v>1452.9140000000002</v>
      </c>
      <c r="F22" s="39">
        <f t="shared" si="20"/>
        <v>1258.5189999999998</v>
      </c>
      <c r="G22" s="256">
        <f>'Balance Sheet - Actual'!G19+'Balance Sheet - Actual'!G22</f>
        <v>1125.009</v>
      </c>
      <c r="H22" s="211">
        <f t="shared" si="20"/>
        <v>1175.5019482445723</v>
      </c>
      <c r="I22" s="39">
        <f t="shared" si="20"/>
        <v>1320.5439560067457</v>
      </c>
      <c r="J22" s="39">
        <f t="shared" si="20"/>
        <v>1532.3790975114439</v>
      </c>
      <c r="K22" s="39">
        <f t="shared" si="20"/>
        <v>1812.9060577635623</v>
      </c>
      <c r="L22" s="39">
        <f t="shared" si="20"/>
        <v>2148.0723493874684</v>
      </c>
      <c r="M22" s="39">
        <f t="shared" si="20"/>
        <v>2545.446867485347</v>
      </c>
      <c r="N22" s="39">
        <f t="shared" si="20"/>
        <v>2987.0928207639354</v>
      </c>
      <c r="O22" s="39">
        <f t="shared" si="20"/>
        <v>3486.8153863668895</v>
      </c>
      <c r="P22" s="39">
        <f t="shared" ref="P22:Q22" si="21">P24+P29-P33</f>
        <v>4059.2997550588479</v>
      </c>
      <c r="Q22" s="39">
        <f t="shared" si="21"/>
        <v>4719.9474019144654</v>
      </c>
    </row>
    <row r="23" spans="1:17" x14ac:dyDescent="0.3">
      <c r="A23" s="34" t="s">
        <v>877</v>
      </c>
      <c r="B23" s="34"/>
      <c r="C23" s="39">
        <f>'Balance Sheet - Actual'!C19</f>
        <v>386.40100000000001</v>
      </c>
      <c r="D23" s="39">
        <f>'Balance Sheet - Actual'!D19</f>
        <v>1029.963</v>
      </c>
      <c r="E23" s="39">
        <f>'Balance Sheet - Actual'!E19</f>
        <v>1387.895</v>
      </c>
      <c r="F23" s="39">
        <f>'Balance Sheet - Actual'!F19</f>
        <v>1207.6980000000001</v>
      </c>
      <c r="G23" s="256">
        <f>'Balance Sheet - Actual'!G19</f>
        <v>1097.6990000000001</v>
      </c>
      <c r="H23" s="238"/>
      <c r="I23" s="84"/>
      <c r="J23" s="84"/>
      <c r="K23" s="84"/>
      <c r="L23" s="84"/>
      <c r="M23" s="84"/>
      <c r="N23" s="84"/>
      <c r="O23" s="84"/>
      <c r="P23" s="84"/>
      <c r="Q23" s="84"/>
    </row>
    <row r="24" spans="1:17" x14ac:dyDescent="0.3">
      <c r="A24" s="109" t="s">
        <v>878</v>
      </c>
      <c r="B24" s="34" t="s">
        <v>638</v>
      </c>
      <c r="C24" s="39">
        <v>755.00699999999995</v>
      </c>
      <c r="D24" s="39">
        <v>1629.913</v>
      </c>
      <c r="E24" s="39">
        <v>2323.6790000000001</v>
      </c>
      <c r="F24" s="39">
        <v>2457.069</v>
      </c>
      <c r="G24" s="256">
        <f>F24+G25</f>
        <v>2692.5471240000002</v>
      </c>
      <c r="H24" s="211">
        <f>G24+H25</f>
        <v>3115.6386461376878</v>
      </c>
      <c r="I24" s="39">
        <f t="shared" ref="I24:O24" si="22">H24+I25</f>
        <v>3645.6078743736625</v>
      </c>
      <c r="J24" s="39">
        <f t="shared" si="22"/>
        <v>4287.5369468565759</v>
      </c>
      <c r="K24" s="39">
        <f t="shared" si="22"/>
        <v>5065.4985129338374</v>
      </c>
      <c r="L24" s="39">
        <f t="shared" si="22"/>
        <v>5989.006524211125</v>
      </c>
      <c r="M24" s="39">
        <f t="shared" si="22"/>
        <v>7083.4825626715938</v>
      </c>
      <c r="N24" s="39">
        <f t="shared" si="22"/>
        <v>8352.5800454320324</v>
      </c>
      <c r="O24" s="39">
        <f t="shared" si="22"/>
        <v>9824.2039053085373</v>
      </c>
      <c r="P24" s="39">
        <f t="shared" ref="P24" si="23">O24+P25</f>
        <v>11531.698909042223</v>
      </c>
      <c r="Q24" s="39">
        <f t="shared" ref="Q24" si="24">P24+Q25</f>
        <v>13513.987062495762</v>
      </c>
    </row>
    <row r="25" spans="1:17" x14ac:dyDescent="0.3">
      <c r="A25" s="93" t="s">
        <v>873</v>
      </c>
      <c r="B25" s="34"/>
      <c r="C25" s="39"/>
      <c r="D25" s="94">
        <v>769.92500000000007</v>
      </c>
      <c r="E25" s="94">
        <v>799.50800000000004</v>
      </c>
      <c r="F25" s="94">
        <v>178.82</v>
      </c>
      <c r="G25" s="257">
        <f>G26*G116</f>
        <v>235.47812400000004</v>
      </c>
      <c r="H25" s="237">
        <f t="shared" ref="H25:O25" si="25">H26*H$116</f>
        <v>423.09152213768772</v>
      </c>
      <c r="I25" s="86">
        <f t="shared" si="25"/>
        <v>529.96922823597492</v>
      </c>
      <c r="J25" s="86">
        <f t="shared" si="25"/>
        <v>641.92907248291328</v>
      </c>
      <c r="K25" s="86">
        <f t="shared" si="25"/>
        <v>777.96156607726141</v>
      </c>
      <c r="L25" s="86">
        <f t="shared" si="25"/>
        <v>923.50801127728778</v>
      </c>
      <c r="M25" s="86">
        <f t="shared" si="25"/>
        <v>1094.4760384604692</v>
      </c>
      <c r="N25" s="86">
        <f t="shared" si="25"/>
        <v>1269.097482760438</v>
      </c>
      <c r="O25" s="86">
        <f t="shared" si="25"/>
        <v>1471.6238598765051</v>
      </c>
      <c r="P25" s="86">
        <f t="shared" ref="P25:Q25" si="26">P26*P$116</f>
        <v>1707.495003733686</v>
      </c>
      <c r="Q25" s="86">
        <f t="shared" si="26"/>
        <v>1982.2881534535395</v>
      </c>
    </row>
    <row r="26" spans="1:17" x14ac:dyDescent="0.3">
      <c r="A26" s="80" t="s">
        <v>859</v>
      </c>
      <c r="B26" s="49"/>
      <c r="C26" s="53"/>
      <c r="D26" s="53">
        <f>D25/D116</f>
        <v>7.7339056311331075E-2</v>
      </c>
      <c r="E26" s="53">
        <f>E25/E116</f>
        <v>6.4219031695931753E-2</v>
      </c>
      <c r="F26" s="53">
        <f>F25/F116</f>
        <v>1.3688458582499717E-2</v>
      </c>
      <c r="G26" s="254">
        <v>1.4E-2</v>
      </c>
      <c r="H26" s="243">
        <v>0.02</v>
      </c>
      <c r="I26" s="89">
        <v>0.02</v>
      </c>
      <c r="J26" s="89">
        <v>0.02</v>
      </c>
      <c r="K26" s="89">
        <v>0.02</v>
      </c>
      <c r="L26" s="89">
        <v>0.02</v>
      </c>
      <c r="M26" s="89">
        <v>0.02</v>
      </c>
      <c r="N26" s="89">
        <v>0.02</v>
      </c>
      <c r="O26" s="89">
        <v>0.02</v>
      </c>
      <c r="P26" s="89">
        <v>0.02</v>
      </c>
      <c r="Q26" s="89">
        <v>0.02</v>
      </c>
    </row>
    <row r="27" spans="1:17" x14ac:dyDescent="0.3">
      <c r="A27" s="93"/>
      <c r="B27" s="34"/>
      <c r="C27" s="39"/>
      <c r="D27" s="94"/>
      <c r="E27" s="94"/>
      <c r="F27" s="94"/>
      <c r="G27" s="256"/>
      <c r="H27" s="238"/>
      <c r="I27" s="84"/>
      <c r="J27" s="84"/>
      <c r="K27" s="84"/>
      <c r="L27" s="84"/>
      <c r="M27" s="84"/>
      <c r="N27" s="84"/>
      <c r="O27" s="84"/>
      <c r="P27" s="84"/>
      <c r="Q27" s="84"/>
    </row>
    <row r="28" spans="1:17" x14ac:dyDescent="0.3">
      <c r="A28" s="97" t="s">
        <v>879</v>
      </c>
      <c r="B28" s="14" t="s">
        <v>648</v>
      </c>
      <c r="C28" s="90">
        <f>'Balance Sheet - Actual'!C22</f>
        <v>39.773000000000003</v>
      </c>
      <c r="D28" s="90">
        <f>'Balance Sheet - Actual'!D22</f>
        <v>52.517000000000003</v>
      </c>
      <c r="E28" s="90">
        <f>'Balance Sheet - Actual'!E22</f>
        <v>65.019000000000005</v>
      </c>
      <c r="F28" s="90">
        <f>'Balance Sheet - Actual'!F22</f>
        <v>50.820999999999998</v>
      </c>
      <c r="G28" s="258">
        <f>'Balance Sheet - Actual'!G22</f>
        <v>27.31</v>
      </c>
      <c r="H28" s="238"/>
      <c r="I28" s="84"/>
      <c r="J28" s="84"/>
      <c r="K28" s="84"/>
      <c r="L28" s="84"/>
      <c r="M28" s="84"/>
      <c r="N28" s="84"/>
      <c r="O28" s="84"/>
      <c r="P28" s="84"/>
      <c r="Q28" s="84"/>
    </row>
    <row r="29" spans="1:17" x14ac:dyDescent="0.3">
      <c r="A29" s="97" t="s">
        <v>881</v>
      </c>
      <c r="B29" s="14"/>
      <c r="C29" s="90">
        <v>116.47499999999999</v>
      </c>
      <c r="D29" s="90">
        <v>143.922</v>
      </c>
      <c r="E29" s="90">
        <v>143.63499999999999</v>
      </c>
      <c r="F29" s="90">
        <v>155.87700000000001</v>
      </c>
      <c r="G29" s="258">
        <f>G22-G24+G33</f>
        <v>176.56187599999998</v>
      </c>
      <c r="H29" s="237">
        <f>G29+H30</f>
        <v>197.71645210688436</v>
      </c>
      <c r="I29" s="86">
        <f t="shared" ref="I29:O29" si="27">H29+I30</f>
        <v>224.21491351868309</v>
      </c>
      <c r="J29" s="86">
        <f t="shared" si="27"/>
        <v>256.31136714282877</v>
      </c>
      <c r="K29" s="86">
        <f t="shared" si="27"/>
        <v>295.20944544669186</v>
      </c>
      <c r="L29" s="86">
        <f t="shared" si="27"/>
        <v>341.38484601055626</v>
      </c>
      <c r="M29" s="86">
        <f t="shared" si="27"/>
        <v>396.10864793357973</v>
      </c>
      <c r="N29" s="86">
        <f t="shared" si="27"/>
        <v>459.5635220716016</v>
      </c>
      <c r="O29" s="86">
        <f t="shared" si="27"/>
        <v>533.14471506542691</v>
      </c>
      <c r="P29" s="86">
        <f t="shared" ref="P29" si="28">O29+P30</f>
        <v>618.51946525211122</v>
      </c>
      <c r="Q29" s="86">
        <f t="shared" ref="Q29" si="29">P29+Q30</f>
        <v>717.63387292478819</v>
      </c>
    </row>
    <row r="30" spans="1:17" x14ac:dyDescent="0.3">
      <c r="A30" s="91" t="s">
        <v>876</v>
      </c>
      <c r="B30" s="14"/>
      <c r="C30" s="90"/>
      <c r="D30" s="90">
        <v>34.999000000000002</v>
      </c>
      <c r="E30" s="90">
        <v>52.104999999999997</v>
      </c>
      <c r="F30" s="90">
        <v>16.655999999999999</v>
      </c>
      <c r="G30" s="258">
        <f>G29-F29</f>
        <v>20.684875999999974</v>
      </c>
      <c r="H30" s="237">
        <f t="shared" ref="H30:O30" si="30">H31*H$116</f>
        <v>21.154576106884385</v>
      </c>
      <c r="I30" s="86">
        <f t="shared" si="30"/>
        <v>26.498461411798743</v>
      </c>
      <c r="J30" s="86">
        <f t="shared" si="30"/>
        <v>32.09645362414566</v>
      </c>
      <c r="K30" s="86">
        <f t="shared" si="30"/>
        <v>38.898078303863066</v>
      </c>
      <c r="L30" s="86">
        <f t="shared" si="30"/>
        <v>46.175400563864386</v>
      </c>
      <c r="M30" s="86">
        <f t="shared" si="30"/>
        <v>54.723801923023466</v>
      </c>
      <c r="N30" s="86">
        <f t="shared" si="30"/>
        <v>63.454874138021893</v>
      </c>
      <c r="O30" s="86">
        <f t="shared" si="30"/>
        <v>73.581192993825255</v>
      </c>
      <c r="P30" s="86">
        <f t="shared" ref="P30:Q30" si="31">P31*P$116</f>
        <v>85.374750186684295</v>
      </c>
      <c r="Q30" s="86">
        <f t="shared" si="31"/>
        <v>99.114407672676975</v>
      </c>
    </row>
    <row r="31" spans="1:17" x14ac:dyDescent="0.3">
      <c r="A31" s="80" t="s">
        <v>859</v>
      </c>
      <c r="B31" s="49"/>
      <c r="C31" s="53"/>
      <c r="D31" s="53">
        <f>D30/D116</f>
        <v>3.5156536439786687E-3</v>
      </c>
      <c r="E31" s="53">
        <f>E30/E116</f>
        <v>4.1852397305799614E-3</v>
      </c>
      <c r="F31" s="53">
        <f>F30/F116</f>
        <v>1.2749970145963276E-3</v>
      </c>
      <c r="G31" s="254">
        <f>G30/G116</f>
        <v>1.2297883942713915E-3</v>
      </c>
      <c r="H31" s="243">
        <v>1E-3</v>
      </c>
      <c r="I31" s="89">
        <v>1E-3</v>
      </c>
      <c r="J31" s="89">
        <v>1E-3</v>
      </c>
      <c r="K31" s="89">
        <v>1E-3</v>
      </c>
      <c r="L31" s="89">
        <v>1E-3</v>
      </c>
      <c r="M31" s="89">
        <v>1E-3</v>
      </c>
      <c r="N31" s="89">
        <v>1E-3</v>
      </c>
      <c r="O31" s="89">
        <v>1E-3</v>
      </c>
      <c r="P31" s="89">
        <v>1E-3</v>
      </c>
      <c r="Q31" s="89">
        <v>1E-3</v>
      </c>
    </row>
    <row r="32" spans="1:17" x14ac:dyDescent="0.3">
      <c r="A32" s="93"/>
      <c r="B32" s="34"/>
      <c r="C32" s="70"/>
      <c r="D32" s="70"/>
      <c r="E32" s="70"/>
      <c r="F32" s="70"/>
      <c r="G32" s="259"/>
      <c r="H32" s="244"/>
      <c r="I32" s="92"/>
      <c r="J32" s="92"/>
      <c r="K32" s="92"/>
      <c r="L32" s="92"/>
      <c r="M32" s="92"/>
      <c r="N32" s="92"/>
      <c r="O32" s="92"/>
      <c r="P32" s="92"/>
      <c r="Q32" s="92"/>
    </row>
    <row r="33" spans="1:17" x14ac:dyDescent="0.3">
      <c r="A33" s="109" t="s">
        <v>880</v>
      </c>
      <c r="B33" s="34" t="s">
        <v>639</v>
      </c>
      <c r="C33" s="39">
        <f>368.606+76.702</f>
        <v>445.30799999999999</v>
      </c>
      <c r="D33" s="39">
        <f>599.95+91.405</f>
        <v>691.35500000000002</v>
      </c>
      <c r="E33" s="39">
        <f>935.784+78.616</f>
        <v>1014.4</v>
      </c>
      <c r="F33" s="39">
        <f>1249.371+105.056</f>
        <v>1354.4270000000001</v>
      </c>
      <c r="G33" s="256">
        <f>F33+G34</f>
        <v>1744.1000000000001</v>
      </c>
      <c r="H33" s="211">
        <f t="shared" ref="H33:O33" si="32">G33+H34</f>
        <v>2137.8531499999999</v>
      </c>
      <c r="I33" s="39">
        <f t="shared" si="32"/>
        <v>2549.2788318856001</v>
      </c>
      <c r="J33" s="39">
        <f t="shared" si="32"/>
        <v>3011.4692164879611</v>
      </c>
      <c r="K33" s="39">
        <f t="shared" si="32"/>
        <v>3547.8019006169666</v>
      </c>
      <c r="L33" s="39">
        <f t="shared" si="32"/>
        <v>4182.319020834213</v>
      </c>
      <c r="M33" s="39">
        <f t="shared" si="32"/>
        <v>4934.1443431198268</v>
      </c>
      <c r="N33" s="39">
        <f t="shared" si="32"/>
        <v>5825.0507467396983</v>
      </c>
      <c r="O33" s="39">
        <f t="shared" si="32"/>
        <v>6870.5332340070754</v>
      </c>
      <c r="P33" s="39">
        <f t="shared" ref="P33" si="33">O33+P34</f>
        <v>8090.9186192354864</v>
      </c>
      <c r="Q33" s="39">
        <f t="shared" ref="Q33" si="34">P33+Q34</f>
        <v>9511.6735335060839</v>
      </c>
    </row>
    <row r="34" spans="1:17" x14ac:dyDescent="0.3">
      <c r="A34" s="93" t="s">
        <v>872</v>
      </c>
      <c r="B34" s="34"/>
      <c r="C34" s="39">
        <f>'IS Model'!C85</f>
        <v>180.761</v>
      </c>
      <c r="D34" s="39">
        <f>'IS Model'!D85</f>
        <v>279.03199999999998</v>
      </c>
      <c r="E34" s="39">
        <f>'IS Model'!E85</f>
        <v>428.34399999999999</v>
      </c>
      <c r="F34" s="39">
        <f>'IS Model'!F85</f>
        <v>440.84500000000003</v>
      </c>
      <c r="G34" s="256">
        <f>'IS Model'!G85</f>
        <v>389.673</v>
      </c>
      <c r="H34" s="211">
        <f>H35*G22</f>
        <v>393.75315000000001</v>
      </c>
      <c r="I34" s="39">
        <f t="shared" ref="I34:O34" si="35">I35*H22</f>
        <v>411.42568188560028</v>
      </c>
      <c r="J34" s="39">
        <f t="shared" si="35"/>
        <v>462.19038460236095</v>
      </c>
      <c r="K34" s="39">
        <f t="shared" si="35"/>
        <v>536.33268412900532</v>
      </c>
      <c r="L34" s="39">
        <f t="shared" si="35"/>
        <v>634.51712021724677</v>
      </c>
      <c r="M34" s="39">
        <f t="shared" si="35"/>
        <v>751.82532228561388</v>
      </c>
      <c r="N34" s="39">
        <f t="shared" si="35"/>
        <v>890.90640361987141</v>
      </c>
      <c r="O34" s="39">
        <f t="shared" si="35"/>
        <v>1045.4824872673773</v>
      </c>
      <c r="P34" s="39">
        <f t="shared" ref="P34" si="36">P35*O22</f>
        <v>1220.3853852284112</v>
      </c>
      <c r="Q34" s="39">
        <f t="shared" ref="Q34" si="37">Q35*P22</f>
        <v>1420.7549142705966</v>
      </c>
    </row>
    <row r="35" spans="1:17" x14ac:dyDescent="0.3">
      <c r="A35" s="80" t="s">
        <v>885</v>
      </c>
      <c r="B35" s="49"/>
      <c r="C35" s="53"/>
      <c r="D35" s="53">
        <f>D34/C22</f>
        <v>0.65473726693791734</v>
      </c>
      <c r="E35" s="53">
        <f t="shared" ref="E35:G35" si="38">E34/D22</f>
        <v>0.39570615623383343</v>
      </c>
      <c r="F35" s="53">
        <f t="shared" si="38"/>
        <v>0.30342126237340955</v>
      </c>
      <c r="G35" s="254">
        <f t="shared" si="38"/>
        <v>0.30962822174317595</v>
      </c>
      <c r="H35" s="243">
        <v>0.35</v>
      </c>
      <c r="I35" s="89">
        <v>0.35</v>
      </c>
      <c r="J35" s="89">
        <v>0.35</v>
      </c>
      <c r="K35" s="89">
        <v>0.35</v>
      </c>
      <c r="L35" s="89">
        <v>0.35</v>
      </c>
      <c r="M35" s="89">
        <v>0.35</v>
      </c>
      <c r="N35" s="89">
        <v>0.35</v>
      </c>
      <c r="O35" s="89">
        <v>0.35</v>
      </c>
      <c r="P35" s="89">
        <v>0.35</v>
      </c>
      <c r="Q35" s="89">
        <v>0.35</v>
      </c>
    </row>
    <row r="36" spans="1:17" x14ac:dyDescent="0.3">
      <c r="A36" s="30"/>
      <c r="B36" s="14"/>
      <c r="C36" s="15"/>
      <c r="D36" s="15"/>
      <c r="E36" s="15"/>
      <c r="F36" s="15"/>
      <c r="G36" s="260"/>
      <c r="H36" s="238"/>
      <c r="I36" s="84"/>
      <c r="J36" s="84"/>
      <c r="K36" s="84"/>
      <c r="L36" s="84"/>
      <c r="M36" s="84"/>
      <c r="N36" s="84"/>
      <c r="O36" s="84"/>
      <c r="P36" s="84"/>
      <c r="Q36" s="84"/>
    </row>
    <row r="37" spans="1:17" x14ac:dyDescent="0.3">
      <c r="A37" s="34" t="s">
        <v>871</v>
      </c>
      <c r="B37" s="34"/>
      <c r="C37" s="39">
        <f>'Balance Sheet - Actual'!C20</f>
        <v>234.55500000000001</v>
      </c>
      <c r="D37" s="39">
        <f>'Balance Sheet - Actual'!D20</f>
        <v>649.67999999999995</v>
      </c>
      <c r="E37" s="39">
        <f>'Balance Sheet - Actual'!E20</f>
        <v>957.84</v>
      </c>
      <c r="F37" s="39">
        <f>'Balance Sheet - Actual'!F20</f>
        <v>1015.982</v>
      </c>
      <c r="G37" s="256">
        <f>'Balance Sheet - Actual'!G20</f>
        <v>1054.7850000000001</v>
      </c>
      <c r="H37" s="237">
        <f t="shared" ref="H37:O37" si="39">H38*H116</f>
        <v>1057.7288053442194</v>
      </c>
      <c r="I37" s="86">
        <f t="shared" si="39"/>
        <v>1324.9230705899372</v>
      </c>
      <c r="J37" s="86">
        <f t="shared" si="39"/>
        <v>1604.8226812072833</v>
      </c>
      <c r="K37" s="86">
        <f t="shared" si="39"/>
        <v>1944.9039151931536</v>
      </c>
      <c r="L37" s="86">
        <f t="shared" si="39"/>
        <v>2308.7700281932193</v>
      </c>
      <c r="M37" s="86">
        <f t="shared" si="39"/>
        <v>2736.1900961511733</v>
      </c>
      <c r="N37" s="86">
        <f t="shared" si="39"/>
        <v>3172.7437069010948</v>
      </c>
      <c r="O37" s="86">
        <f t="shared" si="39"/>
        <v>3679.0596496912631</v>
      </c>
      <c r="P37" s="86">
        <f t="shared" ref="P37:Q37" si="40">P38*P116</f>
        <v>4268.7375093342152</v>
      </c>
      <c r="Q37" s="86">
        <f t="shared" si="40"/>
        <v>4955.7203836338485</v>
      </c>
    </row>
    <row r="38" spans="1:17" x14ac:dyDescent="0.3">
      <c r="A38" s="80" t="s">
        <v>859</v>
      </c>
      <c r="B38" s="49"/>
      <c r="C38" s="53">
        <f>C37/C116</f>
        <v>5.3604435806771274E-2</v>
      </c>
      <c r="D38" s="53">
        <f>D37/D53</f>
        <v>3.5881344357461424E-2</v>
      </c>
      <c r="E38" s="53">
        <f>E37/E53</f>
        <v>5.9697265607958051E-2</v>
      </c>
      <c r="F38" s="53">
        <f>F37/F53</f>
        <v>5.686280765086961E-2</v>
      </c>
      <c r="G38" s="254">
        <f>G37/G53</f>
        <v>4.8899005706077761E-2</v>
      </c>
      <c r="H38" s="243">
        <v>0.05</v>
      </c>
      <c r="I38" s="89">
        <v>0.05</v>
      </c>
      <c r="J38" s="89">
        <v>0.05</v>
      </c>
      <c r="K38" s="89">
        <v>0.05</v>
      </c>
      <c r="L38" s="89">
        <v>0.05</v>
      </c>
      <c r="M38" s="89">
        <v>0.05</v>
      </c>
      <c r="N38" s="89">
        <v>0.05</v>
      </c>
      <c r="O38" s="89">
        <v>0.05</v>
      </c>
      <c r="P38" s="89">
        <v>0.05</v>
      </c>
      <c r="Q38" s="89">
        <v>0.05</v>
      </c>
    </row>
    <row r="39" spans="1:17" x14ac:dyDescent="0.3">
      <c r="A39" s="93"/>
      <c r="B39" s="34"/>
      <c r="C39" s="70"/>
      <c r="D39" s="70"/>
      <c r="E39" s="70"/>
      <c r="F39" s="70"/>
      <c r="G39" s="259"/>
      <c r="H39" s="244"/>
      <c r="I39" s="92"/>
      <c r="J39" s="92"/>
      <c r="K39" s="92"/>
      <c r="L39" s="92"/>
      <c r="M39" s="92"/>
      <c r="N39" s="92"/>
      <c r="O39" s="92"/>
      <c r="P39" s="92"/>
      <c r="Q39" s="92"/>
    </row>
    <row r="40" spans="1:17" x14ac:dyDescent="0.3">
      <c r="A40" s="11" t="s">
        <v>640</v>
      </c>
      <c r="B40" s="11" t="s">
        <v>641</v>
      </c>
      <c r="C40" s="12">
        <f>C41</f>
        <v>190.482</v>
      </c>
      <c r="D40" s="12">
        <f t="shared" ref="D40:Q40" si="41">D41</f>
        <v>1052.8610000000001</v>
      </c>
      <c r="E40" s="12">
        <f t="shared" si="41"/>
        <v>1253.5930000000001</v>
      </c>
      <c r="F40" s="12">
        <f t="shared" si="41"/>
        <v>4262.5619999999999</v>
      </c>
      <c r="G40" s="251">
        <f t="shared" si="41"/>
        <v>2694.3049999999998</v>
      </c>
      <c r="H40" s="208">
        <f t="shared" si="41"/>
        <v>3384.7321771015017</v>
      </c>
      <c r="I40" s="12">
        <f t="shared" si="41"/>
        <v>4239.7538258877994</v>
      </c>
      <c r="J40" s="12">
        <f t="shared" si="41"/>
        <v>5135.4325798633063</v>
      </c>
      <c r="K40" s="12">
        <f t="shared" si="41"/>
        <v>6223.6925286180913</v>
      </c>
      <c r="L40" s="12">
        <f t="shared" si="41"/>
        <v>7388.0640902183022</v>
      </c>
      <c r="M40" s="12">
        <f t="shared" si="41"/>
        <v>8755.8083076837538</v>
      </c>
      <c r="N40" s="12">
        <f t="shared" si="41"/>
        <v>10152.779862083504</v>
      </c>
      <c r="O40" s="12">
        <f t="shared" si="41"/>
        <v>11772.990879012041</v>
      </c>
      <c r="P40" s="12">
        <f t="shared" si="41"/>
        <v>13659.960029869488</v>
      </c>
      <c r="Q40" s="12">
        <f t="shared" si="41"/>
        <v>15858.305227628316</v>
      </c>
    </row>
    <row r="41" spans="1:17" x14ac:dyDescent="0.3">
      <c r="A41" s="11" t="s">
        <v>642</v>
      </c>
      <c r="B41" s="11" t="s">
        <v>643</v>
      </c>
      <c r="C41" s="12">
        <f>'Balance Sheet - Actual'!C18</f>
        <v>190.482</v>
      </c>
      <c r="D41" s="12">
        <f>'Balance Sheet - Actual'!D18</f>
        <v>1052.8610000000001</v>
      </c>
      <c r="E41" s="12">
        <f>'Balance Sheet - Actual'!E18</f>
        <v>1253.5930000000001</v>
      </c>
      <c r="F41" s="12">
        <f>'Balance Sheet - Actual'!F18</f>
        <v>4262.5619999999999</v>
      </c>
      <c r="G41" s="251">
        <f>'Balance Sheet - Actual'!G18</f>
        <v>2694.3049999999998</v>
      </c>
      <c r="H41" s="237">
        <f t="shared" ref="H41:O41" si="42">H116*H42</f>
        <v>3384.7321771015017</v>
      </c>
      <c r="I41" s="86">
        <f t="shared" si="42"/>
        <v>4239.7538258877994</v>
      </c>
      <c r="J41" s="86">
        <f t="shared" si="42"/>
        <v>5135.4325798633063</v>
      </c>
      <c r="K41" s="86">
        <f t="shared" si="42"/>
        <v>6223.6925286180913</v>
      </c>
      <c r="L41" s="86">
        <f t="shared" si="42"/>
        <v>7388.0640902183022</v>
      </c>
      <c r="M41" s="86">
        <f t="shared" si="42"/>
        <v>8755.8083076837538</v>
      </c>
      <c r="N41" s="86">
        <f t="shared" si="42"/>
        <v>10152.779862083504</v>
      </c>
      <c r="O41" s="86">
        <f t="shared" si="42"/>
        <v>11772.990879012041</v>
      </c>
      <c r="P41" s="86">
        <f t="shared" ref="P41:Q41" si="43">P116*P42</f>
        <v>13659.960029869488</v>
      </c>
      <c r="Q41" s="86">
        <f t="shared" si="43"/>
        <v>15858.305227628316</v>
      </c>
    </row>
    <row r="42" spans="1:17" x14ac:dyDescent="0.3">
      <c r="A42" s="80" t="s">
        <v>859</v>
      </c>
      <c r="B42" s="49"/>
      <c r="C42" s="53">
        <f>C41/C116</f>
        <v>4.3532135922685108E-2</v>
      </c>
      <c r="D42" s="53">
        <f>D41/D116</f>
        <v>0.10576001060753236</v>
      </c>
      <c r="E42" s="53">
        <f>E41/E116</f>
        <v>0.10069258669181319</v>
      </c>
      <c r="F42" s="53">
        <f>F41/F116</f>
        <v>0.32629405766881309</v>
      </c>
      <c r="G42" s="254">
        <f>G41/G116</f>
        <v>0.16018587781852719</v>
      </c>
      <c r="H42" s="243">
        <v>0.16</v>
      </c>
      <c r="I42" s="89">
        <v>0.16</v>
      </c>
      <c r="J42" s="89">
        <v>0.16</v>
      </c>
      <c r="K42" s="89">
        <v>0.16</v>
      </c>
      <c r="L42" s="89">
        <v>0.16</v>
      </c>
      <c r="M42" s="89">
        <v>0.16</v>
      </c>
      <c r="N42" s="89">
        <v>0.16</v>
      </c>
      <c r="O42" s="89">
        <v>0.16</v>
      </c>
      <c r="P42" s="89">
        <v>0.16</v>
      </c>
      <c r="Q42" s="89">
        <v>0.16</v>
      </c>
    </row>
    <row r="43" spans="1:17" x14ac:dyDescent="0.3">
      <c r="A43" s="11" t="s">
        <v>644</v>
      </c>
      <c r="B43" s="11" t="s">
        <v>645</v>
      </c>
      <c r="C43" s="12">
        <f>C44+C45+C47+C49+C50</f>
        <v>665.45600000000002</v>
      </c>
      <c r="D43" s="12">
        <f>D44+D45+D47+D49+D50</f>
        <v>835.60699999999997</v>
      </c>
      <c r="E43" s="12">
        <f>E44+E45+E47+E49+E50</f>
        <v>650.4369999999999</v>
      </c>
      <c r="F43" s="12">
        <f>F44+F45+F47+F49+F50</f>
        <v>572.23500000000001</v>
      </c>
      <c r="G43" s="251">
        <f>G44+G45+G47+G49+G50</f>
        <v>893.702</v>
      </c>
      <c r="H43" s="238"/>
      <c r="I43" s="84"/>
      <c r="J43" s="84"/>
      <c r="K43" s="84"/>
      <c r="L43" s="84"/>
      <c r="M43" s="84"/>
      <c r="N43" s="84"/>
      <c r="O43" s="84"/>
      <c r="P43" s="84"/>
      <c r="Q43" s="84"/>
    </row>
    <row r="44" spans="1:17" x14ac:dyDescent="0.3">
      <c r="A44" s="11" t="s">
        <v>647</v>
      </c>
      <c r="B44" s="11" t="s">
        <v>646</v>
      </c>
      <c r="C44" s="12">
        <f>'Balance Sheet - Actual'!C23</f>
        <v>216.27799999999999</v>
      </c>
      <c r="D44" s="12">
        <f>'Balance Sheet - Actual'!D23</f>
        <v>539.62400000000002</v>
      </c>
      <c r="E44" s="12">
        <f>'Balance Sheet - Actual'!E23</f>
        <v>230.208</v>
      </c>
      <c r="F44" s="12">
        <f>'Balance Sheet - Actual'!F23</f>
        <v>112.782</v>
      </c>
      <c r="G44" s="251">
        <f>'Balance Sheet - Actual'!G23</f>
        <v>107.625</v>
      </c>
      <c r="H44" s="237">
        <f>G44</f>
        <v>107.625</v>
      </c>
      <c r="I44" s="86">
        <f t="shared" ref="I44:O44" si="44">H44</f>
        <v>107.625</v>
      </c>
      <c r="J44" s="86">
        <f t="shared" si="44"/>
        <v>107.625</v>
      </c>
      <c r="K44" s="86">
        <f t="shared" si="44"/>
        <v>107.625</v>
      </c>
      <c r="L44" s="86">
        <f t="shared" si="44"/>
        <v>107.625</v>
      </c>
      <c r="M44" s="86">
        <f t="shared" si="44"/>
        <v>107.625</v>
      </c>
      <c r="N44" s="86">
        <f t="shared" si="44"/>
        <v>107.625</v>
      </c>
      <c r="O44" s="86">
        <f t="shared" si="44"/>
        <v>107.625</v>
      </c>
      <c r="P44" s="86">
        <f t="shared" ref="P44" si="45">O44</f>
        <v>107.625</v>
      </c>
      <c r="Q44" s="86">
        <f t="shared" ref="Q44" si="46">P44</f>
        <v>107.625</v>
      </c>
    </row>
    <row r="45" spans="1:17" x14ac:dyDescent="0.3">
      <c r="A45" s="11" t="s">
        <v>649</v>
      </c>
      <c r="B45" s="11" t="s">
        <v>650</v>
      </c>
      <c r="C45" s="12">
        <f>'Balance Sheet - Actual'!C26</f>
        <v>204.804</v>
      </c>
      <c r="D45" s="12">
        <f>'Balance Sheet - Actual'!D26</f>
        <v>124.521</v>
      </c>
      <c r="E45" s="12">
        <f>'Balance Sheet - Actual'!E26</f>
        <v>135.61600000000001</v>
      </c>
      <c r="F45" s="12">
        <f>'Balance Sheet - Actual'!F26</f>
        <v>87.704999999999998</v>
      </c>
      <c r="G45" s="251">
        <f>'Balance Sheet - Actual'!G26</f>
        <v>138.839</v>
      </c>
      <c r="H45" s="237">
        <f t="shared" ref="H45:O45" si="47">H46*H118</f>
        <v>179.71015692213112</v>
      </c>
      <c r="I45" s="86">
        <f t="shared" si="47"/>
        <v>214.69260801137762</v>
      </c>
      <c r="J45" s="86">
        <f t="shared" si="47"/>
        <v>254.10451154486458</v>
      </c>
      <c r="K45" s="86">
        <f t="shared" si="47"/>
        <v>305.02017617750192</v>
      </c>
      <c r="L45" s="86">
        <f t="shared" si="47"/>
        <v>355.52193495023965</v>
      </c>
      <c r="M45" s="86">
        <f t="shared" si="47"/>
        <v>421.63695158089502</v>
      </c>
      <c r="N45" s="86">
        <f t="shared" si="47"/>
        <v>489.76275585798834</v>
      </c>
      <c r="O45" s="86">
        <f t="shared" si="47"/>
        <v>567.12660660332801</v>
      </c>
      <c r="P45" s="86">
        <f t="shared" ref="P45:Q45" si="48">P46*P118</f>
        <v>658.2563025601587</v>
      </c>
      <c r="Q45" s="86">
        <f t="shared" si="48"/>
        <v>764.36955761341085</v>
      </c>
    </row>
    <row r="46" spans="1:17" x14ac:dyDescent="0.3">
      <c r="A46" s="80" t="s">
        <v>868</v>
      </c>
      <c r="B46" s="49"/>
      <c r="C46" s="53">
        <f>C45/C118</f>
        <v>8.4261335047052535E-2</v>
      </c>
      <c r="D46" s="53">
        <f>D45/D118</f>
        <v>2.5847043275183491E-2</v>
      </c>
      <c r="E46" s="53">
        <f>E45/E118</f>
        <v>2.8812567255916133E-2</v>
      </c>
      <c r="F46" s="53">
        <f>F45/F118</f>
        <v>2.2408325917545636E-2</v>
      </c>
      <c r="G46" s="254">
        <f>G45/G118</f>
        <v>2.928850609822985E-2</v>
      </c>
      <c r="H46" s="241">
        <v>2.9000000000000001E-2</v>
      </c>
      <c r="I46" s="53">
        <v>2.9000000000000001E-2</v>
      </c>
      <c r="J46" s="53">
        <v>2.9000000000000001E-2</v>
      </c>
      <c r="K46" s="53">
        <v>2.9000000000000001E-2</v>
      </c>
      <c r="L46" s="53">
        <v>2.9000000000000001E-2</v>
      </c>
      <c r="M46" s="53">
        <v>2.9000000000000001E-2</v>
      </c>
      <c r="N46" s="53">
        <v>2.9000000000000001E-2</v>
      </c>
      <c r="O46" s="53">
        <v>2.9000000000000001E-2</v>
      </c>
      <c r="P46" s="53">
        <v>2.9000000000000001E-2</v>
      </c>
      <c r="Q46" s="53">
        <v>2.9000000000000001E-2</v>
      </c>
    </row>
    <row r="47" spans="1:17" x14ac:dyDescent="0.3">
      <c r="A47" s="11" t="s">
        <v>651</v>
      </c>
      <c r="B47" s="11" t="s">
        <v>652</v>
      </c>
      <c r="C47" s="12">
        <f>'Balance Sheet - Actual'!C21</f>
        <v>99.903999999999996</v>
      </c>
      <c r="D47" s="12">
        <f>'Balance Sheet - Actual'!D21</f>
        <v>103.755</v>
      </c>
      <c r="E47" s="12">
        <f>'Balance Sheet - Actual'!E21</f>
        <v>245.226</v>
      </c>
      <c r="F47" s="12">
        <f>'Balance Sheet - Actual'!F21</f>
        <v>328.96100000000001</v>
      </c>
      <c r="G47" s="251">
        <f>'Balance Sheet - Actual'!G21</f>
        <v>517.38300000000004</v>
      </c>
      <c r="H47" s="237">
        <f t="shared" ref="H47:O47" si="49">H48*H117</f>
        <v>355.14044892255623</v>
      </c>
      <c r="I47" s="86">
        <f t="shared" si="49"/>
        <v>444.80155057040611</v>
      </c>
      <c r="J47" s="86">
        <f t="shared" si="49"/>
        <v>538.23309646684493</v>
      </c>
      <c r="K47" s="86">
        <f t="shared" si="49"/>
        <v>627.49533392638921</v>
      </c>
      <c r="L47" s="86">
        <f t="shared" si="49"/>
        <v>744.47837072954667</v>
      </c>
      <c r="M47" s="86">
        <f t="shared" si="49"/>
        <v>845.28516506499147</v>
      </c>
      <c r="N47" s="86">
        <f t="shared" si="49"/>
        <v>979.58175360354687</v>
      </c>
      <c r="O47" s="86">
        <f t="shared" si="49"/>
        <v>1134.7276988334934</v>
      </c>
      <c r="P47" s="86">
        <f t="shared" ref="P47:Q47" si="50">P48*P117</f>
        <v>1315.2365880261875</v>
      </c>
      <c r="Q47" s="86">
        <f t="shared" si="50"/>
        <v>1525.3284456228089</v>
      </c>
    </row>
    <row r="48" spans="1:17" x14ac:dyDescent="0.3">
      <c r="A48" s="80" t="s">
        <v>859</v>
      </c>
      <c r="B48" s="49"/>
      <c r="C48" s="53">
        <f>C47/C116</f>
        <v>2.28317347949934E-2</v>
      </c>
      <c r="D48" s="53">
        <f>D47/D116</f>
        <v>1.0422201886654096E-2</v>
      </c>
      <c r="E48" s="53">
        <f>E47/E116</f>
        <v>1.9697334193862426E-2</v>
      </c>
      <c r="F48" s="53">
        <f>F47/F116</f>
        <v>2.5181573782338047E-2</v>
      </c>
      <c r="G48" s="254">
        <f>G47/G116</f>
        <v>3.0760233167137004E-2</v>
      </c>
      <c r="H48" s="243">
        <v>0.03</v>
      </c>
      <c r="I48" s="89">
        <v>0.03</v>
      </c>
      <c r="J48" s="89">
        <v>0.03</v>
      </c>
      <c r="K48" s="89">
        <v>0.03</v>
      </c>
      <c r="L48" s="89">
        <v>0.03</v>
      </c>
      <c r="M48" s="89">
        <v>0.03</v>
      </c>
      <c r="N48" s="89">
        <v>0.03</v>
      </c>
      <c r="O48" s="89">
        <v>0.03</v>
      </c>
      <c r="P48" s="89">
        <v>0.03</v>
      </c>
      <c r="Q48" s="89">
        <v>0.03</v>
      </c>
    </row>
    <row r="49" spans="1:17" x14ac:dyDescent="0.3">
      <c r="A49" s="11" t="s">
        <v>632</v>
      </c>
      <c r="B49" s="11" t="s">
        <v>653</v>
      </c>
      <c r="C49" s="41">
        <v>0</v>
      </c>
      <c r="D49" s="41">
        <v>0</v>
      </c>
      <c r="E49" s="41">
        <v>0</v>
      </c>
      <c r="F49" s="41">
        <v>0</v>
      </c>
      <c r="G49" s="253">
        <v>0</v>
      </c>
      <c r="H49" s="242">
        <v>0</v>
      </c>
      <c r="I49" s="41">
        <v>0</v>
      </c>
      <c r="J49" s="41">
        <v>0</v>
      </c>
      <c r="K49" s="41">
        <v>0</v>
      </c>
      <c r="L49" s="41">
        <v>0</v>
      </c>
      <c r="M49" s="41">
        <v>0</v>
      </c>
      <c r="N49" s="41">
        <v>0</v>
      </c>
      <c r="O49" s="41">
        <v>0</v>
      </c>
      <c r="P49" s="41">
        <v>0</v>
      </c>
      <c r="Q49" s="41">
        <v>0</v>
      </c>
    </row>
    <row r="50" spans="1:17" x14ac:dyDescent="0.3">
      <c r="A50" s="11" t="s">
        <v>654</v>
      </c>
      <c r="B50" s="11" t="s">
        <v>655</v>
      </c>
      <c r="C50" s="12">
        <f>'Balance Sheet - Actual'!C25+'Balance Sheet - Actual'!C24</f>
        <v>144.47</v>
      </c>
      <c r="D50" s="12">
        <f>'Balance Sheet - Actual'!D25+'Balance Sheet - Actual'!D24</f>
        <v>67.706999999999994</v>
      </c>
      <c r="E50" s="12">
        <f>'Balance Sheet - Actual'!E25+'Balance Sheet - Actual'!E24</f>
        <v>39.387</v>
      </c>
      <c r="F50" s="12">
        <f>'Balance Sheet - Actual'!F25+'Balance Sheet - Actual'!F24</f>
        <v>42.786999999999999</v>
      </c>
      <c r="G50" s="251">
        <f>'Balance Sheet - Actual'!G25+'Balance Sheet - Actual'!G24</f>
        <v>129.85499999999999</v>
      </c>
      <c r="H50" s="237">
        <f t="shared" ref="H50:O50" si="51">H51*H$116</f>
        <v>105.77288053442193</v>
      </c>
      <c r="I50" s="86">
        <f t="shared" si="51"/>
        <v>132.49230705899373</v>
      </c>
      <c r="J50" s="86">
        <f t="shared" si="51"/>
        <v>160.48226812072832</v>
      </c>
      <c r="K50" s="86">
        <f t="shared" si="51"/>
        <v>194.49039151931535</v>
      </c>
      <c r="L50" s="86">
        <f t="shared" si="51"/>
        <v>230.87700281932194</v>
      </c>
      <c r="M50" s="86">
        <f t="shared" si="51"/>
        <v>273.61900961511731</v>
      </c>
      <c r="N50" s="86">
        <f t="shared" si="51"/>
        <v>317.27437069010949</v>
      </c>
      <c r="O50" s="86">
        <f t="shared" si="51"/>
        <v>367.90596496912627</v>
      </c>
      <c r="P50" s="86">
        <f t="shared" ref="P50:Q50" si="52">P51*P$116</f>
        <v>426.87375093342149</v>
      </c>
      <c r="Q50" s="86">
        <f t="shared" si="52"/>
        <v>495.57203836338488</v>
      </c>
    </row>
    <row r="51" spans="1:17" x14ac:dyDescent="0.3">
      <c r="A51" s="80" t="s">
        <v>859</v>
      </c>
      <c r="B51" s="49"/>
      <c r="C51" s="53">
        <f>C50/C$116</f>
        <v>3.3016703293488714E-2</v>
      </c>
      <c r="D51" s="53">
        <f>D50/D$116</f>
        <v>6.8011760699695327E-3</v>
      </c>
      <c r="E51" s="53">
        <f>E50/E$116</f>
        <v>3.1636894207533431E-3</v>
      </c>
      <c r="F51" s="53">
        <f>F50/F$116</f>
        <v>3.2752940239873358E-3</v>
      </c>
      <c r="G51" s="254">
        <f>G50/G$116</f>
        <v>7.7203349895890953E-3</v>
      </c>
      <c r="H51" s="243">
        <v>5.0000000000000001E-3</v>
      </c>
      <c r="I51" s="89">
        <v>5.0000000000000001E-3</v>
      </c>
      <c r="J51" s="89">
        <v>5.0000000000000001E-3</v>
      </c>
      <c r="K51" s="89">
        <v>5.0000000000000001E-3</v>
      </c>
      <c r="L51" s="89">
        <v>5.0000000000000001E-3</v>
      </c>
      <c r="M51" s="89">
        <v>5.0000000000000001E-3</v>
      </c>
      <c r="N51" s="89">
        <v>5.0000000000000001E-3</v>
      </c>
      <c r="O51" s="89">
        <v>5.0000000000000001E-3</v>
      </c>
      <c r="P51" s="89">
        <v>5.0000000000000001E-3</v>
      </c>
      <c r="Q51" s="89">
        <v>5.0000000000000001E-3</v>
      </c>
    </row>
    <row r="52" spans="1:17" x14ac:dyDescent="0.3">
      <c r="A52" s="8" t="s">
        <v>656</v>
      </c>
      <c r="B52" s="8" t="s">
        <v>657</v>
      </c>
      <c r="C52" s="9">
        <f>C22+C40+C43</f>
        <v>1282.1120000000001</v>
      </c>
      <c r="D52" s="9">
        <f>D22+D40+D43</f>
        <v>2970.9480000000003</v>
      </c>
      <c r="E52" s="9">
        <f>E22+E40+E43</f>
        <v>3356.9440000000004</v>
      </c>
      <c r="F52" s="9">
        <f>F22+F40+F43</f>
        <v>6093.3159999999998</v>
      </c>
      <c r="G52" s="255">
        <f>G22+G40+G43</f>
        <v>4713.0159999999996</v>
      </c>
      <c r="H52" s="207">
        <f t="shared" ref="H52:O52" si="53">H22+H40+H43</f>
        <v>4560.2341253460745</v>
      </c>
      <c r="I52" s="9">
        <f t="shared" si="53"/>
        <v>5560.2977818945456</v>
      </c>
      <c r="J52" s="9">
        <f t="shared" si="53"/>
        <v>6667.8116773747497</v>
      </c>
      <c r="K52" s="9">
        <f t="shared" si="53"/>
        <v>8036.5985863816531</v>
      </c>
      <c r="L52" s="9">
        <f t="shared" si="53"/>
        <v>9536.1364396057706</v>
      </c>
      <c r="M52" s="9">
        <f t="shared" si="53"/>
        <v>11301.255175169101</v>
      </c>
      <c r="N52" s="9">
        <f t="shared" si="53"/>
        <v>13139.872682847439</v>
      </c>
      <c r="O52" s="9">
        <f t="shared" si="53"/>
        <v>15259.806265378931</v>
      </c>
      <c r="P52" s="9">
        <f t="shared" ref="P52:Q52" si="54">P22+P40+P43</f>
        <v>17719.259784928334</v>
      </c>
      <c r="Q52" s="9">
        <f t="shared" si="54"/>
        <v>20578.252629542782</v>
      </c>
    </row>
    <row r="53" spans="1:17" x14ac:dyDescent="0.3">
      <c r="A53" s="8" t="s">
        <v>336</v>
      </c>
      <c r="B53" s="8" t="s">
        <v>658</v>
      </c>
      <c r="C53" s="9">
        <f>C21+C52</f>
        <v>10221.116000000002</v>
      </c>
      <c r="D53" s="9">
        <f>D21+D52</f>
        <v>18106.345000000001</v>
      </c>
      <c r="E53" s="9">
        <f>E21+E52</f>
        <v>16044.955999999998</v>
      </c>
      <c r="F53" s="9">
        <f>F21+F52</f>
        <v>17867.25</v>
      </c>
      <c r="G53" s="255">
        <f>G21+G52</f>
        <v>21570.683999999997</v>
      </c>
      <c r="H53" s="207">
        <f t="shared" ref="H53:O53" ca="1" si="55">H21+H52</f>
        <v>26509.103500438956</v>
      </c>
      <c r="I53" s="9">
        <f t="shared" ca="1" si="55"/>
        <v>32568.53894687834</v>
      </c>
      <c r="J53" s="9">
        <f t="shared" ca="1" si="55"/>
        <v>39507.538405154803</v>
      </c>
      <c r="K53" s="9">
        <f t="shared" ca="1" si="55"/>
        <v>48593.641014020257</v>
      </c>
      <c r="L53" s="9">
        <f t="shared" ca="1" si="55"/>
        <v>59116.300560085627</v>
      </c>
      <c r="M53" s="9">
        <f t="shared" ca="1" si="55"/>
        <v>72527.66225783799</v>
      </c>
      <c r="N53" s="9">
        <f t="shared" ca="1" si="55"/>
        <v>87480.308632339642</v>
      </c>
      <c r="O53" s="9">
        <f t="shared" ca="1" si="55"/>
        <v>104999.41814207565</v>
      </c>
      <c r="P53" s="9">
        <f t="shared" ref="P53:Q53" ca="1" si="56">P21+P52</f>
        <v>125515.97995757329</v>
      </c>
      <c r="Q53" s="9">
        <f t="shared" ca="1" si="56"/>
        <v>149536.83821787915</v>
      </c>
    </row>
    <row r="54" spans="1:17" x14ac:dyDescent="0.3">
      <c r="A54" s="8"/>
      <c r="B54" s="17"/>
      <c r="C54" s="17"/>
      <c r="D54" s="17"/>
      <c r="E54" s="17"/>
      <c r="F54" s="17"/>
      <c r="G54" s="250"/>
      <c r="H54" s="238"/>
      <c r="I54" s="84"/>
      <c r="J54" s="84"/>
      <c r="K54" s="84"/>
      <c r="L54" s="84"/>
      <c r="M54" s="84"/>
      <c r="N54" s="84"/>
      <c r="O54" s="84"/>
      <c r="P54" s="84"/>
      <c r="Q54" s="84"/>
    </row>
    <row r="55" spans="1:17" x14ac:dyDescent="0.3">
      <c r="A55" s="8" t="s">
        <v>659</v>
      </c>
      <c r="B55" s="17"/>
      <c r="C55" s="17"/>
      <c r="D55" s="17"/>
      <c r="E55" s="17"/>
      <c r="F55" s="17"/>
      <c r="G55" s="250"/>
      <c r="H55" s="238"/>
      <c r="I55" s="84"/>
      <c r="J55" s="84"/>
      <c r="K55" s="84"/>
      <c r="L55" s="84"/>
      <c r="M55" s="84"/>
      <c r="N55" s="84"/>
      <c r="O55" s="84"/>
      <c r="P55" s="84"/>
      <c r="Q55" s="84"/>
    </row>
    <row r="56" spans="1:17" x14ac:dyDescent="0.3">
      <c r="A56" s="11" t="s">
        <v>660</v>
      </c>
      <c r="B56" s="11" t="s">
        <v>661</v>
      </c>
      <c r="C56" s="12">
        <f>C57+C59+C61</f>
        <v>2207.404</v>
      </c>
      <c r="D56" s="12">
        <f t="shared" ref="D56:O56" si="57">D57+D59+D61</f>
        <v>1914.9180000000001</v>
      </c>
      <c r="E56" s="12">
        <f t="shared" si="57"/>
        <v>1831.8590000000002</v>
      </c>
      <c r="F56" s="12">
        <f t="shared" si="57"/>
        <v>2400.9920000000002</v>
      </c>
      <c r="G56" s="251">
        <f t="shared" si="57"/>
        <v>2845.8110000000001</v>
      </c>
      <c r="H56" s="208">
        <f t="shared" si="57"/>
        <v>3531.3506179396973</v>
      </c>
      <c r="I56" s="12">
        <f t="shared" si="57"/>
        <v>4423.3487277549893</v>
      </c>
      <c r="J56" s="12">
        <f t="shared" si="57"/>
        <v>5357.1768794680411</v>
      </c>
      <c r="K56" s="12">
        <f t="shared" si="57"/>
        <v>6462.989139986872</v>
      </c>
      <c r="L56" s="12">
        <f t="shared" si="57"/>
        <v>7671.639482840952</v>
      </c>
      <c r="M56" s="12">
        <f t="shared" si="57"/>
        <v>9047.9337818483673</v>
      </c>
      <c r="N56" s="12">
        <f t="shared" si="57"/>
        <v>10490.840269690689</v>
      </c>
      <c r="O56" s="12">
        <f t="shared" si="57"/>
        <v>12163.600674643494</v>
      </c>
      <c r="P56" s="12">
        <f t="shared" ref="P56:Q56" si="58">P57+P59+P61</f>
        <v>14111.556372816149</v>
      </c>
      <c r="Q56" s="12">
        <f t="shared" si="58"/>
        <v>16380.710146431142</v>
      </c>
    </row>
    <row r="57" spans="1:17" x14ac:dyDescent="0.3">
      <c r="A57" s="11" t="s">
        <v>662</v>
      </c>
      <c r="B57" s="11" t="s">
        <v>663</v>
      </c>
      <c r="C57" s="12">
        <f>'Balance Sheet - Actual'!C30</f>
        <v>121.637</v>
      </c>
      <c r="D57" s="12">
        <f>'Balance Sheet - Actual'!D30</f>
        <v>213.58</v>
      </c>
      <c r="E57" s="12">
        <f>'Balance Sheet - Actual'!E30</f>
        <v>258.64800000000002</v>
      </c>
      <c r="F57" s="12">
        <f>'Balance Sheet - Actual'!F30</f>
        <v>342.54700000000003</v>
      </c>
      <c r="G57" s="251">
        <f>'Balance Sheet - Actual'!G30</f>
        <v>350.02100000000002</v>
      </c>
      <c r="H57" s="237">
        <f t="shared" ref="H57:O57" si="59">H58*H117/365</f>
        <v>421.62793022769239</v>
      </c>
      <c r="I57" s="86">
        <f t="shared" si="59"/>
        <v>528.07490022057345</v>
      </c>
      <c r="J57" s="86">
        <f t="shared" si="59"/>
        <v>638.99819671862872</v>
      </c>
      <c r="K57" s="86">
        <f t="shared" si="59"/>
        <v>744.97162931900095</v>
      </c>
      <c r="L57" s="86">
        <f t="shared" si="59"/>
        <v>883.85559995288634</v>
      </c>
      <c r="M57" s="86">
        <f t="shared" si="59"/>
        <v>1003.5348991639169</v>
      </c>
      <c r="N57" s="86">
        <f t="shared" si="59"/>
        <v>1162.9737714014711</v>
      </c>
      <c r="O57" s="86">
        <f t="shared" si="59"/>
        <v>1347.1653045511794</v>
      </c>
      <c r="P57" s="86">
        <f t="shared" ref="P57:Q57" si="60">P58*P117/365</f>
        <v>1561.4680953735563</v>
      </c>
      <c r="Q57" s="86">
        <f t="shared" si="60"/>
        <v>1810.892218547627</v>
      </c>
    </row>
    <row r="58" spans="1:17" x14ac:dyDescent="0.3">
      <c r="A58" s="80" t="s">
        <v>886</v>
      </c>
      <c r="B58" s="49"/>
      <c r="C58" s="50">
        <f>C57/C117*365</f>
        <v>14.668331703977753</v>
      </c>
      <c r="D58" s="50">
        <f>D57/D117*365</f>
        <v>12.865298941901541</v>
      </c>
      <c r="E58" s="50">
        <f>E57/E117*365</f>
        <v>12.995726573379214</v>
      </c>
      <c r="F58" s="50">
        <f>F57/F117*365</f>
        <v>17.293383060072784</v>
      </c>
      <c r="G58" s="252">
        <f>G57/G117*365</f>
        <v>13.287635450345292</v>
      </c>
      <c r="H58" s="239">
        <v>13</v>
      </c>
      <c r="I58" s="50">
        <v>13</v>
      </c>
      <c r="J58" s="50">
        <v>13</v>
      </c>
      <c r="K58" s="50">
        <v>13</v>
      </c>
      <c r="L58" s="50">
        <v>13</v>
      </c>
      <c r="M58" s="50">
        <v>13</v>
      </c>
      <c r="N58" s="50">
        <v>13</v>
      </c>
      <c r="O58" s="50">
        <v>13</v>
      </c>
      <c r="P58" s="50">
        <v>13</v>
      </c>
      <c r="Q58" s="50">
        <v>13</v>
      </c>
    </row>
    <row r="59" spans="1:17" x14ac:dyDescent="0.3">
      <c r="A59" s="11" t="s">
        <v>664</v>
      </c>
      <c r="B59" s="11" t="s">
        <v>665</v>
      </c>
      <c r="C59" s="12">
        <f>'Balance Sheet - Actual'!C34</f>
        <v>52.305999999999997</v>
      </c>
      <c r="D59" s="12">
        <f>'Balance Sheet - Actual'!D34</f>
        <v>181.4</v>
      </c>
      <c r="E59" s="12">
        <f>'Balance Sheet - Actual'!E34</f>
        <v>176.59800000000001</v>
      </c>
      <c r="F59" s="12">
        <f>'Balance Sheet - Actual'!F34</f>
        <v>223.63800000000001</v>
      </c>
      <c r="G59" s="251">
        <f>'Balance Sheet - Actual'!G34</f>
        <v>115.419</v>
      </c>
      <c r="H59" s="237">
        <f t="shared" ref="H59:O59" si="61">H60*H$116</f>
        <v>148.0820327481907</v>
      </c>
      <c r="I59" s="86">
        <f t="shared" si="61"/>
        <v>185.48922988259122</v>
      </c>
      <c r="J59" s="86">
        <f t="shared" si="61"/>
        <v>224.67517536901966</v>
      </c>
      <c r="K59" s="86">
        <f t="shared" si="61"/>
        <v>272.2865481270415</v>
      </c>
      <c r="L59" s="86">
        <f t="shared" si="61"/>
        <v>323.22780394705069</v>
      </c>
      <c r="M59" s="86">
        <f t="shared" si="61"/>
        <v>383.06661346116425</v>
      </c>
      <c r="N59" s="86">
        <f t="shared" si="61"/>
        <v>444.18411896615328</v>
      </c>
      <c r="O59" s="86">
        <f t="shared" si="61"/>
        <v>515.06835095677684</v>
      </c>
      <c r="P59" s="86">
        <f t="shared" ref="P59:Q59" si="62">P60*P$116</f>
        <v>597.62325130679005</v>
      </c>
      <c r="Q59" s="86">
        <f t="shared" si="62"/>
        <v>693.80085370873883</v>
      </c>
    </row>
    <row r="60" spans="1:17" x14ac:dyDescent="0.3">
      <c r="A60" s="80" t="s">
        <v>859</v>
      </c>
      <c r="B60" s="49"/>
      <c r="C60" s="53">
        <f>C59/C$116</f>
        <v>1.1953842891044651E-2</v>
      </c>
      <c r="D60" s="53">
        <f>D59/D$116</f>
        <v>1.8221651219112844E-2</v>
      </c>
      <c r="E60" s="53">
        <f>E59/E$116</f>
        <v>1.4184914421667021E-2</v>
      </c>
      <c r="F60" s="53">
        <f>F59/F$116</f>
        <v>1.7119223243893703E-2</v>
      </c>
      <c r="G60" s="254">
        <f>G59/G$116</f>
        <v>6.8620641805350879E-3</v>
      </c>
      <c r="H60" s="243">
        <v>7.0000000000000001E-3</v>
      </c>
      <c r="I60" s="89">
        <v>7.0000000000000001E-3</v>
      </c>
      <c r="J60" s="89">
        <v>7.0000000000000001E-3</v>
      </c>
      <c r="K60" s="89">
        <v>7.0000000000000001E-3</v>
      </c>
      <c r="L60" s="89">
        <v>7.0000000000000001E-3</v>
      </c>
      <c r="M60" s="89">
        <v>7.0000000000000001E-3</v>
      </c>
      <c r="N60" s="89">
        <v>7.0000000000000001E-3</v>
      </c>
      <c r="O60" s="89">
        <v>7.0000000000000001E-3</v>
      </c>
      <c r="P60" s="89">
        <v>7.0000000000000001E-3</v>
      </c>
      <c r="Q60" s="89">
        <v>7.0000000000000001E-3</v>
      </c>
    </row>
    <row r="61" spans="1:17" x14ac:dyDescent="0.3">
      <c r="A61" s="11" t="s">
        <v>748</v>
      </c>
      <c r="B61" s="11" t="s">
        <v>666</v>
      </c>
      <c r="C61" s="12">
        <f>'Balance Sheet - Actual'!C31</f>
        <v>2033.461</v>
      </c>
      <c r="D61" s="12">
        <f>'Balance Sheet - Actual'!D31</f>
        <v>1519.9380000000001</v>
      </c>
      <c r="E61" s="12">
        <f>'Balance Sheet - Actual'!E31</f>
        <v>1396.6130000000001</v>
      </c>
      <c r="F61" s="12">
        <f>'Balance Sheet - Actual'!F31</f>
        <v>1834.807</v>
      </c>
      <c r="G61" s="251">
        <f>'Balance Sheet - Actual'!G31</f>
        <v>2380.3710000000001</v>
      </c>
      <c r="H61" s="237">
        <f t="shared" ref="H61:O61" si="63">H62*H$116</f>
        <v>2961.6406549638141</v>
      </c>
      <c r="I61" s="86">
        <f t="shared" si="63"/>
        <v>3709.7845976518247</v>
      </c>
      <c r="J61" s="86">
        <f t="shared" si="63"/>
        <v>4493.5035073803929</v>
      </c>
      <c r="K61" s="86">
        <f t="shared" si="63"/>
        <v>5445.7309625408298</v>
      </c>
      <c r="L61" s="86">
        <f t="shared" si="63"/>
        <v>6464.5560789410147</v>
      </c>
      <c r="M61" s="86">
        <f t="shared" si="63"/>
        <v>7661.3322692232859</v>
      </c>
      <c r="N61" s="86">
        <f t="shared" si="63"/>
        <v>8883.6823793230651</v>
      </c>
      <c r="O61" s="86">
        <f t="shared" si="63"/>
        <v>10301.367019135538</v>
      </c>
      <c r="P61" s="86">
        <f t="shared" ref="P61:Q61" si="64">P62*P$116</f>
        <v>11952.465026135802</v>
      </c>
      <c r="Q61" s="86">
        <f t="shared" si="64"/>
        <v>13876.017074174777</v>
      </c>
    </row>
    <row r="62" spans="1:17" x14ac:dyDescent="0.3">
      <c r="A62" s="80" t="s">
        <v>859</v>
      </c>
      <c r="B62" s="49"/>
      <c r="C62" s="53">
        <f>C61/C$116</f>
        <v>0.46472055441185617</v>
      </c>
      <c r="D62" s="53">
        <f>D61/D$116</f>
        <v>0.15267794989347266</v>
      </c>
      <c r="E62" s="53">
        <f>E61/E$116</f>
        <v>0.11218040909403075</v>
      </c>
      <c r="F62" s="53">
        <f>F61/F$116</f>
        <v>0.14045229631126585</v>
      </c>
      <c r="G62" s="254">
        <f>G61/G$116</f>
        <v>0.14152140094338445</v>
      </c>
      <c r="H62" s="243">
        <v>0.14000000000000001</v>
      </c>
      <c r="I62" s="89">
        <v>0.14000000000000001</v>
      </c>
      <c r="J62" s="89">
        <v>0.14000000000000001</v>
      </c>
      <c r="K62" s="89">
        <v>0.14000000000000001</v>
      </c>
      <c r="L62" s="89">
        <v>0.14000000000000001</v>
      </c>
      <c r="M62" s="89">
        <v>0.14000000000000001</v>
      </c>
      <c r="N62" s="89">
        <v>0.14000000000000001</v>
      </c>
      <c r="O62" s="89">
        <v>0.14000000000000001</v>
      </c>
      <c r="P62" s="89">
        <v>0.14000000000000001</v>
      </c>
      <c r="Q62" s="89">
        <v>0.14000000000000001</v>
      </c>
    </row>
    <row r="63" spans="1:17" x14ac:dyDescent="0.3">
      <c r="A63" s="11" t="s">
        <v>667</v>
      </c>
      <c r="B63" s="11" t="s">
        <v>668</v>
      </c>
      <c r="C63" s="12">
        <f t="shared" ref="C63:O63" si="65">C64+C66</f>
        <v>74.506</v>
      </c>
      <c r="D63" s="12">
        <f t="shared" si="65"/>
        <v>286.49400000000003</v>
      </c>
      <c r="E63" s="12">
        <f t="shared" si="65"/>
        <v>389.61500000000001</v>
      </c>
      <c r="F63" s="12">
        <f t="shared" si="65"/>
        <v>589.21299999999997</v>
      </c>
      <c r="G63" s="251">
        <f t="shared" si="65"/>
        <v>1578.873</v>
      </c>
      <c r="H63" s="208">
        <f t="shared" ca="1" si="65"/>
        <v>1160.8938384276914</v>
      </c>
      <c r="I63" s="12">
        <f t="shared" ca="1" si="65"/>
        <v>1421.1279414682701</v>
      </c>
      <c r="J63" s="12">
        <f t="shared" ca="1" si="65"/>
        <v>1727.8912736270186</v>
      </c>
      <c r="K63" s="12">
        <f t="shared" ca="1" si="65"/>
        <v>2140.0702219189043</v>
      </c>
      <c r="L63" s="12">
        <f t="shared" ca="1" si="65"/>
        <v>2625.821869920519</v>
      </c>
      <c r="M63" s="12">
        <f t="shared" ca="1" si="65"/>
        <v>3259.5458995318049</v>
      </c>
      <c r="N63" s="12">
        <f t="shared" ca="1" si="65"/>
        <v>3977.0520812633722</v>
      </c>
      <c r="O63" s="12">
        <f t="shared" ca="1" si="65"/>
        <v>4819.4705681373662</v>
      </c>
      <c r="P63" s="12">
        <f t="shared" ref="P63" ca="1" si="66">P64+P66</f>
        <v>5807.1218942727392</v>
      </c>
      <c r="Q63" s="12">
        <f t="shared" ref="Q63" ca="1" si="67">Q64+Q66</f>
        <v>6964.6159748972132</v>
      </c>
    </row>
    <row r="64" spans="1:17" x14ac:dyDescent="0.3">
      <c r="A64" s="11" t="s">
        <v>749</v>
      </c>
      <c r="B64" s="11" t="s">
        <v>669</v>
      </c>
      <c r="C64" s="12">
        <f>'Balance Sheet - Actual'!C37+'Balance Sheet - Actual'!C39</f>
        <v>0</v>
      </c>
      <c r="D64" s="12">
        <f>'Balance Sheet - Actual'!D37+'Balance Sheet - Actual'!D39</f>
        <v>100</v>
      </c>
      <c r="E64" s="12">
        <f>'Balance Sheet - Actual'!E37+'Balance Sheet - Actual'!E39</f>
        <v>119.64699999999999</v>
      </c>
      <c r="F64" s="12">
        <f>'Balance Sheet - Actual'!F37+'Balance Sheet - Actual'!F39</f>
        <v>298.42500000000001</v>
      </c>
      <c r="G64" s="251">
        <f>'Balance Sheet - Actual'!G37+'Balance Sheet - Actual'!G39</f>
        <v>1278.5989999999999</v>
      </c>
      <c r="H64" s="237">
        <f t="shared" ref="H64:O64" ca="1" si="68">H65*H121</f>
        <v>737.80231629000377</v>
      </c>
      <c r="I64" s="86">
        <f t="shared" ca="1" si="68"/>
        <v>891.15871323229521</v>
      </c>
      <c r="J64" s="86">
        <f t="shared" ca="1" si="68"/>
        <v>1085.9622011441052</v>
      </c>
      <c r="K64" s="86">
        <f t="shared" ca="1" si="68"/>
        <v>1362.1086558416428</v>
      </c>
      <c r="L64" s="86">
        <f t="shared" ca="1" si="68"/>
        <v>1702.3138586432312</v>
      </c>
      <c r="M64" s="86">
        <f t="shared" ca="1" si="68"/>
        <v>2165.0698610713357</v>
      </c>
      <c r="N64" s="86">
        <f t="shared" ca="1" si="68"/>
        <v>2707.9545985029345</v>
      </c>
      <c r="O64" s="86">
        <f t="shared" ca="1" si="68"/>
        <v>3347.8467082608613</v>
      </c>
      <c r="P64" s="86">
        <f t="shared" ref="P64:Q64" ca="1" si="69">P65*P121</f>
        <v>4099.6268905390534</v>
      </c>
      <c r="Q64" s="86">
        <f t="shared" ca="1" si="69"/>
        <v>4982.3278214436741</v>
      </c>
    </row>
    <row r="65" spans="1:17" x14ac:dyDescent="0.3">
      <c r="A65" s="80" t="s">
        <v>887</v>
      </c>
      <c r="B65" s="49"/>
      <c r="C65" s="53">
        <f>C64/C$121</f>
        <v>0</v>
      </c>
      <c r="D65" s="53">
        <f>D64/D$121</f>
        <v>2.3509967638529545E-2</v>
      </c>
      <c r="E65" s="53">
        <f>E64/E$121</f>
        <v>2.667605758783978E-2</v>
      </c>
      <c r="F65" s="53">
        <f>F64/F$121</f>
        <v>6.7094440328834146E-2</v>
      </c>
      <c r="G65" s="254">
        <f>G64/G$121</f>
        <v>0.31104674146293282</v>
      </c>
      <c r="H65" s="243">
        <v>0.15</v>
      </c>
      <c r="I65" s="89">
        <v>0.15</v>
      </c>
      <c r="J65" s="89">
        <v>0.15</v>
      </c>
      <c r="K65" s="89">
        <v>0.15</v>
      </c>
      <c r="L65" s="89">
        <v>0.15</v>
      </c>
      <c r="M65" s="89">
        <v>0.15</v>
      </c>
      <c r="N65" s="89">
        <v>0.15</v>
      </c>
      <c r="O65" s="89">
        <v>0.15</v>
      </c>
      <c r="P65" s="89">
        <v>0.15</v>
      </c>
      <c r="Q65" s="89">
        <v>0.15</v>
      </c>
    </row>
    <row r="66" spans="1:17" x14ac:dyDescent="0.3">
      <c r="A66" s="11" t="s">
        <v>670</v>
      </c>
      <c r="B66" s="11" t="s">
        <v>671</v>
      </c>
      <c r="C66" s="12">
        <f>C67</f>
        <v>74.506</v>
      </c>
      <c r="D66" s="12">
        <f t="shared" ref="D66:G66" si="70">D67</f>
        <v>186.494</v>
      </c>
      <c r="E66" s="12">
        <f t="shared" si="70"/>
        <v>269.96800000000002</v>
      </c>
      <c r="F66" s="12">
        <f t="shared" si="70"/>
        <v>290.78800000000001</v>
      </c>
      <c r="G66" s="251">
        <f t="shared" si="70"/>
        <v>300.274</v>
      </c>
      <c r="H66" s="237">
        <f>H67</f>
        <v>423.09152213768772</v>
      </c>
      <c r="I66" s="86">
        <f t="shared" ref="I66:Q66" si="71">I67</f>
        <v>529.96922823597492</v>
      </c>
      <c r="J66" s="86">
        <f t="shared" si="71"/>
        <v>641.92907248291328</v>
      </c>
      <c r="K66" s="86">
        <f t="shared" si="71"/>
        <v>777.96156607726141</v>
      </c>
      <c r="L66" s="86">
        <f t="shared" si="71"/>
        <v>923.50801127728778</v>
      </c>
      <c r="M66" s="86">
        <f t="shared" si="71"/>
        <v>1094.4760384604692</v>
      </c>
      <c r="N66" s="86">
        <f t="shared" si="71"/>
        <v>1269.097482760438</v>
      </c>
      <c r="O66" s="86">
        <f t="shared" si="71"/>
        <v>1471.6238598765051</v>
      </c>
      <c r="P66" s="86">
        <f t="shared" si="71"/>
        <v>1707.495003733686</v>
      </c>
      <c r="Q66" s="86">
        <f t="shared" si="71"/>
        <v>1982.2881534535395</v>
      </c>
    </row>
    <row r="67" spans="1:17" x14ac:dyDescent="0.3">
      <c r="A67" s="14" t="s">
        <v>672</v>
      </c>
      <c r="B67" s="14" t="s">
        <v>673</v>
      </c>
      <c r="C67" s="15">
        <f>'Balance Sheet - Actual'!C35</f>
        <v>74.506</v>
      </c>
      <c r="D67" s="15">
        <f>'Balance Sheet - Actual'!D35</f>
        <v>186.494</v>
      </c>
      <c r="E67" s="15">
        <f>'Balance Sheet - Actual'!E35</f>
        <v>269.96800000000002</v>
      </c>
      <c r="F67" s="15">
        <f>'Balance Sheet - Actual'!F35</f>
        <v>290.78800000000001</v>
      </c>
      <c r="G67" s="260">
        <f>'Balance Sheet - Actual'!G35</f>
        <v>300.274</v>
      </c>
      <c r="H67" s="237">
        <f t="shared" ref="H67:O67" si="72">H68*H$116</f>
        <v>423.09152213768772</v>
      </c>
      <c r="I67" s="86">
        <f t="shared" si="72"/>
        <v>529.96922823597492</v>
      </c>
      <c r="J67" s="86">
        <f t="shared" si="72"/>
        <v>641.92907248291328</v>
      </c>
      <c r="K67" s="86">
        <f t="shared" si="72"/>
        <v>777.96156607726141</v>
      </c>
      <c r="L67" s="86">
        <f t="shared" si="72"/>
        <v>923.50801127728778</v>
      </c>
      <c r="M67" s="86">
        <f t="shared" si="72"/>
        <v>1094.4760384604692</v>
      </c>
      <c r="N67" s="86">
        <f t="shared" si="72"/>
        <v>1269.097482760438</v>
      </c>
      <c r="O67" s="86">
        <f t="shared" si="72"/>
        <v>1471.6238598765051</v>
      </c>
      <c r="P67" s="86">
        <f t="shared" ref="P67:Q67" si="73">P68*P$116</f>
        <v>1707.495003733686</v>
      </c>
      <c r="Q67" s="86">
        <f t="shared" si="73"/>
        <v>1982.2881534535395</v>
      </c>
    </row>
    <row r="68" spans="1:17" x14ac:dyDescent="0.3">
      <c r="A68" s="106" t="s">
        <v>859</v>
      </c>
      <c r="B68" s="14"/>
      <c r="C68" s="107">
        <f>C67/C$116</f>
        <v>1.7027358590604762E-2</v>
      </c>
      <c r="D68" s="107">
        <f>D67/D$116</f>
        <v>1.873334411497922E-2</v>
      </c>
      <c r="E68" s="107">
        <f>E67/E$116</f>
        <v>2.1684690520779409E-2</v>
      </c>
      <c r="F68" s="107">
        <f>F67/F$116</f>
        <v>2.2259475977451783E-2</v>
      </c>
      <c r="G68" s="261">
        <f>G67/G$116</f>
        <v>1.7852341986553281E-2</v>
      </c>
      <c r="H68" s="245">
        <v>0.02</v>
      </c>
      <c r="I68" s="118">
        <v>0.02</v>
      </c>
      <c r="J68" s="118">
        <v>0.02</v>
      </c>
      <c r="K68" s="118">
        <v>0.02</v>
      </c>
      <c r="L68" s="118">
        <v>0.02</v>
      </c>
      <c r="M68" s="118">
        <v>0.02</v>
      </c>
      <c r="N68" s="118">
        <v>0.02</v>
      </c>
      <c r="O68" s="118">
        <v>0.02</v>
      </c>
      <c r="P68" s="118">
        <v>0.02</v>
      </c>
      <c r="Q68" s="118">
        <v>0.02</v>
      </c>
    </row>
    <row r="69" spans="1:17" x14ac:dyDescent="0.3">
      <c r="A69" s="11" t="s">
        <v>674</v>
      </c>
      <c r="B69" s="11" t="s">
        <v>675</v>
      </c>
      <c r="C69" s="12">
        <f>C70+C72+C73+C74</f>
        <v>2354.1569999999997</v>
      </c>
      <c r="D69" s="12">
        <f t="shared" ref="D69:O69" si="74">D70+D72+D73+D74</f>
        <v>4975.0239999999994</v>
      </c>
      <c r="E69" s="12">
        <f t="shared" si="74"/>
        <v>4714.2179999999998</v>
      </c>
      <c r="F69" s="12">
        <f t="shared" si="74"/>
        <v>5178.7359999999999</v>
      </c>
      <c r="G69" s="251">
        <f t="shared" si="74"/>
        <v>6871.4680000000008</v>
      </c>
      <c r="H69" s="208">
        <f t="shared" si="74"/>
        <v>8400.407801150488</v>
      </c>
      <c r="I69" s="12">
        <f t="shared" si="74"/>
        <v>10457.803643542517</v>
      </c>
      <c r="J69" s="12">
        <f t="shared" si="74"/>
        <v>12613.030645296081</v>
      </c>
      <c r="K69" s="12">
        <f t="shared" si="74"/>
        <v>15231.656146987283</v>
      </c>
      <c r="L69" s="12">
        <f t="shared" si="74"/>
        <v>18033.425217087788</v>
      </c>
      <c r="M69" s="12">
        <f t="shared" si="74"/>
        <v>21324.559740364031</v>
      </c>
      <c r="N69" s="12">
        <f t="shared" si="74"/>
        <v>24686.022543138428</v>
      </c>
      <c r="O69" s="12">
        <f t="shared" si="74"/>
        <v>28584.655302622723</v>
      </c>
      <c r="P69" s="12">
        <f t="shared" ref="P69:Q69" si="75">P70+P72+P73+P74</f>
        <v>33125.17482187345</v>
      </c>
      <c r="Q69" s="12">
        <f t="shared" si="75"/>
        <v>38414.942953980637</v>
      </c>
    </row>
    <row r="70" spans="1:17" x14ac:dyDescent="0.3">
      <c r="A70" s="11" t="s">
        <v>676</v>
      </c>
      <c r="B70" s="11" t="s">
        <v>677</v>
      </c>
      <c r="C70" s="12">
        <f>'Balance Sheet - Actual'!C32</f>
        <v>2150.165</v>
      </c>
      <c r="D70" s="12">
        <f>'Balance Sheet - Actual'!D32</f>
        <v>2644.4630000000002</v>
      </c>
      <c r="E70" s="12">
        <f>'Balance Sheet - Actual'!E32</f>
        <v>1535.0830000000001</v>
      </c>
      <c r="F70" s="12">
        <f>'Balance Sheet - Actual'!F32</f>
        <v>1208.8920000000001</v>
      </c>
      <c r="G70" s="251">
        <f>'Balance Sheet - Actual'!G32</f>
        <v>1405.7850000000001</v>
      </c>
      <c r="H70" s="237">
        <f t="shared" ref="H70:O70" si="76">H71*H$116</f>
        <v>1798.1389690851729</v>
      </c>
      <c r="I70" s="86">
        <f t="shared" si="76"/>
        <v>2252.3692200028936</v>
      </c>
      <c r="J70" s="86">
        <f t="shared" si="76"/>
        <v>2728.1985580523815</v>
      </c>
      <c r="K70" s="86">
        <f t="shared" si="76"/>
        <v>3306.336655828361</v>
      </c>
      <c r="L70" s="86">
        <f t="shared" si="76"/>
        <v>3924.9090479284732</v>
      </c>
      <c r="M70" s="86">
        <f t="shared" si="76"/>
        <v>4651.5231634569946</v>
      </c>
      <c r="N70" s="86">
        <f t="shared" si="76"/>
        <v>5393.6643017318611</v>
      </c>
      <c r="O70" s="86">
        <f t="shared" si="76"/>
        <v>6254.4014044751475</v>
      </c>
      <c r="P70" s="86">
        <f t="shared" ref="P70:Q70" si="77">P71*P$116</f>
        <v>7256.8537658681653</v>
      </c>
      <c r="Q70" s="86">
        <f t="shared" si="77"/>
        <v>8424.7246521775432</v>
      </c>
    </row>
    <row r="71" spans="1:17" x14ac:dyDescent="0.3">
      <c r="A71" s="80" t="s">
        <v>859</v>
      </c>
      <c r="B71" s="49"/>
      <c r="C71" s="53">
        <f>C70/C$116</f>
        <v>0.49139170649300312</v>
      </c>
      <c r="D71" s="53">
        <f>D70/D$116</f>
        <v>0.26563661768384128</v>
      </c>
      <c r="E71" s="53">
        <f>E70/E$116</f>
        <v>0.12330276098911581</v>
      </c>
      <c r="F71" s="53">
        <f>F70/F$116</f>
        <v>9.2539246575971637E-2</v>
      </c>
      <c r="G71" s="254">
        <f>G70/G$116</f>
        <v>8.3578846585341399E-2</v>
      </c>
      <c r="H71" s="243">
        <v>8.5000000000000006E-2</v>
      </c>
      <c r="I71" s="89">
        <v>8.5000000000000006E-2</v>
      </c>
      <c r="J71" s="89">
        <v>8.5000000000000006E-2</v>
      </c>
      <c r="K71" s="89">
        <v>8.5000000000000006E-2</v>
      </c>
      <c r="L71" s="89">
        <v>8.5000000000000006E-2</v>
      </c>
      <c r="M71" s="89">
        <v>8.5000000000000006E-2</v>
      </c>
      <c r="N71" s="89">
        <v>8.5000000000000006E-2</v>
      </c>
      <c r="O71" s="89">
        <v>8.5000000000000006E-2</v>
      </c>
      <c r="P71" s="89">
        <v>8.5000000000000006E-2</v>
      </c>
      <c r="Q71" s="89">
        <v>8.5000000000000006E-2</v>
      </c>
    </row>
    <row r="72" spans="1:17" x14ac:dyDescent="0.3">
      <c r="A72" s="11" t="s">
        <v>678</v>
      </c>
      <c r="B72" s="11" t="s">
        <v>679</v>
      </c>
      <c r="C72" s="41">
        <v>0</v>
      </c>
      <c r="D72" s="41">
        <v>0</v>
      </c>
      <c r="E72" s="41">
        <v>0</v>
      </c>
      <c r="F72" s="41">
        <v>0</v>
      </c>
      <c r="G72" s="253">
        <v>0</v>
      </c>
      <c r="H72" s="242">
        <v>0</v>
      </c>
      <c r="I72" s="41">
        <v>0</v>
      </c>
      <c r="J72" s="41">
        <v>0</v>
      </c>
      <c r="K72" s="41">
        <v>0</v>
      </c>
      <c r="L72" s="41">
        <v>0</v>
      </c>
      <c r="M72" s="41">
        <v>0</v>
      </c>
      <c r="N72" s="41">
        <v>0</v>
      </c>
      <c r="O72" s="41">
        <v>0</v>
      </c>
      <c r="P72" s="41">
        <v>0</v>
      </c>
      <c r="Q72" s="41">
        <v>0</v>
      </c>
    </row>
    <row r="73" spans="1:17" x14ac:dyDescent="0.3">
      <c r="A73" s="11" t="s">
        <v>751</v>
      </c>
      <c r="B73" s="11"/>
      <c r="C73" s="12">
        <f>'Balance Sheet - Actual'!C36</f>
        <v>42.613</v>
      </c>
      <c r="D73" s="12">
        <f>'Balance Sheet - Actual'!D36</f>
        <v>74.738</v>
      </c>
      <c r="E73" s="12">
        <f>'Balance Sheet - Actual'!E36</f>
        <v>0.41499999999999998</v>
      </c>
      <c r="F73" s="12">
        <f>'Balance Sheet - Actual'!F36</f>
        <v>64.081000000000003</v>
      </c>
      <c r="G73" s="251">
        <f>'Balance Sheet - Actual'!G36</f>
        <v>255.89599999999999</v>
      </c>
      <c r="H73" s="237">
        <f>G73</f>
        <v>255.89599999999999</v>
      </c>
      <c r="I73" s="86">
        <f t="shared" ref="I73:O73" si="78">H73</f>
        <v>255.89599999999999</v>
      </c>
      <c r="J73" s="86">
        <f t="shared" si="78"/>
        <v>255.89599999999999</v>
      </c>
      <c r="K73" s="86">
        <f t="shared" si="78"/>
        <v>255.89599999999999</v>
      </c>
      <c r="L73" s="86">
        <f t="shared" si="78"/>
        <v>255.89599999999999</v>
      </c>
      <c r="M73" s="86">
        <f t="shared" si="78"/>
        <v>255.89599999999999</v>
      </c>
      <c r="N73" s="86">
        <f t="shared" si="78"/>
        <v>255.89599999999999</v>
      </c>
      <c r="O73" s="86">
        <f t="shared" si="78"/>
        <v>255.89599999999999</v>
      </c>
      <c r="P73" s="86">
        <f t="shared" ref="P73" si="79">O73</f>
        <v>255.89599999999999</v>
      </c>
      <c r="Q73" s="86">
        <f t="shared" ref="Q73" si="80">P73</f>
        <v>255.89599999999999</v>
      </c>
    </row>
    <row r="74" spans="1:17" x14ac:dyDescent="0.3">
      <c r="A74" s="11" t="s">
        <v>750</v>
      </c>
      <c r="B74" s="11" t="s">
        <v>680</v>
      </c>
      <c r="C74" s="12">
        <f>'Balance Sheet - Actual'!C33</f>
        <v>161.37899999999999</v>
      </c>
      <c r="D74" s="12">
        <f>'Balance Sheet - Actual'!D33</f>
        <v>2255.8229999999999</v>
      </c>
      <c r="E74" s="12">
        <f>'Balance Sheet - Actual'!E33</f>
        <v>3178.72</v>
      </c>
      <c r="F74" s="12">
        <f>'Balance Sheet - Actual'!F33</f>
        <v>3905.7629999999999</v>
      </c>
      <c r="G74" s="251">
        <f>'Balance Sheet - Actual'!G33</f>
        <v>5209.7870000000003</v>
      </c>
      <c r="H74" s="237">
        <f t="shared" ref="H74:O74" si="81">H75*H$116</f>
        <v>6346.3728320653154</v>
      </c>
      <c r="I74" s="86">
        <f t="shared" si="81"/>
        <v>7949.5384235396232</v>
      </c>
      <c r="J74" s="86">
        <f t="shared" si="81"/>
        <v>9628.9360872436991</v>
      </c>
      <c r="K74" s="86">
        <f t="shared" si="81"/>
        <v>11669.423491158921</v>
      </c>
      <c r="L74" s="86">
        <f t="shared" si="81"/>
        <v>13852.620169159316</v>
      </c>
      <c r="M74" s="86">
        <f t="shared" si="81"/>
        <v>16417.140576907037</v>
      </c>
      <c r="N74" s="86">
        <f t="shared" si="81"/>
        <v>19036.462241406567</v>
      </c>
      <c r="O74" s="86">
        <f t="shared" si="81"/>
        <v>22074.357898147577</v>
      </c>
      <c r="P74" s="86">
        <f t="shared" ref="P74:Q74" si="82">P75*P$116</f>
        <v>25612.425056005286</v>
      </c>
      <c r="Q74" s="86">
        <f t="shared" si="82"/>
        <v>29734.322301803091</v>
      </c>
    </row>
    <row r="75" spans="1:17" x14ac:dyDescent="0.3">
      <c r="A75" s="80" t="s">
        <v>859</v>
      </c>
      <c r="B75" s="49"/>
      <c r="C75" s="53">
        <f>C74/C$116</f>
        <v>3.6881031084653668E-2</v>
      </c>
      <c r="D75" s="53">
        <f>D74/D$116</f>
        <v>0.22659768422300325</v>
      </c>
      <c r="E75" s="53">
        <f>E74/E$116</f>
        <v>0.25532492536971757</v>
      </c>
      <c r="F75" s="53">
        <f>F74/F$116</f>
        <v>0.29898151805480283</v>
      </c>
      <c r="G75" s="254">
        <f>G74/G$116</f>
        <v>0.30974010137773983</v>
      </c>
      <c r="H75" s="243">
        <v>0.3</v>
      </c>
      <c r="I75" s="89">
        <v>0.3</v>
      </c>
      <c r="J75" s="89">
        <v>0.3</v>
      </c>
      <c r="K75" s="89">
        <v>0.3</v>
      </c>
      <c r="L75" s="89">
        <v>0.3</v>
      </c>
      <c r="M75" s="89">
        <v>0.3</v>
      </c>
      <c r="N75" s="89">
        <v>0.3</v>
      </c>
      <c r="O75" s="89">
        <v>0.3</v>
      </c>
      <c r="P75" s="89">
        <v>0.3</v>
      </c>
      <c r="Q75" s="89">
        <v>0.3</v>
      </c>
    </row>
    <row r="76" spans="1:17" x14ac:dyDescent="0.3">
      <c r="A76" s="8" t="s">
        <v>359</v>
      </c>
      <c r="B76" s="8" t="s">
        <v>681</v>
      </c>
      <c r="C76" s="9">
        <f>C56+C63+C69</f>
        <v>4636.0669999999991</v>
      </c>
      <c r="D76" s="9">
        <f>D56+D63+D69</f>
        <v>7176.4359999999997</v>
      </c>
      <c r="E76" s="9">
        <f>E56+E63+E69</f>
        <v>6935.692</v>
      </c>
      <c r="F76" s="9">
        <f>F56+F63+F69</f>
        <v>8168.9409999999998</v>
      </c>
      <c r="G76" s="255">
        <f>G56+G63+G69</f>
        <v>11296.152000000002</v>
      </c>
      <c r="H76" s="207">
        <f t="shared" ref="H76:O76" ca="1" si="83">H56+H63+H69</f>
        <v>13092.652257517877</v>
      </c>
      <c r="I76" s="9">
        <f t="shared" ca="1" si="83"/>
        <v>16302.280312765775</v>
      </c>
      <c r="J76" s="9">
        <f t="shared" ca="1" si="83"/>
        <v>19698.09879839114</v>
      </c>
      <c r="K76" s="9">
        <f t="shared" ca="1" si="83"/>
        <v>23834.715508893059</v>
      </c>
      <c r="L76" s="9">
        <f t="shared" ca="1" si="83"/>
        <v>28330.886569849259</v>
      </c>
      <c r="M76" s="9">
        <f t="shared" ca="1" si="83"/>
        <v>33632.039421744208</v>
      </c>
      <c r="N76" s="9">
        <f t="shared" ca="1" si="83"/>
        <v>39153.914894092493</v>
      </c>
      <c r="O76" s="9">
        <f t="shared" ca="1" si="83"/>
        <v>45567.726545403581</v>
      </c>
      <c r="P76" s="9">
        <f t="shared" ref="P76:Q76" ca="1" si="84">P56+P63+P69</f>
        <v>53043.853088962336</v>
      </c>
      <c r="Q76" s="9">
        <f t="shared" ca="1" si="84"/>
        <v>61760.269075308992</v>
      </c>
    </row>
    <row r="77" spans="1:17" x14ac:dyDescent="0.3">
      <c r="A77" s="11" t="s">
        <v>682</v>
      </c>
      <c r="B77" s="11" t="s">
        <v>683</v>
      </c>
      <c r="C77" s="12">
        <f>C78+C80</f>
        <v>2018.2759999999998</v>
      </c>
      <c r="D77" s="12">
        <f>D78+D80</f>
        <v>3967.0210000000002</v>
      </c>
      <c r="E77" s="12">
        <f>E78+E80</f>
        <v>4095.5680000000002</v>
      </c>
      <c r="F77" s="12">
        <f>F78+F80</f>
        <v>3858.6219999999998</v>
      </c>
      <c r="G77" s="251">
        <f>G78+G80</f>
        <v>2531.7600000000002</v>
      </c>
      <c r="H77" s="208">
        <f t="shared" ref="H77:O77" ca="1" si="85">H78+H80</f>
        <v>3271.1357542142309</v>
      </c>
      <c r="I77" s="12">
        <f t="shared" ca="1" si="85"/>
        <v>3998.3992102868228</v>
      </c>
      <c r="J77" s="12">
        <f t="shared" ca="1" si="85"/>
        <v>4862.709284639599</v>
      </c>
      <c r="K77" s="12">
        <f t="shared" ca="1" si="85"/>
        <v>6031.2298827180821</v>
      </c>
      <c r="L77" s="12">
        <f t="shared" ca="1" si="85"/>
        <v>7415.7116041229137</v>
      </c>
      <c r="M77" s="12">
        <f t="shared" ca="1" si="85"/>
        <v>9231.3996793651822</v>
      </c>
      <c r="N77" s="12">
        <f t="shared" ca="1" si="85"/>
        <v>11296.607502409899</v>
      </c>
      <c r="O77" s="12">
        <f t="shared" ca="1" si="85"/>
        <v>13722.599774473849</v>
      </c>
      <c r="P77" s="12">
        <f t="shared" ref="P77:Q77" ca="1" si="86">P78+P80</f>
        <v>16567.618180951376</v>
      </c>
      <c r="Q77" s="12">
        <f t="shared" ca="1" si="86"/>
        <v>19902.703847964873</v>
      </c>
    </row>
    <row r="78" spans="1:17" x14ac:dyDescent="0.3">
      <c r="A78" s="11" t="s">
        <v>684</v>
      </c>
      <c r="B78" s="11" t="s">
        <v>685</v>
      </c>
      <c r="C78" s="12">
        <f>'Balance Sheet - Actual'!C43+'Balance Sheet - Actual'!C44</f>
        <v>1840.4059999999999</v>
      </c>
      <c r="D78" s="12">
        <f>'Balance Sheet - Actual'!D43+'Balance Sheet - Actual'!D44</f>
        <v>3475.7080000000001</v>
      </c>
      <c r="E78" s="12">
        <f>'Balance Sheet - Actual'!E43+'Balance Sheet - Actual'!E44</f>
        <v>3338.75</v>
      </c>
      <c r="F78" s="12">
        <f>'Balance Sheet - Actual'!F43+'Balance Sheet - Actual'!F44</f>
        <v>3069.1079999999997</v>
      </c>
      <c r="G78" s="251">
        <f>'Balance Sheet - Actual'!G43+'Balance Sheet - Actual'!G44</f>
        <v>1728.258</v>
      </c>
      <c r="H78" s="237">
        <f t="shared" ref="H78:O78" ca="1" si="87">H79*H121</f>
        <v>2213.4069488700115</v>
      </c>
      <c r="I78" s="86">
        <f t="shared" ca="1" si="87"/>
        <v>2673.4761396968856</v>
      </c>
      <c r="J78" s="86">
        <f t="shared" ca="1" si="87"/>
        <v>3257.8866034323155</v>
      </c>
      <c r="K78" s="86">
        <f t="shared" ca="1" si="87"/>
        <v>4086.3259675249283</v>
      </c>
      <c r="L78" s="86">
        <f t="shared" ca="1" si="87"/>
        <v>5106.9415759296944</v>
      </c>
      <c r="M78" s="86">
        <f t="shared" ca="1" si="87"/>
        <v>6495.2095832140085</v>
      </c>
      <c r="N78" s="86">
        <f t="shared" ca="1" si="87"/>
        <v>8123.8637955088043</v>
      </c>
      <c r="O78" s="86">
        <f t="shared" ca="1" si="87"/>
        <v>10043.540124782585</v>
      </c>
      <c r="P78" s="86">
        <f t="shared" ref="P78:Q78" ca="1" si="88">P79*P121</f>
        <v>12298.88067161716</v>
      </c>
      <c r="Q78" s="86">
        <f t="shared" ca="1" si="88"/>
        <v>14946.983464331024</v>
      </c>
    </row>
    <row r="79" spans="1:17" x14ac:dyDescent="0.3">
      <c r="A79" s="80" t="s">
        <v>887</v>
      </c>
      <c r="B79" s="49"/>
      <c r="C79" s="53">
        <f>C78/C$121</f>
        <v>0.87940645513961813</v>
      </c>
      <c r="D79" s="53">
        <f>D78/D$121</f>
        <v>0.81713782600978246</v>
      </c>
      <c r="E79" s="53">
        <f>E78/E$121</f>
        <v>0.74439549066336874</v>
      </c>
      <c r="F79" s="53">
        <f>F78/F$121</f>
        <v>0.69002289878109235</v>
      </c>
      <c r="G79" s="254">
        <f>G78/G$121</f>
        <v>0.42043597664885191</v>
      </c>
      <c r="H79" s="243">
        <v>0.45</v>
      </c>
      <c r="I79" s="89">
        <v>0.45</v>
      </c>
      <c r="J79" s="89">
        <v>0.45</v>
      </c>
      <c r="K79" s="89">
        <v>0.45</v>
      </c>
      <c r="L79" s="89">
        <v>0.45</v>
      </c>
      <c r="M79" s="89">
        <v>0.45</v>
      </c>
      <c r="N79" s="89">
        <v>0.45</v>
      </c>
      <c r="O79" s="89">
        <v>0.45</v>
      </c>
      <c r="P79" s="89">
        <v>0.45</v>
      </c>
      <c r="Q79" s="89">
        <v>0.45</v>
      </c>
    </row>
    <row r="80" spans="1:17" x14ac:dyDescent="0.3">
      <c r="A80" s="11" t="s">
        <v>686</v>
      </c>
      <c r="B80" s="11" t="s">
        <v>687</v>
      </c>
      <c r="C80" s="12">
        <f>C81</f>
        <v>177.87</v>
      </c>
      <c r="D80" s="12">
        <f t="shared" ref="D80:Q80" si="89">D81</f>
        <v>491.31299999999999</v>
      </c>
      <c r="E80" s="12">
        <f t="shared" si="89"/>
        <v>756.81799999999998</v>
      </c>
      <c r="F80" s="12">
        <f t="shared" si="89"/>
        <v>789.51400000000001</v>
      </c>
      <c r="G80" s="251">
        <f t="shared" si="89"/>
        <v>803.50199999999995</v>
      </c>
      <c r="H80" s="208">
        <f t="shared" si="89"/>
        <v>1057.7288053442194</v>
      </c>
      <c r="I80" s="12">
        <f t="shared" si="89"/>
        <v>1324.9230705899372</v>
      </c>
      <c r="J80" s="12">
        <f t="shared" si="89"/>
        <v>1604.8226812072833</v>
      </c>
      <c r="K80" s="12">
        <f t="shared" si="89"/>
        <v>1944.9039151931536</v>
      </c>
      <c r="L80" s="12">
        <f t="shared" si="89"/>
        <v>2308.7700281932193</v>
      </c>
      <c r="M80" s="12">
        <f t="shared" si="89"/>
        <v>2736.1900961511733</v>
      </c>
      <c r="N80" s="12">
        <f t="shared" si="89"/>
        <v>3172.7437069010948</v>
      </c>
      <c r="O80" s="12">
        <f t="shared" si="89"/>
        <v>3679.0596496912631</v>
      </c>
      <c r="P80" s="12">
        <f t="shared" si="89"/>
        <v>4268.7375093342152</v>
      </c>
      <c r="Q80" s="12">
        <f t="shared" si="89"/>
        <v>4955.7203836338485</v>
      </c>
    </row>
    <row r="81" spans="1:17" x14ac:dyDescent="0.3">
      <c r="A81" s="14" t="s">
        <v>688</v>
      </c>
      <c r="B81" s="14" t="s">
        <v>689</v>
      </c>
      <c r="C81" s="15">
        <f>'Balance Sheet - Actual'!C49</f>
        <v>177.87</v>
      </c>
      <c r="D81" s="15">
        <f>'Balance Sheet - Actual'!D49</f>
        <v>491.31299999999999</v>
      </c>
      <c r="E81" s="15">
        <f>'Balance Sheet - Actual'!E49</f>
        <v>756.81799999999998</v>
      </c>
      <c r="F81" s="15">
        <f>'Balance Sheet - Actual'!F49</f>
        <v>789.51400000000001</v>
      </c>
      <c r="G81" s="260">
        <f>'Balance Sheet - Actual'!G49</f>
        <v>803.50199999999995</v>
      </c>
      <c r="H81" s="237">
        <f t="shared" ref="H81:O81" si="90">H82*H$116</f>
        <v>1057.7288053442194</v>
      </c>
      <c r="I81" s="86">
        <f t="shared" si="90"/>
        <v>1324.9230705899372</v>
      </c>
      <c r="J81" s="86">
        <f t="shared" si="90"/>
        <v>1604.8226812072833</v>
      </c>
      <c r="K81" s="86">
        <f t="shared" si="90"/>
        <v>1944.9039151931536</v>
      </c>
      <c r="L81" s="86">
        <f t="shared" si="90"/>
        <v>2308.7700281932193</v>
      </c>
      <c r="M81" s="86">
        <f t="shared" si="90"/>
        <v>2736.1900961511733</v>
      </c>
      <c r="N81" s="86">
        <f t="shared" si="90"/>
        <v>3172.7437069010948</v>
      </c>
      <c r="O81" s="86">
        <f t="shared" si="90"/>
        <v>3679.0596496912631</v>
      </c>
      <c r="P81" s="86">
        <f t="shared" ref="P81:Q81" si="91">P82*P$116</f>
        <v>4268.7375093342152</v>
      </c>
      <c r="Q81" s="86">
        <f t="shared" si="91"/>
        <v>4955.7203836338485</v>
      </c>
    </row>
    <row r="82" spans="1:17" x14ac:dyDescent="0.3">
      <c r="A82" s="106" t="s">
        <v>859</v>
      </c>
      <c r="B82" s="14"/>
      <c r="C82" s="107">
        <f>C81/C$116</f>
        <v>4.0649830517151229E-2</v>
      </c>
      <c r="D82" s="107">
        <f>D81/D$116</f>
        <v>4.9352448320926064E-2</v>
      </c>
      <c r="E82" s="107">
        <f>E81/E$116</f>
        <v>6.0790034783956726E-2</v>
      </c>
      <c r="F82" s="107">
        <f>F81/F$116</f>
        <v>6.0436358848583394E-2</v>
      </c>
      <c r="G82" s="261">
        <f>G81/G$116</f>
        <v>4.7771010779752932E-2</v>
      </c>
      <c r="H82" s="245">
        <v>0.05</v>
      </c>
      <c r="I82" s="118">
        <v>0.05</v>
      </c>
      <c r="J82" s="118">
        <v>0.05</v>
      </c>
      <c r="K82" s="118">
        <v>0.05</v>
      </c>
      <c r="L82" s="118">
        <v>0.05</v>
      </c>
      <c r="M82" s="118">
        <v>0.05</v>
      </c>
      <c r="N82" s="118">
        <v>0.05</v>
      </c>
      <c r="O82" s="118">
        <v>0.05</v>
      </c>
      <c r="P82" s="118">
        <v>0.05</v>
      </c>
      <c r="Q82" s="118">
        <v>0.05</v>
      </c>
    </row>
    <row r="83" spans="1:17" x14ac:dyDescent="0.3">
      <c r="A83" s="11" t="s">
        <v>690</v>
      </c>
      <c r="B83" s="11" t="s">
        <v>691</v>
      </c>
      <c r="C83" s="12">
        <f t="shared" ref="C83:O83" si="92">C84+C86+C89+C91+C93+C94</f>
        <v>381.08900000000006</v>
      </c>
      <c r="D83" s="12">
        <f t="shared" si="92"/>
        <v>188.15899999999999</v>
      </c>
      <c r="E83" s="12">
        <f t="shared" si="92"/>
        <v>160.71200000000002</v>
      </c>
      <c r="F83" s="12">
        <f t="shared" si="92"/>
        <v>158.084</v>
      </c>
      <c r="G83" s="251">
        <f t="shared" si="92"/>
        <v>319.98099999999999</v>
      </c>
      <c r="H83" s="208">
        <f t="shared" si="92"/>
        <v>307.95127150679633</v>
      </c>
      <c r="I83" s="12">
        <f t="shared" si="92"/>
        <v>385.74324739513906</v>
      </c>
      <c r="J83" s="12">
        <f t="shared" si="92"/>
        <v>467.23430686932818</v>
      </c>
      <c r="K83" s="12">
        <f t="shared" si="92"/>
        <v>566.24687785387937</v>
      </c>
      <c r="L83" s="12">
        <f t="shared" si="92"/>
        <v>672.18427087036275</v>
      </c>
      <c r="M83" s="12">
        <f t="shared" si="92"/>
        <v>796.62500911076472</v>
      </c>
      <c r="N83" s="12">
        <f t="shared" si="92"/>
        <v>923.72492246480374</v>
      </c>
      <c r="O83" s="12">
        <f t="shared" si="92"/>
        <v>1071.1357120534005</v>
      </c>
      <c r="P83" s="12">
        <f t="shared" ref="P83" si="93">P84+P86+P89+P91+P93+P94</f>
        <v>1242.8168138055241</v>
      </c>
      <c r="Q83" s="12">
        <f t="shared" ref="Q83" si="94">Q84+Q86+Q89+Q91+Q93+Q94</f>
        <v>1442.8276753562961</v>
      </c>
    </row>
    <row r="84" spans="1:17" x14ac:dyDescent="0.3">
      <c r="A84" s="11" t="s">
        <v>692</v>
      </c>
      <c r="B84" s="11" t="s">
        <v>693</v>
      </c>
      <c r="C84" s="12">
        <f>'Balance Sheet - Actual'!C50</f>
        <v>36.158999999999999</v>
      </c>
      <c r="D84" s="12">
        <f>'Balance Sheet - Actual'!D50</f>
        <v>76.233999999999995</v>
      </c>
      <c r="E84" s="12">
        <f>'Balance Sheet - Actual'!E50</f>
        <v>87.072000000000003</v>
      </c>
      <c r="F84" s="12">
        <f>'Balance Sheet - Actual'!F50</f>
        <v>79.257000000000005</v>
      </c>
      <c r="G84" s="251">
        <f>'Balance Sheet - Actual'!G50</f>
        <v>71.677999999999997</v>
      </c>
      <c r="H84" s="237">
        <f t="shared" ref="H84:O84" si="95">H85*H$116</f>
        <v>105.77288053442193</v>
      </c>
      <c r="I84" s="86">
        <f t="shared" si="95"/>
        <v>132.49230705899373</v>
      </c>
      <c r="J84" s="86">
        <f t="shared" si="95"/>
        <v>160.48226812072832</v>
      </c>
      <c r="K84" s="86">
        <f t="shared" si="95"/>
        <v>194.49039151931535</v>
      </c>
      <c r="L84" s="86">
        <f t="shared" si="95"/>
        <v>230.87700281932194</v>
      </c>
      <c r="M84" s="86">
        <f t="shared" si="95"/>
        <v>273.61900961511731</v>
      </c>
      <c r="N84" s="86">
        <f t="shared" si="95"/>
        <v>317.27437069010949</v>
      </c>
      <c r="O84" s="86">
        <f t="shared" si="95"/>
        <v>367.90596496912627</v>
      </c>
      <c r="P84" s="86">
        <f t="shared" ref="P84:Q84" si="96">P85*P$116</f>
        <v>426.87375093342149</v>
      </c>
      <c r="Q84" s="86">
        <f t="shared" si="96"/>
        <v>495.57203836338488</v>
      </c>
    </row>
    <row r="85" spans="1:17" x14ac:dyDescent="0.3">
      <c r="A85" s="80" t="s">
        <v>859</v>
      </c>
      <c r="B85" s="49"/>
      <c r="C85" s="53">
        <f>C84/C$116</f>
        <v>8.2636600982159518E-3</v>
      </c>
      <c r="D85" s="53">
        <f>D84/D$116</f>
        <v>7.6577142174082055E-3</v>
      </c>
      <c r="E85" s="53">
        <f>E84/E$116</f>
        <v>6.9939006586903062E-3</v>
      </c>
      <c r="F85" s="53">
        <f>F84/F$116</f>
        <v>6.0670292018408468E-3</v>
      </c>
      <c r="G85" s="254">
        <f>G84/G$116</f>
        <v>4.2615083853819041E-3</v>
      </c>
      <c r="H85" s="243">
        <v>5.0000000000000001E-3</v>
      </c>
      <c r="I85" s="89">
        <v>5.0000000000000001E-3</v>
      </c>
      <c r="J85" s="89">
        <v>5.0000000000000001E-3</v>
      </c>
      <c r="K85" s="89">
        <v>5.0000000000000001E-3</v>
      </c>
      <c r="L85" s="89">
        <v>5.0000000000000001E-3</v>
      </c>
      <c r="M85" s="89">
        <v>5.0000000000000001E-3</v>
      </c>
      <c r="N85" s="89">
        <v>5.0000000000000001E-3</v>
      </c>
      <c r="O85" s="89">
        <v>5.0000000000000001E-3</v>
      </c>
      <c r="P85" s="89">
        <v>5.0000000000000001E-3</v>
      </c>
      <c r="Q85" s="89">
        <v>5.0000000000000001E-3</v>
      </c>
    </row>
    <row r="86" spans="1:17" x14ac:dyDescent="0.3">
      <c r="A86" s="11" t="s">
        <v>694</v>
      </c>
      <c r="B86" s="11" t="s">
        <v>695</v>
      </c>
      <c r="C86" s="12">
        <f>C87+C88</f>
        <v>0</v>
      </c>
      <c r="D86" s="12">
        <f t="shared" ref="D86:O86" si="97">D87+D88</f>
        <v>0</v>
      </c>
      <c r="E86" s="12">
        <f t="shared" si="97"/>
        <v>0</v>
      </c>
      <c r="F86" s="12">
        <f t="shared" si="97"/>
        <v>0</v>
      </c>
      <c r="G86" s="251">
        <f t="shared" si="97"/>
        <v>0</v>
      </c>
      <c r="H86" s="208">
        <f t="shared" si="97"/>
        <v>0</v>
      </c>
      <c r="I86" s="12">
        <f t="shared" si="97"/>
        <v>0</v>
      </c>
      <c r="J86" s="12">
        <f t="shared" si="97"/>
        <v>0</v>
      </c>
      <c r="K86" s="12">
        <f t="shared" si="97"/>
        <v>0</v>
      </c>
      <c r="L86" s="12">
        <f t="shared" si="97"/>
        <v>0</v>
      </c>
      <c r="M86" s="12">
        <f t="shared" si="97"/>
        <v>0</v>
      </c>
      <c r="N86" s="12">
        <f t="shared" si="97"/>
        <v>0</v>
      </c>
      <c r="O86" s="12">
        <f t="shared" si="97"/>
        <v>0</v>
      </c>
      <c r="P86" s="12">
        <f t="shared" ref="P86:Q86" si="98">P87+P88</f>
        <v>0</v>
      </c>
      <c r="Q86" s="12">
        <f t="shared" si="98"/>
        <v>0</v>
      </c>
    </row>
    <row r="87" spans="1:17" x14ac:dyDescent="0.3">
      <c r="A87" s="30" t="s">
        <v>696</v>
      </c>
      <c r="B87" s="14" t="s">
        <v>697</v>
      </c>
      <c r="C87" s="44">
        <v>0</v>
      </c>
      <c r="D87" s="44">
        <v>0</v>
      </c>
      <c r="E87" s="44">
        <v>0</v>
      </c>
      <c r="F87" s="44">
        <v>0</v>
      </c>
      <c r="G87" s="262">
        <v>0</v>
      </c>
      <c r="H87" s="246">
        <v>0</v>
      </c>
      <c r="I87" s="44">
        <v>0</v>
      </c>
      <c r="J87" s="44">
        <v>0</v>
      </c>
      <c r="K87" s="44">
        <v>0</v>
      </c>
      <c r="L87" s="44">
        <v>0</v>
      </c>
      <c r="M87" s="44">
        <v>0</v>
      </c>
      <c r="N87" s="44">
        <v>0</v>
      </c>
      <c r="O87" s="44">
        <v>0</v>
      </c>
      <c r="P87" s="44">
        <v>0</v>
      </c>
      <c r="Q87" s="44">
        <v>0</v>
      </c>
    </row>
    <row r="88" spans="1:17" x14ac:dyDescent="0.3">
      <c r="A88" s="30" t="s">
        <v>698</v>
      </c>
      <c r="B88" s="14" t="s">
        <v>699</v>
      </c>
      <c r="C88" s="44">
        <v>0</v>
      </c>
      <c r="D88" s="44">
        <v>0</v>
      </c>
      <c r="E88" s="44">
        <v>0</v>
      </c>
      <c r="F88" s="44">
        <v>0</v>
      </c>
      <c r="G88" s="262">
        <v>0</v>
      </c>
      <c r="H88" s="246">
        <v>0</v>
      </c>
      <c r="I88" s="44">
        <v>0</v>
      </c>
      <c r="J88" s="44">
        <v>0</v>
      </c>
      <c r="K88" s="44">
        <v>0</v>
      </c>
      <c r="L88" s="44">
        <v>0</v>
      </c>
      <c r="M88" s="44">
        <v>0</v>
      </c>
      <c r="N88" s="44">
        <v>0</v>
      </c>
      <c r="O88" s="44">
        <v>0</v>
      </c>
      <c r="P88" s="44">
        <v>0</v>
      </c>
      <c r="Q88" s="44">
        <v>0</v>
      </c>
    </row>
    <row r="89" spans="1:17" x14ac:dyDescent="0.3">
      <c r="A89" s="11" t="s">
        <v>676</v>
      </c>
      <c r="B89" s="11" t="s">
        <v>700</v>
      </c>
      <c r="C89" s="12">
        <f>'Balance Sheet - Actual'!C47</f>
        <v>343.29700000000003</v>
      </c>
      <c r="D89" s="12">
        <f>'Balance Sheet - Actual'!D47</f>
        <v>104.82599999999999</v>
      </c>
      <c r="E89" s="12">
        <f>'Balance Sheet - Actual'!E47</f>
        <v>63.566000000000003</v>
      </c>
      <c r="F89" s="12">
        <f>'Balance Sheet - Actual'!F47</f>
        <v>72.587000000000003</v>
      </c>
      <c r="G89" s="251">
        <f>'Balance Sheet - Actual'!G47</f>
        <v>109.895</v>
      </c>
      <c r="H89" s="237">
        <f t="shared" ref="H89:O89" si="99">H90*H$116</f>
        <v>148.0820327481907</v>
      </c>
      <c r="I89" s="86">
        <f t="shared" si="99"/>
        <v>185.48922988259122</v>
      </c>
      <c r="J89" s="86">
        <f t="shared" si="99"/>
        <v>224.67517536901966</v>
      </c>
      <c r="K89" s="86">
        <f t="shared" si="99"/>
        <v>272.2865481270415</v>
      </c>
      <c r="L89" s="86">
        <f t="shared" si="99"/>
        <v>323.22780394705069</v>
      </c>
      <c r="M89" s="86">
        <f t="shared" si="99"/>
        <v>383.06661346116425</v>
      </c>
      <c r="N89" s="86">
        <f t="shared" si="99"/>
        <v>444.18411896615328</v>
      </c>
      <c r="O89" s="86">
        <f t="shared" si="99"/>
        <v>515.06835095677684</v>
      </c>
      <c r="P89" s="86">
        <f t="shared" ref="P89:Q89" si="100">P90*P$116</f>
        <v>597.62325130679005</v>
      </c>
      <c r="Q89" s="86">
        <f t="shared" si="100"/>
        <v>693.80085370873883</v>
      </c>
    </row>
    <row r="90" spans="1:17" x14ac:dyDescent="0.3">
      <c r="A90" s="80" t="s">
        <v>859</v>
      </c>
      <c r="B90" s="49"/>
      <c r="C90" s="53">
        <f>C89/C$116</f>
        <v>7.8455978338373339E-2</v>
      </c>
      <c r="D90" s="53">
        <f>D89/D$116</f>
        <v>1.0529783961933423E-2</v>
      </c>
      <c r="E90" s="53">
        <f>E89/E$116</f>
        <v>5.1058237926119533E-3</v>
      </c>
      <c r="F90" s="53">
        <f>F89/F$116</f>
        <v>5.5564486250302371E-3</v>
      </c>
      <c r="G90" s="254">
        <f>G89/G$116</f>
        <v>6.5336430147541003E-3</v>
      </c>
      <c r="H90" s="243">
        <v>7.0000000000000001E-3</v>
      </c>
      <c r="I90" s="89">
        <v>7.0000000000000001E-3</v>
      </c>
      <c r="J90" s="89">
        <v>7.0000000000000001E-3</v>
      </c>
      <c r="K90" s="89">
        <v>7.0000000000000001E-3</v>
      </c>
      <c r="L90" s="89">
        <v>7.0000000000000001E-3</v>
      </c>
      <c r="M90" s="89">
        <v>7.0000000000000001E-3</v>
      </c>
      <c r="N90" s="89">
        <v>7.0000000000000001E-3</v>
      </c>
      <c r="O90" s="89">
        <v>7.0000000000000001E-3</v>
      </c>
      <c r="P90" s="89">
        <v>7.0000000000000001E-3</v>
      </c>
      <c r="Q90" s="89">
        <v>7.0000000000000001E-3</v>
      </c>
    </row>
    <row r="91" spans="1:17" x14ac:dyDescent="0.3">
      <c r="A91" s="11" t="s">
        <v>701</v>
      </c>
      <c r="B91" s="11" t="s">
        <v>702</v>
      </c>
      <c r="C91" s="12">
        <f>'Balance Sheet - Actual'!C46</f>
        <v>1.526</v>
      </c>
      <c r="D91" s="12">
        <f>'Balance Sheet - Actual'!D46</f>
        <v>6.992</v>
      </c>
      <c r="E91" s="12">
        <f>'Balance Sheet - Actual'!E46</f>
        <v>9.9670000000000005</v>
      </c>
      <c r="F91" s="12">
        <f>'Balance Sheet - Actual'!F46</f>
        <v>0.13300000000000001</v>
      </c>
      <c r="G91" s="251">
        <f>'Balance Sheet - Actual'!G46</f>
        <v>0.40799999999999997</v>
      </c>
      <c r="H91" s="237">
        <f t="shared" ref="H91:O91" si="101">H92*H$116</f>
        <v>8.130583939389318</v>
      </c>
      <c r="I91" s="86">
        <f t="shared" si="101"/>
        <v>10.184461446295995</v>
      </c>
      <c r="J91" s="86">
        <f t="shared" si="101"/>
        <v>12.336002812313833</v>
      </c>
      <c r="K91" s="86">
        <f t="shared" si="101"/>
        <v>14.950150224356165</v>
      </c>
      <c r="L91" s="86">
        <f t="shared" si="101"/>
        <v>17.747128012517638</v>
      </c>
      <c r="M91" s="86">
        <f t="shared" si="101"/>
        <v>21.032634394071366</v>
      </c>
      <c r="N91" s="86">
        <f t="shared" si="101"/>
        <v>24.388348787318531</v>
      </c>
      <c r="O91" s="86">
        <f t="shared" si="101"/>
        <v>28.280314527408983</v>
      </c>
      <c r="P91" s="86">
        <f t="shared" ref="P91:Q91" si="102">P92*P$116</f>
        <v>32.813069342066967</v>
      </c>
      <c r="Q91" s="86">
        <f t="shared" si="102"/>
        <v>38.093791485772215</v>
      </c>
    </row>
    <row r="92" spans="1:17" x14ac:dyDescent="0.3">
      <c r="A92" s="80" t="s">
        <v>859</v>
      </c>
      <c r="B92" s="49"/>
      <c r="C92" s="53">
        <f>C91/C$116</f>
        <v>3.4874707015895189E-4</v>
      </c>
      <c r="D92" s="53">
        <f>D91/D$116</f>
        <v>7.0234721788333516E-4</v>
      </c>
      <c r="E92" s="53">
        <f>E91/E$116</f>
        <v>8.0058121859112325E-4</v>
      </c>
      <c r="F92" s="53">
        <f>F91/F$116</f>
        <v>1.0180992011365969E-5</v>
      </c>
      <c r="G92" s="254">
        <f>G91/G$116</f>
        <v>2.4257030347328564E-5</v>
      </c>
      <c r="H92" s="243">
        <f>AVERAGE($D$92:$G$92)</f>
        <v>3.8434161470828819E-4</v>
      </c>
      <c r="I92" s="89">
        <f t="shared" ref="I92:Q92" si="103">AVERAGE($D$92:$G$92)</f>
        <v>3.8434161470828819E-4</v>
      </c>
      <c r="J92" s="89">
        <f t="shared" si="103"/>
        <v>3.8434161470828819E-4</v>
      </c>
      <c r="K92" s="89">
        <f t="shared" si="103"/>
        <v>3.8434161470828819E-4</v>
      </c>
      <c r="L92" s="89">
        <f t="shared" si="103"/>
        <v>3.8434161470828819E-4</v>
      </c>
      <c r="M92" s="89">
        <f t="shared" si="103"/>
        <v>3.8434161470828819E-4</v>
      </c>
      <c r="N92" s="89">
        <f t="shared" si="103"/>
        <v>3.8434161470828819E-4</v>
      </c>
      <c r="O92" s="89">
        <f t="shared" si="103"/>
        <v>3.8434161470828819E-4</v>
      </c>
      <c r="P92" s="89">
        <f t="shared" si="103"/>
        <v>3.8434161470828819E-4</v>
      </c>
      <c r="Q92" s="89">
        <f t="shared" si="103"/>
        <v>3.8434161470828819E-4</v>
      </c>
    </row>
    <row r="93" spans="1:17" x14ac:dyDescent="0.3">
      <c r="A93" s="11" t="s">
        <v>678</v>
      </c>
      <c r="B93" s="11" t="s">
        <v>703</v>
      </c>
      <c r="C93" s="41">
        <v>0</v>
      </c>
      <c r="D93" s="41">
        <v>0</v>
      </c>
      <c r="E93" s="41">
        <v>0</v>
      </c>
      <c r="F93" s="41">
        <v>0</v>
      </c>
      <c r="G93" s="253">
        <v>0</v>
      </c>
      <c r="H93" s="242">
        <v>0</v>
      </c>
      <c r="I93" s="41">
        <v>0</v>
      </c>
      <c r="J93" s="41">
        <v>0</v>
      </c>
      <c r="K93" s="41">
        <v>0</v>
      </c>
      <c r="L93" s="41">
        <v>0</v>
      </c>
      <c r="M93" s="41">
        <v>0</v>
      </c>
      <c r="N93" s="41">
        <v>0</v>
      </c>
      <c r="O93" s="41">
        <v>0</v>
      </c>
      <c r="P93" s="41">
        <v>0</v>
      </c>
      <c r="Q93" s="41">
        <v>0</v>
      </c>
    </row>
    <row r="94" spans="1:17" x14ac:dyDescent="0.3">
      <c r="A94" s="11" t="s">
        <v>704</v>
      </c>
      <c r="B94" s="11" t="s">
        <v>705</v>
      </c>
      <c r="C94" s="12">
        <f>'Balance Sheet - Actual'!C48</f>
        <v>0.107</v>
      </c>
      <c r="D94" s="12">
        <f>'Balance Sheet - Actual'!D48</f>
        <v>0.107</v>
      </c>
      <c r="E94" s="12">
        <f>'Balance Sheet - Actual'!E48</f>
        <v>0.107</v>
      </c>
      <c r="F94" s="12">
        <f>'Balance Sheet - Actual'!F48</f>
        <v>6.1070000000000002</v>
      </c>
      <c r="G94" s="251">
        <f>'Balance Sheet - Actual'!G48</f>
        <v>138</v>
      </c>
      <c r="H94" s="237">
        <f t="shared" ref="H94:O94" si="104">H95*H$116</f>
        <v>45.965774284794371</v>
      </c>
      <c r="I94" s="86">
        <f t="shared" si="104"/>
        <v>57.577249007258082</v>
      </c>
      <c r="J94" s="86">
        <f t="shared" si="104"/>
        <v>69.740860567266424</v>
      </c>
      <c r="K94" s="86">
        <f t="shared" si="104"/>
        <v>84.519787983166438</v>
      </c>
      <c r="L94" s="86">
        <f t="shared" si="104"/>
        <v>100.33233609147246</v>
      </c>
      <c r="M94" s="86">
        <f t="shared" si="104"/>
        <v>118.90675164041187</v>
      </c>
      <c r="N94" s="86">
        <f t="shared" si="104"/>
        <v>137.87808402122243</v>
      </c>
      <c r="O94" s="86">
        <f t="shared" si="104"/>
        <v>159.88108160008849</v>
      </c>
      <c r="P94" s="86">
        <f t="shared" ref="P94:Q94" si="105">P95*P$116</f>
        <v>185.50674222324579</v>
      </c>
      <c r="Q94" s="86">
        <f t="shared" si="105"/>
        <v>215.36099179840019</v>
      </c>
    </row>
    <row r="95" spans="1:17" x14ac:dyDescent="0.3">
      <c r="A95" s="80" t="s">
        <v>859</v>
      </c>
      <c r="B95" s="49"/>
      <c r="C95" s="53">
        <f>C94/C$116</f>
        <v>2.445343152490685E-5</v>
      </c>
      <c r="D95" s="53">
        <f>D94/D$116</f>
        <v>1.0748162516235249E-5</v>
      </c>
      <c r="E95" s="53">
        <f>E94/E$116</f>
        <v>8.5945811567422682E-6</v>
      </c>
      <c r="F95" s="53">
        <f>F94/F$116</f>
        <v>4.6748359558956365E-4</v>
      </c>
      <c r="G95" s="254">
        <f>G94/G$116</f>
        <v>8.2045837939493677E-3</v>
      </c>
      <c r="H95" s="243">
        <f>AVERAGE($D$95:$G$95)</f>
        <v>2.1728525333029772E-3</v>
      </c>
      <c r="I95" s="89">
        <f t="shared" ref="I95:Q95" si="106">AVERAGE($D$95:$G$95)</f>
        <v>2.1728525333029772E-3</v>
      </c>
      <c r="J95" s="89">
        <f t="shared" si="106"/>
        <v>2.1728525333029772E-3</v>
      </c>
      <c r="K95" s="89">
        <f t="shared" si="106"/>
        <v>2.1728525333029772E-3</v>
      </c>
      <c r="L95" s="89">
        <f t="shared" si="106"/>
        <v>2.1728525333029772E-3</v>
      </c>
      <c r="M95" s="89">
        <f t="shared" si="106"/>
        <v>2.1728525333029772E-3</v>
      </c>
      <c r="N95" s="89">
        <f t="shared" si="106"/>
        <v>2.1728525333029772E-3</v>
      </c>
      <c r="O95" s="89">
        <f t="shared" si="106"/>
        <v>2.1728525333029772E-3</v>
      </c>
      <c r="P95" s="89">
        <f t="shared" si="106"/>
        <v>2.1728525333029772E-3</v>
      </c>
      <c r="Q95" s="89">
        <f t="shared" si="106"/>
        <v>2.1728525333029772E-3</v>
      </c>
    </row>
    <row r="96" spans="1:17" x14ac:dyDescent="0.3">
      <c r="A96" s="8" t="s">
        <v>362</v>
      </c>
      <c r="B96" s="8" t="s">
        <v>706</v>
      </c>
      <c r="C96" s="9">
        <f>C77+C83</f>
        <v>2399.3649999999998</v>
      </c>
      <c r="D96" s="9">
        <f>D77+D83</f>
        <v>4155.18</v>
      </c>
      <c r="E96" s="9">
        <f>E77+E83</f>
        <v>4256.2800000000007</v>
      </c>
      <c r="F96" s="9">
        <f>F77+F83</f>
        <v>4016.7059999999997</v>
      </c>
      <c r="G96" s="255">
        <f>G77+G83</f>
        <v>2851.741</v>
      </c>
      <c r="H96" s="207">
        <f t="shared" ref="H96:O96" ca="1" si="107">H77+H83</f>
        <v>3579.0870257210272</v>
      </c>
      <c r="I96" s="9">
        <f t="shared" ca="1" si="107"/>
        <v>4384.1424576819618</v>
      </c>
      <c r="J96" s="9">
        <f t="shared" ca="1" si="107"/>
        <v>5329.9435915089271</v>
      </c>
      <c r="K96" s="9">
        <f t="shared" ca="1" si="107"/>
        <v>6597.4767605719617</v>
      </c>
      <c r="L96" s="9">
        <f t="shared" ca="1" si="107"/>
        <v>8087.8958749932763</v>
      </c>
      <c r="M96" s="9">
        <f t="shared" ca="1" si="107"/>
        <v>10028.024688475947</v>
      </c>
      <c r="N96" s="9">
        <f t="shared" ca="1" si="107"/>
        <v>12220.332424874703</v>
      </c>
      <c r="O96" s="9">
        <f t="shared" ca="1" si="107"/>
        <v>14793.73548652725</v>
      </c>
      <c r="P96" s="9">
        <f t="shared" ref="P96:Q96" ca="1" si="108">P77+P83</f>
        <v>17810.434994756899</v>
      </c>
      <c r="Q96" s="9">
        <f t="shared" ca="1" si="108"/>
        <v>21345.53152332117</v>
      </c>
    </row>
    <row r="97" spans="1:17" x14ac:dyDescent="0.3">
      <c r="A97" s="8" t="s">
        <v>380</v>
      </c>
      <c r="B97" s="8" t="s">
        <v>707</v>
      </c>
      <c r="C97" s="9">
        <f>C76+C96</f>
        <v>7035.4319999999989</v>
      </c>
      <c r="D97" s="9">
        <f>D76+D96</f>
        <v>11331.616</v>
      </c>
      <c r="E97" s="9">
        <f>E76+E96</f>
        <v>11191.972000000002</v>
      </c>
      <c r="F97" s="9">
        <f>F76+F96</f>
        <v>12185.646999999999</v>
      </c>
      <c r="G97" s="255">
        <f>G76+G96</f>
        <v>14147.893000000002</v>
      </c>
      <c r="H97" s="207">
        <f t="shared" ref="H97:O97" ca="1" si="109">H76+H96</f>
        <v>16671.739283238905</v>
      </c>
      <c r="I97" s="9">
        <f t="shared" ca="1" si="109"/>
        <v>20686.422770447738</v>
      </c>
      <c r="J97" s="9">
        <f t="shared" ca="1" si="109"/>
        <v>25028.042389900067</v>
      </c>
      <c r="K97" s="9">
        <f t="shared" ca="1" si="109"/>
        <v>30432.19226946502</v>
      </c>
      <c r="L97" s="9">
        <f t="shared" ca="1" si="109"/>
        <v>36418.782444842538</v>
      </c>
      <c r="M97" s="9">
        <f t="shared" ca="1" si="109"/>
        <v>43660.064110220155</v>
      </c>
      <c r="N97" s="9">
        <f t="shared" ca="1" si="109"/>
        <v>51374.247318967195</v>
      </c>
      <c r="O97" s="9">
        <f t="shared" ca="1" si="109"/>
        <v>60361.462031930831</v>
      </c>
      <c r="P97" s="9">
        <f t="shared" ref="P97:Q97" ca="1" si="110">P76+P96</f>
        <v>70854.288083719235</v>
      </c>
      <c r="Q97" s="9">
        <f t="shared" ca="1" si="110"/>
        <v>83105.800598630158</v>
      </c>
    </row>
    <row r="98" spans="1:17" x14ac:dyDescent="0.3">
      <c r="A98" s="11" t="s">
        <v>708</v>
      </c>
      <c r="B98" s="11" t="s">
        <v>709</v>
      </c>
      <c r="C98" s="41">
        <v>0</v>
      </c>
      <c r="D98" s="41">
        <v>0</v>
      </c>
      <c r="E98" s="41">
        <v>0</v>
      </c>
      <c r="F98" s="41">
        <v>0</v>
      </c>
      <c r="G98" s="253">
        <v>0</v>
      </c>
      <c r="H98" s="242">
        <v>0</v>
      </c>
      <c r="I98" s="41">
        <v>0</v>
      </c>
      <c r="J98" s="41">
        <v>0</v>
      </c>
      <c r="K98" s="41">
        <v>0</v>
      </c>
      <c r="L98" s="41">
        <v>0</v>
      </c>
      <c r="M98" s="41">
        <v>0</v>
      </c>
      <c r="N98" s="41">
        <v>0</v>
      </c>
      <c r="O98" s="41">
        <v>0</v>
      </c>
      <c r="P98" s="41">
        <v>0</v>
      </c>
      <c r="Q98" s="41">
        <v>0</v>
      </c>
    </row>
    <row r="99" spans="1:17" x14ac:dyDescent="0.3">
      <c r="A99" s="11" t="s">
        <v>710</v>
      </c>
      <c r="B99" s="11" t="s">
        <v>711</v>
      </c>
      <c r="C99" s="12">
        <f>C100+C101</f>
        <v>8526.8259999999991</v>
      </c>
      <c r="D99" s="12">
        <f t="shared" ref="D99:O99" si="111">D100+D101</f>
        <v>14622.57</v>
      </c>
      <c r="E99" s="12">
        <f t="shared" si="111"/>
        <v>14559.971000000001</v>
      </c>
      <c r="F99" s="12">
        <f t="shared" si="111"/>
        <v>15284.155000000001</v>
      </c>
      <c r="G99" s="251">
        <f t="shared" si="111"/>
        <v>16703.486999999997</v>
      </c>
      <c r="H99" s="208">
        <f t="shared" si="111"/>
        <v>17633.022294424813</v>
      </c>
      <c r="I99" s="12">
        <f t="shared" si="111"/>
        <v>18743.501301380213</v>
      </c>
      <c r="J99" s="12">
        <f t="shared" si="111"/>
        <v>20057.834981784683</v>
      </c>
      <c r="K99" s="12">
        <f t="shared" si="111"/>
        <v>21635.525548220037</v>
      </c>
      <c r="L99" s="12">
        <f t="shared" si="111"/>
        <v>23474.432108307483</v>
      </c>
      <c r="M99" s="12">
        <f t="shared" si="111"/>
        <v>25655.312892346596</v>
      </c>
      <c r="N99" s="12">
        <f t="shared" si="111"/>
        <v>28188.568526094812</v>
      </c>
      <c r="O99" s="12">
        <f t="shared" si="111"/>
        <v>31121.982008525818</v>
      </c>
      <c r="P99" s="12">
        <f t="shared" ref="P99:Q99" si="112">P100+P101</f>
        <v>34526.755987285258</v>
      </c>
      <c r="Q99" s="12">
        <f t="shared" si="112"/>
        <v>38480.391630113241</v>
      </c>
    </row>
    <row r="100" spans="1:17" x14ac:dyDescent="0.3">
      <c r="A100" s="11" t="s">
        <v>712</v>
      </c>
      <c r="B100" s="11" t="s">
        <v>713</v>
      </c>
      <c r="C100" s="12">
        <f>'Balance Sheet - Actual'!C54</f>
        <v>0.255</v>
      </c>
      <c r="D100" s="12">
        <f>'Balance Sheet - Actual'!D54</f>
        <v>0.27800000000000002</v>
      </c>
      <c r="E100" s="12">
        <f>'Balance Sheet - Actual'!E54</f>
        <v>0.28100000000000003</v>
      </c>
      <c r="F100" s="12">
        <f>'Balance Sheet - Actual'!F54</f>
        <v>0.28499999999999998</v>
      </c>
      <c r="G100" s="251">
        <f>'Balance Sheet - Actual'!G54</f>
        <v>0.29499999999999998</v>
      </c>
      <c r="H100" s="237">
        <f>G100</f>
        <v>0.29499999999999998</v>
      </c>
      <c r="I100" s="86">
        <f t="shared" ref="I100:O100" si="113">H100</f>
        <v>0.29499999999999998</v>
      </c>
      <c r="J100" s="86">
        <f t="shared" si="113"/>
        <v>0.29499999999999998</v>
      </c>
      <c r="K100" s="86">
        <f t="shared" si="113"/>
        <v>0.29499999999999998</v>
      </c>
      <c r="L100" s="86">
        <f t="shared" si="113"/>
        <v>0.29499999999999998</v>
      </c>
      <c r="M100" s="86">
        <f t="shared" si="113"/>
        <v>0.29499999999999998</v>
      </c>
      <c r="N100" s="86">
        <f t="shared" si="113"/>
        <v>0.29499999999999998</v>
      </c>
      <c r="O100" s="86">
        <f t="shared" si="113"/>
        <v>0.29499999999999998</v>
      </c>
      <c r="P100" s="86">
        <f t="shared" ref="P100:Q100" si="114">O100</f>
        <v>0.29499999999999998</v>
      </c>
      <c r="Q100" s="86">
        <f t="shared" si="114"/>
        <v>0.29499999999999998</v>
      </c>
    </row>
    <row r="101" spans="1:17" x14ac:dyDescent="0.3">
      <c r="A101" s="11" t="s">
        <v>714</v>
      </c>
      <c r="B101" s="11" t="s">
        <v>715</v>
      </c>
      <c r="C101" s="12">
        <f>'Balance Sheet - Actual'!C55</f>
        <v>8526.5709999999999</v>
      </c>
      <c r="D101" s="12">
        <f>'Balance Sheet - Actual'!D55</f>
        <v>14622.291999999999</v>
      </c>
      <c r="E101" s="12">
        <f>'Balance Sheet - Actual'!E55</f>
        <v>14559.69</v>
      </c>
      <c r="F101" s="12">
        <f>'Balance Sheet - Actual'!F55</f>
        <v>15283.87</v>
      </c>
      <c r="G101" s="251">
        <f>'Balance Sheet - Actual'!G55</f>
        <v>16703.191999999999</v>
      </c>
      <c r="H101" s="237">
        <f>G101+H102</f>
        <v>17632.727294424814</v>
      </c>
      <c r="I101" s="86">
        <f t="shared" ref="I101:O101" si="115">H101+I102</f>
        <v>18743.206301380214</v>
      </c>
      <c r="J101" s="86">
        <f t="shared" si="115"/>
        <v>20057.539981784685</v>
      </c>
      <c r="K101" s="86">
        <f t="shared" si="115"/>
        <v>21635.230548220039</v>
      </c>
      <c r="L101" s="86">
        <f t="shared" si="115"/>
        <v>23474.137108307485</v>
      </c>
      <c r="M101" s="86">
        <f t="shared" si="115"/>
        <v>25655.017892346597</v>
      </c>
      <c r="N101" s="86">
        <f t="shared" si="115"/>
        <v>28188.273526094814</v>
      </c>
      <c r="O101" s="86">
        <f t="shared" si="115"/>
        <v>31121.68700852582</v>
      </c>
      <c r="P101" s="86">
        <f t="shared" ref="P101" si="116">O101+P102</f>
        <v>34526.46098728526</v>
      </c>
      <c r="Q101" s="86">
        <f t="shared" ref="Q101" si="117">P101+Q102</f>
        <v>38480.096630113243</v>
      </c>
    </row>
    <row r="102" spans="1:17" x14ac:dyDescent="0.3">
      <c r="A102" s="121" t="s">
        <v>891</v>
      </c>
      <c r="B102" s="11"/>
      <c r="C102" s="12"/>
      <c r="D102" s="12">
        <f>D101-C101</f>
        <v>6095.7209999999995</v>
      </c>
      <c r="E102" s="12">
        <f t="shared" ref="E102:G102" si="118">E101-D101</f>
        <v>-62.601999999998952</v>
      </c>
      <c r="F102" s="12">
        <f t="shared" si="118"/>
        <v>724.18000000000029</v>
      </c>
      <c r="G102" s="251">
        <f t="shared" si="118"/>
        <v>1419.3219999999983</v>
      </c>
      <c r="H102" s="237">
        <f t="shared" ref="H102:O102" si="119">H103*H$118</f>
        <v>929.53529442481613</v>
      </c>
      <c r="I102" s="86">
        <f t="shared" si="119"/>
        <v>1110.4790069554012</v>
      </c>
      <c r="J102" s="86">
        <f t="shared" si="119"/>
        <v>1314.3336804044718</v>
      </c>
      <c r="K102" s="86">
        <f t="shared" si="119"/>
        <v>1577.6905664353546</v>
      </c>
      <c r="L102" s="86">
        <f t="shared" si="119"/>
        <v>1838.9065600874465</v>
      </c>
      <c r="M102" s="86">
        <f t="shared" si="119"/>
        <v>2180.8807840391119</v>
      </c>
      <c r="N102" s="86">
        <f t="shared" si="119"/>
        <v>2533.2556337482151</v>
      </c>
      <c r="O102" s="86">
        <f t="shared" si="119"/>
        <v>2933.4134824310063</v>
      </c>
      <c r="P102" s="86">
        <f t="shared" ref="P102:Q102" si="120">P103*P$118</f>
        <v>3404.7739787594414</v>
      </c>
      <c r="Q102" s="86">
        <f t="shared" si="120"/>
        <v>3953.6356428279869</v>
      </c>
    </row>
    <row r="103" spans="1:17" x14ac:dyDescent="0.3">
      <c r="A103" s="80" t="s">
        <v>868</v>
      </c>
      <c r="B103" s="49"/>
      <c r="C103" s="53"/>
      <c r="D103" s="53">
        <f>D102/D$118</f>
        <v>1.2652995436949974</v>
      </c>
      <c r="E103" s="53">
        <f>E102/E$118</f>
        <v>-1.3300232534176139E-2</v>
      </c>
      <c r="F103" s="53">
        <f>F102/F$118</f>
        <v>0.18502549983431055</v>
      </c>
      <c r="G103" s="254">
        <f>G102/G$118</f>
        <v>0.29941025974223195</v>
      </c>
      <c r="H103" s="243">
        <v>0.15</v>
      </c>
      <c r="I103" s="89">
        <v>0.15</v>
      </c>
      <c r="J103" s="89">
        <v>0.15</v>
      </c>
      <c r="K103" s="89">
        <v>0.15</v>
      </c>
      <c r="L103" s="89">
        <v>0.15</v>
      </c>
      <c r="M103" s="89">
        <v>0.15</v>
      </c>
      <c r="N103" s="89">
        <v>0.15</v>
      </c>
      <c r="O103" s="89">
        <v>0.15</v>
      </c>
      <c r="P103" s="89">
        <v>0.15</v>
      </c>
      <c r="Q103" s="89">
        <v>0.15</v>
      </c>
    </row>
    <row r="104" spans="1:17" x14ac:dyDescent="0.3">
      <c r="A104" s="11" t="s">
        <v>716</v>
      </c>
      <c r="B104" s="11" t="s">
        <v>717</v>
      </c>
      <c r="C104" s="41">
        <v>0</v>
      </c>
      <c r="D104" s="41">
        <v>0</v>
      </c>
      <c r="E104" s="41">
        <v>0</v>
      </c>
      <c r="F104" s="41">
        <v>0</v>
      </c>
      <c r="G104" s="253">
        <v>0</v>
      </c>
      <c r="H104" s="242">
        <v>0</v>
      </c>
      <c r="I104" s="41">
        <v>0</v>
      </c>
      <c r="J104" s="41">
        <v>0</v>
      </c>
      <c r="K104" s="41">
        <v>0</v>
      </c>
      <c r="L104" s="41">
        <v>0</v>
      </c>
      <c r="M104" s="41">
        <v>0</v>
      </c>
      <c r="N104" s="41">
        <v>0</v>
      </c>
      <c r="O104" s="41">
        <v>0</v>
      </c>
      <c r="P104" s="41">
        <v>0</v>
      </c>
      <c r="Q104" s="41">
        <v>0</v>
      </c>
    </row>
    <row r="105" spans="1:17" x14ac:dyDescent="0.3">
      <c r="A105" s="11" t="s">
        <v>894</v>
      </c>
      <c r="B105" s="11" t="s">
        <v>718</v>
      </c>
      <c r="C105" s="12">
        <f>'Balance Sheet - Actual'!C57</f>
        <v>-5150.9579999999996</v>
      </c>
      <c r="D105" s="12">
        <f>'Balance Sheet - Actual'!D57</f>
        <v>-7201.4979999999996</v>
      </c>
      <c r="E105" s="12">
        <f>'Balance Sheet - Actual'!E57</f>
        <v>-8745.5409999999993</v>
      </c>
      <c r="F105" s="12">
        <f>'Balance Sheet - Actual'!F57</f>
        <v>-8599.3060000000005</v>
      </c>
      <c r="G105" s="251">
        <f>'Balance Sheet - Actual'!G57</f>
        <v>-8155.2640000000001</v>
      </c>
      <c r="H105" s="237">
        <f ca="1">G105+H106-H107</f>
        <v>-7619.7700772247608</v>
      </c>
      <c r="I105" s="86">
        <f t="shared" ref="I105:O105" ca="1" si="121">H105+I106-I107</f>
        <v>-6685.4971249496084</v>
      </c>
      <c r="J105" s="86">
        <f t="shared" ca="1" si="121"/>
        <v>-5402.4509665299465</v>
      </c>
      <c r="K105" s="86">
        <f t="shared" ca="1" si="121"/>
        <v>-3298.188803664802</v>
      </c>
      <c r="L105" s="86">
        <f t="shared" ca="1" si="121"/>
        <v>-601.02599306440015</v>
      </c>
      <c r="M105" s="86">
        <f t="shared" ca="1" si="121"/>
        <v>3388.173255271216</v>
      </c>
      <c r="N105" s="86">
        <f t="shared" ca="1" si="121"/>
        <v>8093.3807872776451</v>
      </c>
      <c r="O105" s="86">
        <f t="shared" ca="1" si="121"/>
        <v>13691.862101619001</v>
      </c>
      <c r="P105" s="86">
        <f t="shared" ref="P105" ca="1" si="122">O105+P106-P107</f>
        <v>20310.823886568785</v>
      </c>
      <c r="Q105" s="86">
        <f t="shared" ref="Q105" ca="1" si="123">P105+Q106-Q107</f>
        <v>28126.533989135765</v>
      </c>
    </row>
    <row r="106" spans="1:17" x14ac:dyDescent="0.3">
      <c r="A106" s="122" t="s">
        <v>892</v>
      </c>
      <c r="B106" s="11"/>
      <c r="C106" s="12"/>
      <c r="D106" s="12"/>
      <c r="E106" s="12"/>
      <c r="F106" s="12"/>
      <c r="G106" s="251"/>
      <c r="H106" s="237">
        <f ca="1">H119</f>
        <v>535.49392277523884</v>
      </c>
      <c r="I106" s="86">
        <f t="shared" ref="I106:O106" ca="1" si="124">I119</f>
        <v>934.27295227515242</v>
      </c>
      <c r="J106" s="86">
        <f t="shared" ca="1" si="124"/>
        <v>1283.0461584196619</v>
      </c>
      <c r="K106" s="86">
        <f t="shared" ca="1" si="124"/>
        <v>2104.2621628651445</v>
      </c>
      <c r="L106" s="86">
        <f t="shared" ca="1" si="124"/>
        <v>2697.1628106004018</v>
      </c>
      <c r="M106" s="86">
        <f t="shared" ca="1" si="124"/>
        <v>3989.1992483356162</v>
      </c>
      <c r="N106" s="86">
        <f t="shared" ca="1" si="124"/>
        <v>4705.2075320064287</v>
      </c>
      <c r="O106" s="86">
        <f t="shared" ca="1" si="124"/>
        <v>5598.4813143413567</v>
      </c>
      <c r="P106" s="86">
        <f t="shared" ref="P106:Q106" ca="1" si="125">P119</f>
        <v>6618.9617849497836</v>
      </c>
      <c r="Q106" s="86">
        <f t="shared" ca="1" si="125"/>
        <v>7815.7101025669799</v>
      </c>
    </row>
    <row r="107" spans="1:17" x14ac:dyDescent="0.3">
      <c r="A107" s="122" t="s">
        <v>893</v>
      </c>
      <c r="B107" s="11"/>
      <c r="C107" s="12"/>
      <c r="D107" s="12"/>
      <c r="E107" s="12"/>
      <c r="F107" s="12"/>
      <c r="G107" s="251"/>
      <c r="H107" s="242">
        <v>0</v>
      </c>
      <c r="I107" s="41">
        <v>0</v>
      </c>
      <c r="J107" s="41">
        <v>0</v>
      </c>
      <c r="K107" s="41">
        <v>0</v>
      </c>
      <c r="L107" s="41">
        <v>0</v>
      </c>
      <c r="M107" s="41">
        <v>0</v>
      </c>
      <c r="N107" s="41">
        <v>0</v>
      </c>
      <c r="O107" s="41">
        <v>0</v>
      </c>
      <c r="P107" s="41">
        <v>0</v>
      </c>
      <c r="Q107" s="41">
        <v>0</v>
      </c>
    </row>
    <row r="108" spans="1:17" x14ac:dyDescent="0.3">
      <c r="A108" s="11" t="s">
        <v>752</v>
      </c>
      <c r="B108" s="11" t="s">
        <v>719</v>
      </c>
      <c r="C108" s="12">
        <f>'Balance Sheet - Actual'!C56+'Balance Sheet - Actual'!C61</f>
        <v>7.0440000000000005</v>
      </c>
      <c r="D108" s="12">
        <f>'Balance Sheet - Actual'!D56+'Balance Sheet - Actual'!D61</f>
        <v>-22.375</v>
      </c>
      <c r="E108" s="12">
        <f>'Balance Sheet - Actual'!E56+'Balance Sheet - Actual'!E61</f>
        <v>-98.725000000000009</v>
      </c>
      <c r="F108" s="12">
        <f>'Balance Sheet - Actual'!F56+'Balance Sheet - Actual'!F61</f>
        <v>-91.019000000000005</v>
      </c>
      <c r="G108" s="251">
        <f>'Balance Sheet - Actual'!G56+'Balance Sheet - Actual'!G61</f>
        <v>-175.88800000000001</v>
      </c>
      <c r="H108" s="237">
        <f>G108</f>
        <v>-175.88800000000001</v>
      </c>
      <c r="I108" s="86">
        <f t="shared" ref="I108:O108" si="126">H108</f>
        <v>-175.88800000000001</v>
      </c>
      <c r="J108" s="86">
        <f t="shared" si="126"/>
        <v>-175.88800000000001</v>
      </c>
      <c r="K108" s="86">
        <f t="shared" si="126"/>
        <v>-175.88800000000001</v>
      </c>
      <c r="L108" s="86">
        <f t="shared" si="126"/>
        <v>-175.88800000000001</v>
      </c>
      <c r="M108" s="86">
        <f t="shared" si="126"/>
        <v>-175.88800000000001</v>
      </c>
      <c r="N108" s="86">
        <f t="shared" si="126"/>
        <v>-175.88800000000001</v>
      </c>
      <c r="O108" s="86">
        <f t="shared" si="126"/>
        <v>-175.88800000000001</v>
      </c>
      <c r="P108" s="86">
        <f t="shared" ref="P108:Q108" si="127">O108</f>
        <v>-175.88800000000001</v>
      </c>
      <c r="Q108" s="86">
        <f t="shared" si="127"/>
        <v>-175.88800000000001</v>
      </c>
    </row>
    <row r="109" spans="1:17" x14ac:dyDescent="0.3">
      <c r="A109" s="8" t="s">
        <v>720</v>
      </c>
      <c r="B109" s="8" t="s">
        <v>721</v>
      </c>
      <c r="C109" s="9">
        <f t="shared" ref="C109:O109" si="128">C98+C99-C104+C105+C108</f>
        <v>3382.9119999999994</v>
      </c>
      <c r="D109" s="9">
        <f t="shared" si="128"/>
        <v>7398.6970000000001</v>
      </c>
      <c r="E109" s="9">
        <f t="shared" si="128"/>
        <v>5715.7050000000017</v>
      </c>
      <c r="F109" s="9">
        <f t="shared" si="128"/>
        <v>6593.83</v>
      </c>
      <c r="G109" s="255">
        <f t="shared" si="128"/>
        <v>8372.3349999999973</v>
      </c>
      <c r="H109" s="207">
        <f t="shared" ca="1" si="128"/>
        <v>9837.3642172000509</v>
      </c>
      <c r="I109" s="9">
        <f t="shared" ca="1" si="128"/>
        <v>11882.116176430603</v>
      </c>
      <c r="J109" s="9">
        <f t="shared" ca="1" si="128"/>
        <v>14479.496015254736</v>
      </c>
      <c r="K109" s="9">
        <f t="shared" ca="1" si="128"/>
        <v>18161.448744555237</v>
      </c>
      <c r="L109" s="9">
        <f t="shared" ca="1" si="128"/>
        <v>22697.518115243085</v>
      </c>
      <c r="M109" s="9">
        <f t="shared" ca="1" si="128"/>
        <v>28867.598147617813</v>
      </c>
      <c r="N109" s="9">
        <f t="shared" ca="1" si="128"/>
        <v>36106.061313372462</v>
      </c>
      <c r="O109" s="9">
        <f t="shared" ca="1" si="128"/>
        <v>44637.95611014482</v>
      </c>
      <c r="P109" s="9">
        <f t="shared" ref="P109:Q109" ca="1" si="129">P98+P99-P104+P105+P108</f>
        <v>54661.691873854048</v>
      </c>
      <c r="Q109" s="9">
        <f t="shared" ca="1" si="129"/>
        <v>66431.037619248993</v>
      </c>
    </row>
    <row r="110" spans="1:17" x14ac:dyDescent="0.3">
      <c r="A110" s="11" t="s">
        <v>722</v>
      </c>
      <c r="B110" s="11" t="s">
        <v>723</v>
      </c>
      <c r="C110" s="12">
        <f>'Balance Sheet - Actual'!C53</f>
        <v>37.326999999999998</v>
      </c>
      <c r="D110" s="12">
        <f>'Balance Sheet - Actual'!D53</f>
        <v>25.712</v>
      </c>
      <c r="E110" s="12">
        <f>'Balance Sheet - Actual'!E53</f>
        <v>95.119</v>
      </c>
      <c r="F110" s="12">
        <f>'Balance Sheet - Actual'!F53</f>
        <v>103.755</v>
      </c>
      <c r="G110" s="251">
        <f>'Balance Sheet - Actual'!G53</f>
        <v>105.241</v>
      </c>
      <c r="H110" s="242">
        <v>0</v>
      </c>
      <c r="I110" s="41">
        <v>0</v>
      </c>
      <c r="J110" s="41">
        <v>0</v>
      </c>
      <c r="K110" s="41">
        <v>0</v>
      </c>
      <c r="L110" s="41">
        <v>0</v>
      </c>
      <c r="M110" s="41">
        <v>0</v>
      </c>
      <c r="N110" s="41">
        <v>0</v>
      </c>
      <c r="O110" s="41">
        <v>0</v>
      </c>
      <c r="P110" s="41">
        <v>0</v>
      </c>
      <c r="Q110" s="41">
        <v>0</v>
      </c>
    </row>
    <row r="111" spans="1:17" x14ac:dyDescent="0.3">
      <c r="A111" s="8" t="s">
        <v>724</v>
      </c>
      <c r="B111" s="8" t="s">
        <v>725</v>
      </c>
      <c r="C111" s="9">
        <f>C109+C110</f>
        <v>3420.2389999999996</v>
      </c>
      <c r="D111" s="9">
        <f t="shared" ref="D111:G111" si="130">D109+D110</f>
        <v>7424.4090000000006</v>
      </c>
      <c r="E111" s="9">
        <f t="shared" si="130"/>
        <v>5810.8240000000014</v>
      </c>
      <c r="F111" s="9">
        <f t="shared" si="130"/>
        <v>6697.585</v>
      </c>
      <c r="G111" s="255">
        <f t="shared" si="130"/>
        <v>8477.5759999999973</v>
      </c>
      <c r="H111" s="207">
        <f t="shared" ref="H111:O111" ca="1" si="131">H109+H110</f>
        <v>9837.3642172000509</v>
      </c>
      <c r="I111" s="9">
        <f t="shared" ca="1" si="131"/>
        <v>11882.116176430603</v>
      </c>
      <c r="J111" s="9">
        <f t="shared" ca="1" si="131"/>
        <v>14479.496015254736</v>
      </c>
      <c r="K111" s="9">
        <f t="shared" ca="1" si="131"/>
        <v>18161.448744555237</v>
      </c>
      <c r="L111" s="9">
        <f t="shared" ca="1" si="131"/>
        <v>22697.518115243085</v>
      </c>
      <c r="M111" s="9">
        <f t="shared" ca="1" si="131"/>
        <v>28867.598147617813</v>
      </c>
      <c r="N111" s="9">
        <f t="shared" ca="1" si="131"/>
        <v>36106.061313372462</v>
      </c>
      <c r="O111" s="9">
        <f t="shared" ca="1" si="131"/>
        <v>44637.95611014482</v>
      </c>
      <c r="P111" s="9">
        <f t="shared" ref="P111:Q111" ca="1" si="132">P109+P110</f>
        <v>54661.691873854048</v>
      </c>
      <c r="Q111" s="9">
        <f t="shared" ca="1" si="132"/>
        <v>66431.037619248993</v>
      </c>
    </row>
    <row r="112" spans="1:17" x14ac:dyDescent="0.3">
      <c r="A112" s="8" t="s">
        <v>726</v>
      </c>
      <c r="B112" s="8" t="s">
        <v>727</v>
      </c>
      <c r="C112" s="9">
        <f t="shared" ref="C112:O112" si="133">C97+C111</f>
        <v>10455.670999999998</v>
      </c>
      <c r="D112" s="9">
        <f t="shared" si="133"/>
        <v>18756.025000000001</v>
      </c>
      <c r="E112" s="9">
        <f t="shared" si="133"/>
        <v>17002.796000000002</v>
      </c>
      <c r="F112" s="9">
        <f t="shared" si="133"/>
        <v>18883.232</v>
      </c>
      <c r="G112" s="255">
        <f t="shared" si="133"/>
        <v>22625.468999999997</v>
      </c>
      <c r="H112" s="207">
        <f t="shared" ca="1" si="133"/>
        <v>26509.103500438956</v>
      </c>
      <c r="I112" s="9">
        <f t="shared" ca="1" si="133"/>
        <v>32568.53894687834</v>
      </c>
      <c r="J112" s="9">
        <f t="shared" ca="1" si="133"/>
        <v>39507.538405154803</v>
      </c>
      <c r="K112" s="9">
        <f t="shared" ca="1" si="133"/>
        <v>48593.641014020257</v>
      </c>
      <c r="L112" s="9">
        <f t="shared" ca="1" si="133"/>
        <v>59116.300560085627</v>
      </c>
      <c r="M112" s="9">
        <f t="shared" ca="1" si="133"/>
        <v>72527.662257837976</v>
      </c>
      <c r="N112" s="9">
        <f t="shared" ca="1" si="133"/>
        <v>87480.308632339656</v>
      </c>
      <c r="O112" s="9">
        <f t="shared" ca="1" si="133"/>
        <v>104999.41814207565</v>
      </c>
      <c r="P112" s="9">
        <f t="shared" ref="P112:Q112" ca="1" si="134">P97+P111</f>
        <v>125515.97995757329</v>
      </c>
      <c r="Q112" s="9">
        <f t="shared" ca="1" si="134"/>
        <v>149536.83821787915</v>
      </c>
    </row>
    <row r="113" spans="1:17" x14ac:dyDescent="0.3">
      <c r="A113" s="45"/>
      <c r="B113" s="46"/>
      <c r="C113" s="46"/>
      <c r="D113" s="46"/>
      <c r="E113" s="46"/>
      <c r="F113" s="46"/>
      <c r="G113" s="263"/>
      <c r="H113" s="247"/>
      <c r="I113" s="85"/>
      <c r="J113" s="85"/>
      <c r="K113" s="85"/>
      <c r="L113" s="85"/>
      <c r="M113" s="85"/>
      <c r="N113" s="85"/>
      <c r="O113" s="85"/>
      <c r="P113" s="85"/>
      <c r="Q113" s="85"/>
    </row>
    <row r="114" spans="1:17" x14ac:dyDescent="0.3">
      <c r="A114" s="8" t="s">
        <v>98</v>
      </c>
      <c r="B114" s="17"/>
      <c r="C114" s="17"/>
      <c r="D114" s="17"/>
      <c r="E114" s="17"/>
      <c r="F114" s="17"/>
      <c r="G114" s="290"/>
      <c r="H114" s="236"/>
      <c r="I114" s="83"/>
      <c r="J114" s="83"/>
      <c r="K114" s="83"/>
      <c r="L114" s="83"/>
      <c r="M114" s="83"/>
      <c r="N114" s="83"/>
      <c r="O114" s="83"/>
      <c r="P114" s="83"/>
      <c r="Q114" s="83"/>
    </row>
    <row r="115" spans="1:17" x14ac:dyDescent="0.3">
      <c r="A115" s="11" t="s">
        <v>99</v>
      </c>
      <c r="B115" s="11" t="s">
        <v>100</v>
      </c>
      <c r="C115" s="21" t="s">
        <v>101</v>
      </c>
      <c r="D115" s="21" t="s">
        <v>101</v>
      </c>
      <c r="E115" s="21" t="s">
        <v>101</v>
      </c>
      <c r="F115" s="21" t="s">
        <v>101</v>
      </c>
      <c r="G115" s="281" t="s">
        <v>101</v>
      </c>
      <c r="H115" s="286" t="s">
        <v>101</v>
      </c>
      <c r="I115" s="21" t="s">
        <v>101</v>
      </c>
      <c r="J115" s="21" t="s">
        <v>101</v>
      </c>
      <c r="K115" s="21" t="s">
        <v>101</v>
      </c>
      <c r="L115" s="21" t="s">
        <v>101</v>
      </c>
      <c r="M115" s="21" t="s">
        <v>101</v>
      </c>
      <c r="N115" s="21" t="s">
        <v>101</v>
      </c>
      <c r="O115" s="21" t="s">
        <v>101</v>
      </c>
      <c r="P115" s="21" t="s">
        <v>101</v>
      </c>
      <c r="Q115" s="21" t="s">
        <v>101</v>
      </c>
    </row>
    <row r="116" spans="1:17" x14ac:dyDescent="0.3">
      <c r="A116" s="11" t="s">
        <v>11</v>
      </c>
      <c r="B116" s="11"/>
      <c r="C116" s="88">
        <f>'IS Model'!C5</f>
        <v>4375.6639999999998</v>
      </c>
      <c r="D116" s="88">
        <f>'IS Model'!D5</f>
        <v>9955.19</v>
      </c>
      <c r="E116" s="88">
        <f>'IS Model'!E5</f>
        <v>12449.705</v>
      </c>
      <c r="F116" s="88">
        <f>'IS Model'!F5</f>
        <v>13063.56</v>
      </c>
      <c r="G116" s="291">
        <f>'IS Model'!G5</f>
        <v>16819.866000000002</v>
      </c>
      <c r="H116" s="287">
        <f>'IS Model'!H5</f>
        <v>21154.576106884386</v>
      </c>
      <c r="I116" s="88">
        <f>'IS Model'!I5</f>
        <v>26498.461411798744</v>
      </c>
      <c r="J116" s="88">
        <f>'IS Model'!J5</f>
        <v>32096.453624145663</v>
      </c>
      <c r="K116" s="88">
        <f>'IS Model'!K5</f>
        <v>38898.078303863069</v>
      </c>
      <c r="L116" s="88">
        <f>'IS Model'!L5</f>
        <v>46175.400563864387</v>
      </c>
      <c r="M116" s="88">
        <f>'IS Model'!M5</f>
        <v>54723.801923023464</v>
      </c>
      <c r="N116" s="88">
        <f>'IS Model'!N5</f>
        <v>63454.874138021893</v>
      </c>
      <c r="O116" s="88">
        <f>'IS Model'!O5</f>
        <v>73581.192993825258</v>
      </c>
      <c r="P116" s="88">
        <f>'IS Model'!P5</f>
        <v>85374.750186684294</v>
      </c>
      <c r="Q116" s="88">
        <f>'IS Model'!Q5</f>
        <v>99114.407672676971</v>
      </c>
    </row>
    <row r="117" spans="1:17" x14ac:dyDescent="0.3">
      <c r="A117" s="11" t="s">
        <v>865</v>
      </c>
      <c r="B117" s="11"/>
      <c r="C117" s="88">
        <f>'IS Model'!C15</f>
        <v>3026.759</v>
      </c>
      <c r="D117" s="88">
        <f>'IS Model'!D15</f>
        <v>6059.4549999999999</v>
      </c>
      <c r="E117" s="88">
        <f>'IS Model'!E15</f>
        <v>7264.4279999999999</v>
      </c>
      <c r="F117" s="88">
        <f>'IS Model'!F15</f>
        <v>7229.9129999999996</v>
      </c>
      <c r="G117" s="291">
        <f>'IS Model'!G15</f>
        <v>9614.7780000000002</v>
      </c>
      <c r="H117" s="287">
        <f>'IS Model'!H15</f>
        <v>11838.014964085209</v>
      </c>
      <c r="I117" s="88">
        <f>'IS Model'!I15</f>
        <v>14826.71835234687</v>
      </c>
      <c r="J117" s="88">
        <f>'IS Model'!J15</f>
        <v>17941.103215561499</v>
      </c>
      <c r="K117" s="88">
        <f>'IS Model'!K15</f>
        <v>20916.51113087964</v>
      </c>
      <c r="L117" s="88">
        <f>'IS Model'!L15</f>
        <v>24815.945690984889</v>
      </c>
      <c r="M117" s="88">
        <f>'IS Model'!M15</f>
        <v>28176.172168833051</v>
      </c>
      <c r="N117" s="88">
        <f>'IS Model'!N15</f>
        <v>32652.72512011823</v>
      </c>
      <c r="O117" s="88">
        <f>'IS Model'!O15</f>
        <v>37824.256627783114</v>
      </c>
      <c r="P117" s="88">
        <f>'IS Model'!P15</f>
        <v>43841.219600872922</v>
      </c>
      <c r="Q117" s="88">
        <f>'IS Model'!Q15</f>
        <v>50844.281520760298</v>
      </c>
    </row>
    <row r="118" spans="1:17" x14ac:dyDescent="0.3">
      <c r="A118" s="11" t="s">
        <v>867</v>
      </c>
      <c r="B118" s="11"/>
      <c r="C118" s="88">
        <f>'IS Model'!C27</f>
        <v>2430.5810000000001</v>
      </c>
      <c r="D118" s="88">
        <f>'IS Model'!D27</f>
        <v>4817.6109999999999</v>
      </c>
      <c r="E118" s="88">
        <f>'IS Model'!E27</f>
        <v>4706.835</v>
      </c>
      <c r="F118" s="88">
        <f>'IS Model'!F27</f>
        <v>3913.9470000000001</v>
      </c>
      <c r="G118" s="291">
        <f>'IS Model'!G27</f>
        <v>4740.3919999999998</v>
      </c>
      <c r="H118" s="287">
        <f>'IS Model'!H27</f>
        <v>6196.9019628321075</v>
      </c>
      <c r="I118" s="88">
        <f>'IS Model'!I27</f>
        <v>7403.1933797026759</v>
      </c>
      <c r="J118" s="88">
        <f>'IS Model'!J27</f>
        <v>8762.224536029813</v>
      </c>
      <c r="K118" s="88">
        <f>'IS Model'!K27</f>
        <v>10517.937109569031</v>
      </c>
      <c r="L118" s="88">
        <f>'IS Model'!L27</f>
        <v>12259.377067249643</v>
      </c>
      <c r="M118" s="88">
        <f>'IS Model'!M27</f>
        <v>14539.205226927414</v>
      </c>
      <c r="N118" s="88">
        <f>'IS Model'!N27</f>
        <v>16888.370891654769</v>
      </c>
      <c r="O118" s="88">
        <f>'IS Model'!O27</f>
        <v>19556.089882873377</v>
      </c>
      <c r="P118" s="88">
        <f>'IS Model'!P27</f>
        <v>22698.493191729609</v>
      </c>
      <c r="Q118" s="88">
        <f>'IS Model'!Q27</f>
        <v>26357.570952186579</v>
      </c>
    </row>
    <row r="119" spans="1:17" x14ac:dyDescent="0.3">
      <c r="A119" s="11" t="s">
        <v>208</v>
      </c>
      <c r="B119" s="11"/>
      <c r="C119" s="88">
        <f>'IS Model'!C66</f>
        <v>-1618.0560000000003</v>
      </c>
      <c r="D119" s="88">
        <f>'IS Model'!D66</f>
        <v>-2046.7589999999996</v>
      </c>
      <c r="E119" s="88">
        <f>'IS Model'!E66</f>
        <v>-1651.4209999999998</v>
      </c>
      <c r="F119" s="88">
        <f>'IS Model'!F66</f>
        <v>150.72599999999932</v>
      </c>
      <c r="G119" s="291">
        <f>'IS Model'!G66</f>
        <v>444.28900000000186</v>
      </c>
      <c r="H119" s="287">
        <f ca="1">'IS Model'!H66</f>
        <v>535.49392277523884</v>
      </c>
      <c r="I119" s="88">
        <f ca="1">'IS Model'!I66</f>
        <v>934.27295227515242</v>
      </c>
      <c r="J119" s="88">
        <f ca="1">'IS Model'!J66</f>
        <v>1283.0461584196619</v>
      </c>
      <c r="K119" s="88">
        <f ca="1">'IS Model'!K66</f>
        <v>2104.2621628651445</v>
      </c>
      <c r="L119" s="88">
        <f ca="1">'IS Model'!L66</f>
        <v>2697.1628106004018</v>
      </c>
      <c r="M119" s="88">
        <f ca="1">'IS Model'!M66</f>
        <v>3989.1992483356162</v>
      </c>
      <c r="N119" s="88">
        <f ca="1">'IS Model'!N66</f>
        <v>4705.2075320064287</v>
      </c>
      <c r="O119" s="88">
        <f ca="1">'IS Model'!O66</f>
        <v>5598.4813143413567</v>
      </c>
      <c r="P119" s="88">
        <f ca="1">'IS Model'!P66</f>
        <v>6618.9617849497836</v>
      </c>
      <c r="Q119" s="88">
        <f ca="1">'IS Model'!Q66</f>
        <v>7815.7101025669799</v>
      </c>
    </row>
    <row r="120" spans="1:17" x14ac:dyDescent="0.3">
      <c r="A120" s="11" t="s">
        <v>869</v>
      </c>
      <c r="B120" s="11"/>
      <c r="C120" s="88">
        <f>'IS Model'!C85</f>
        <v>180.761</v>
      </c>
      <c r="D120" s="88">
        <f>'IS Model'!D85</f>
        <v>279.03199999999998</v>
      </c>
      <c r="E120" s="88">
        <f>'IS Model'!E85</f>
        <v>428.34399999999999</v>
      </c>
      <c r="F120" s="88">
        <f>'IS Model'!F85</f>
        <v>440.84500000000003</v>
      </c>
      <c r="G120" s="291">
        <f>'IS Model'!G85</f>
        <v>389.673</v>
      </c>
      <c r="H120" s="287"/>
      <c r="I120" s="88"/>
      <c r="J120" s="88"/>
      <c r="K120" s="88"/>
      <c r="L120" s="88"/>
      <c r="M120" s="88"/>
      <c r="N120" s="88"/>
      <c r="O120" s="88"/>
      <c r="P120" s="88"/>
      <c r="Q120" s="88"/>
    </row>
    <row r="121" spans="1:17" x14ac:dyDescent="0.3">
      <c r="A121" s="11" t="s">
        <v>888</v>
      </c>
      <c r="B121" s="11"/>
      <c r="C121" s="115">
        <f>C63+C77</f>
        <v>2092.7819999999997</v>
      </c>
      <c r="D121" s="115">
        <f>D63+D77</f>
        <v>4253.5150000000003</v>
      </c>
      <c r="E121" s="115">
        <f>E63+E77</f>
        <v>4485.183</v>
      </c>
      <c r="F121" s="115">
        <f>F63+F77</f>
        <v>4447.835</v>
      </c>
      <c r="G121" s="292">
        <f>G63+G77</f>
        <v>4110.6329999999998</v>
      </c>
      <c r="H121" s="288">
        <f ca="1">H122*H111</f>
        <v>4918.6821086000255</v>
      </c>
      <c r="I121" s="115">
        <f t="shared" ref="I121:O121" ca="1" si="135">I122*I111</f>
        <v>5941.0580882153017</v>
      </c>
      <c r="J121" s="115">
        <f t="shared" ca="1" si="135"/>
        <v>7239.7480076273678</v>
      </c>
      <c r="K121" s="115">
        <f t="shared" ca="1" si="135"/>
        <v>9080.7243722776184</v>
      </c>
      <c r="L121" s="115">
        <f t="shared" ca="1" si="135"/>
        <v>11348.759057621543</v>
      </c>
      <c r="M121" s="115">
        <f t="shared" ca="1" si="135"/>
        <v>14433.799073808907</v>
      </c>
      <c r="N121" s="115">
        <f t="shared" ca="1" si="135"/>
        <v>18053.030656686231</v>
      </c>
      <c r="O121" s="115">
        <f t="shared" ca="1" si="135"/>
        <v>22318.97805507241</v>
      </c>
      <c r="P121" s="115">
        <f t="shared" ref="P121:Q121" ca="1" si="136">P122*P111</f>
        <v>27330.845936927024</v>
      </c>
      <c r="Q121" s="115">
        <f t="shared" ca="1" si="136"/>
        <v>33215.518809624496</v>
      </c>
    </row>
    <row r="122" spans="1:17" x14ac:dyDescent="0.3">
      <c r="A122" s="11" t="s">
        <v>889</v>
      </c>
      <c r="B122" s="11"/>
      <c r="C122" s="116">
        <f>C121/C111</f>
        <v>0.61188180124254476</v>
      </c>
      <c r="D122" s="116">
        <f t="shared" ref="D122:G122" si="137">D121/D111</f>
        <v>0.5729095743513053</v>
      </c>
      <c r="E122" s="116">
        <f t="shared" si="137"/>
        <v>0.77186695036710784</v>
      </c>
      <c r="F122" s="116">
        <f t="shared" si="137"/>
        <v>0.66409534182843521</v>
      </c>
      <c r="G122" s="293">
        <f t="shared" si="137"/>
        <v>0.48488306091269501</v>
      </c>
      <c r="H122" s="289">
        <v>0.5</v>
      </c>
      <c r="I122" s="117">
        <v>0.5</v>
      </c>
      <c r="J122" s="117">
        <v>0.5</v>
      </c>
      <c r="K122" s="117">
        <v>0.5</v>
      </c>
      <c r="L122" s="117">
        <v>0.5</v>
      </c>
      <c r="M122" s="117">
        <v>0.5</v>
      </c>
      <c r="N122" s="117">
        <v>0.5</v>
      </c>
      <c r="O122" s="117">
        <v>0.5</v>
      </c>
      <c r="P122" s="117">
        <v>0.5</v>
      </c>
      <c r="Q122" s="117">
        <v>0.5</v>
      </c>
    </row>
    <row r="123" spans="1:17" x14ac:dyDescent="0.3">
      <c r="A123" s="11" t="s">
        <v>393</v>
      </c>
      <c r="B123" s="11" t="s">
        <v>728</v>
      </c>
      <c r="C123" s="12">
        <v>511.93150000000003</v>
      </c>
      <c r="D123" s="12">
        <v>557.73800000000006</v>
      </c>
      <c r="E123" s="12">
        <v>564.75879999999995</v>
      </c>
      <c r="F123" s="12">
        <v>572.34</v>
      </c>
      <c r="G123" s="251">
        <v>526.81219999999996</v>
      </c>
      <c r="H123" s="238"/>
      <c r="I123" s="84"/>
      <c r="J123" s="84"/>
      <c r="K123" s="84"/>
      <c r="L123" s="84"/>
      <c r="M123" s="84"/>
      <c r="N123" s="84"/>
      <c r="O123" s="84"/>
      <c r="P123" s="84"/>
      <c r="Q123" s="84"/>
    </row>
    <row r="124" spans="1:17" x14ac:dyDescent="0.3">
      <c r="A124" s="11" t="s">
        <v>729</v>
      </c>
      <c r="B124" s="11" t="s">
        <v>730</v>
      </c>
      <c r="C124" s="12" t="s">
        <v>43</v>
      </c>
      <c r="D124" s="12">
        <v>0</v>
      </c>
      <c r="E124" s="12">
        <v>0</v>
      </c>
      <c r="F124" s="12">
        <v>0</v>
      </c>
      <c r="G124" s="251" t="s">
        <v>43</v>
      </c>
      <c r="H124" s="238"/>
      <c r="I124" s="84"/>
      <c r="J124" s="84"/>
      <c r="K124" s="84"/>
      <c r="L124" s="84"/>
      <c r="M124" s="84"/>
      <c r="N124" s="84"/>
      <c r="O124" s="84"/>
      <c r="P124" s="84"/>
      <c r="Q124" s="84"/>
    </row>
    <row r="125" spans="1:17" x14ac:dyDescent="0.3">
      <c r="A125" s="11" t="s">
        <v>731</v>
      </c>
      <c r="B125" s="11" t="s">
        <v>732</v>
      </c>
      <c r="C125" s="12" t="s">
        <v>43</v>
      </c>
      <c r="D125" s="12">
        <v>0</v>
      </c>
      <c r="E125" s="12">
        <v>0</v>
      </c>
      <c r="F125" s="12">
        <v>0</v>
      </c>
      <c r="G125" s="251" t="s">
        <v>43</v>
      </c>
      <c r="H125" s="238"/>
      <c r="I125" s="84"/>
      <c r="J125" s="84"/>
      <c r="K125" s="84"/>
      <c r="L125" s="84"/>
      <c r="M125" s="84"/>
      <c r="N125" s="84"/>
      <c r="O125" s="84"/>
      <c r="P125" s="84"/>
      <c r="Q125" s="84"/>
    </row>
    <row r="126" spans="1:17" x14ac:dyDescent="0.3">
      <c r="A126" s="11" t="s">
        <v>448</v>
      </c>
      <c r="B126" s="11" t="s">
        <v>733</v>
      </c>
      <c r="C126" s="12">
        <v>299.17099999999999</v>
      </c>
      <c r="D126" s="12">
        <v>822.327</v>
      </c>
      <c r="E126" s="12">
        <v>1306.252</v>
      </c>
      <c r="F126" s="12">
        <v>1403.9449999999999</v>
      </c>
      <c r="G126" s="251" t="s">
        <v>43</v>
      </c>
      <c r="H126" s="238"/>
      <c r="I126" s="84"/>
      <c r="J126" s="84"/>
      <c r="K126" s="84"/>
      <c r="L126" s="84"/>
      <c r="M126" s="84"/>
      <c r="N126" s="84"/>
      <c r="O126" s="84"/>
      <c r="P126" s="84"/>
      <c r="Q126" s="84"/>
    </row>
    <row r="127" spans="1:17" x14ac:dyDescent="0.3">
      <c r="A127" s="11" t="s">
        <v>478</v>
      </c>
      <c r="B127" s="11" t="s">
        <v>734</v>
      </c>
      <c r="C127" s="12">
        <v>5.8090000000000002</v>
      </c>
      <c r="D127" s="12">
        <v>4.1620999999999997</v>
      </c>
      <c r="E127" s="12">
        <v>30</v>
      </c>
      <c r="F127" s="12">
        <v>1.925</v>
      </c>
      <c r="G127" s="251" t="s">
        <v>43</v>
      </c>
      <c r="H127" s="238"/>
      <c r="I127" s="84"/>
      <c r="J127" s="84"/>
      <c r="K127" s="84"/>
      <c r="L127" s="84"/>
      <c r="M127" s="84"/>
      <c r="N127" s="84"/>
      <c r="O127" s="84"/>
      <c r="P127" s="84"/>
      <c r="Q127" s="84"/>
    </row>
    <row r="128" spans="1:17" x14ac:dyDescent="0.3">
      <c r="A128" s="11" t="s">
        <v>735</v>
      </c>
      <c r="B128" s="11" t="s">
        <v>736</v>
      </c>
      <c r="C128" s="12">
        <v>47.465699999999998</v>
      </c>
      <c r="D128" s="12">
        <v>46.2226</v>
      </c>
      <c r="E128" s="12">
        <v>68.533199999999994</v>
      </c>
      <c r="F128" s="12">
        <v>59.828899999999997</v>
      </c>
      <c r="G128" s="251" t="s">
        <v>43</v>
      </c>
      <c r="H128" s="238"/>
      <c r="I128" s="84"/>
      <c r="J128" s="84"/>
      <c r="K128" s="84"/>
      <c r="L128" s="84"/>
      <c r="M128" s="84"/>
      <c r="N128" s="84"/>
      <c r="O128" s="84"/>
      <c r="P128" s="84"/>
      <c r="Q128" s="84"/>
    </row>
    <row r="129" spans="1:17" x14ac:dyDescent="0.3">
      <c r="A129" s="11" t="s">
        <v>737</v>
      </c>
      <c r="B129" s="11" t="s">
        <v>738</v>
      </c>
      <c r="C129" s="12">
        <v>-4200.1970000000001</v>
      </c>
      <c r="D129" s="12">
        <v>-5905.5280000000002</v>
      </c>
      <c r="E129" s="12">
        <v>-2408.9340000000002</v>
      </c>
      <c r="F129" s="12">
        <v>-910.86500000000001</v>
      </c>
      <c r="G129" s="251">
        <v>-4509.9430000000002</v>
      </c>
      <c r="H129" s="238"/>
      <c r="I129" s="84"/>
      <c r="J129" s="84"/>
      <c r="K129" s="84"/>
      <c r="L129" s="84"/>
      <c r="M129" s="84"/>
      <c r="N129" s="84"/>
      <c r="O129" s="84"/>
      <c r="P129" s="84"/>
      <c r="Q129" s="84"/>
    </row>
    <row r="130" spans="1:17" x14ac:dyDescent="0.3">
      <c r="A130" s="11" t="s">
        <v>739</v>
      </c>
      <c r="B130" s="11" t="s">
        <v>740</v>
      </c>
      <c r="C130" s="23">
        <v>-122.80419999999999</v>
      </c>
      <c r="D130" s="23">
        <v>-79.542100000000005</v>
      </c>
      <c r="E130" s="23">
        <v>-41.456000000000003</v>
      </c>
      <c r="F130" s="23">
        <v>-13.5999</v>
      </c>
      <c r="G130" s="284">
        <v>-53.198500000000003</v>
      </c>
      <c r="H130" s="238"/>
      <c r="I130" s="84"/>
      <c r="J130" s="84"/>
      <c r="K130" s="84"/>
      <c r="L130" s="84"/>
      <c r="M130" s="84"/>
      <c r="N130" s="84"/>
      <c r="O130" s="84"/>
      <c r="P130" s="84"/>
      <c r="Q130" s="84"/>
    </row>
    <row r="131" spans="1:17" x14ac:dyDescent="0.3">
      <c r="A131" s="11" t="s">
        <v>741</v>
      </c>
      <c r="B131" s="11" t="s">
        <v>742</v>
      </c>
      <c r="C131" s="23">
        <v>30.656600000000001</v>
      </c>
      <c r="D131" s="23">
        <v>37.472999999999999</v>
      </c>
      <c r="E131" s="23">
        <v>32.443199999999997</v>
      </c>
      <c r="F131" s="23">
        <v>34.350200000000001</v>
      </c>
      <c r="G131" s="284">
        <v>36.626100000000001</v>
      </c>
      <c r="H131" s="238"/>
      <c r="I131" s="84"/>
      <c r="J131" s="84"/>
      <c r="K131" s="84"/>
      <c r="L131" s="84"/>
      <c r="M131" s="84"/>
      <c r="N131" s="84"/>
      <c r="O131" s="84"/>
      <c r="P131" s="84"/>
      <c r="Q131" s="84"/>
    </row>
    <row r="132" spans="1:17" x14ac:dyDescent="0.3">
      <c r="A132" s="11" t="s">
        <v>743</v>
      </c>
      <c r="B132" s="11" t="s">
        <v>744</v>
      </c>
      <c r="C132" s="23">
        <v>1.9280999999999999</v>
      </c>
      <c r="D132" s="23">
        <v>2.109</v>
      </c>
      <c r="E132" s="23">
        <v>1.8293999999999999</v>
      </c>
      <c r="F132" s="23">
        <v>1.4413</v>
      </c>
      <c r="G132" s="284">
        <v>1.4923</v>
      </c>
      <c r="H132" s="238"/>
      <c r="I132" s="84"/>
      <c r="J132" s="84"/>
      <c r="K132" s="84"/>
      <c r="L132" s="84"/>
      <c r="M132" s="84"/>
      <c r="N132" s="84"/>
      <c r="O132" s="84"/>
      <c r="P132" s="84"/>
      <c r="Q132" s="84"/>
    </row>
    <row r="133" spans="1:17" x14ac:dyDescent="0.3">
      <c r="A133" s="11" t="s">
        <v>745</v>
      </c>
      <c r="B133" s="11" t="s">
        <v>746</v>
      </c>
      <c r="C133" s="23">
        <v>17.1068</v>
      </c>
      <c r="D133" s="23">
        <v>9.2379999999999995</v>
      </c>
      <c r="E133" s="23">
        <v>3.4634</v>
      </c>
      <c r="F133" s="23">
        <v>-1.7835000000000001</v>
      </c>
      <c r="G133" s="284">
        <v>-1.8494999999999999</v>
      </c>
      <c r="H133" s="238"/>
      <c r="I133" s="84"/>
      <c r="J133" s="84"/>
      <c r="K133" s="84"/>
      <c r="L133" s="84"/>
      <c r="M133" s="84"/>
      <c r="N133" s="84"/>
      <c r="O133" s="84"/>
      <c r="P133" s="84"/>
      <c r="Q133" s="84"/>
    </row>
    <row r="134" spans="1:17" x14ac:dyDescent="0.3">
      <c r="A134" s="11" t="s">
        <v>470</v>
      </c>
      <c r="B134" s="11" t="s">
        <v>747</v>
      </c>
      <c r="C134" s="23">
        <v>33800</v>
      </c>
      <c r="D134" s="23">
        <v>67300</v>
      </c>
      <c r="E134" s="23">
        <v>63800</v>
      </c>
      <c r="F134" s="23">
        <v>62700</v>
      </c>
      <c r="G134" s="294" t="s">
        <v>43</v>
      </c>
      <c r="H134" s="247"/>
      <c r="I134" s="85"/>
      <c r="J134" s="85"/>
      <c r="K134" s="85"/>
      <c r="L134" s="85"/>
      <c r="M134" s="85"/>
      <c r="N134" s="85"/>
      <c r="O134" s="85"/>
      <c r="P134" s="85"/>
      <c r="Q134" s="85"/>
    </row>
    <row r="135" spans="1:17" x14ac:dyDescent="0.3">
      <c r="A135" s="25" t="s">
        <v>125</v>
      </c>
      <c r="B135" s="25"/>
      <c r="C135" s="25" t="s">
        <v>126</v>
      </c>
      <c r="D135" s="25"/>
      <c r="E135" s="25"/>
      <c r="F135" s="25"/>
      <c r="G135" s="2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0553-3F2A-4111-91EC-6514A5DC78A9}">
  <sheetPr>
    <pageSetUpPr autoPageBreaks="0"/>
  </sheetPr>
  <dimension ref="A1:Z64"/>
  <sheetViews>
    <sheetView showGridLines="0" zoomScaleNormal="100" workbookViewId="0">
      <selection activeCell="C62" sqref="C62"/>
    </sheetView>
  </sheetViews>
  <sheetFormatPr defaultRowHeight="14.4" x14ac:dyDescent="0.3"/>
  <cols>
    <col min="1" max="1" width="45" bestFit="1" customWidth="1"/>
    <col min="2" max="2" width="13.33203125" bestFit="1" customWidth="1"/>
    <col min="4" max="4" width="9" bestFit="1" customWidth="1"/>
    <col min="5" max="5" width="9.44140625" bestFit="1" customWidth="1"/>
    <col min="6" max="6" width="10.33203125" bestFit="1" customWidth="1"/>
    <col min="7" max="7" width="11.109375" bestFit="1" customWidth="1"/>
    <col min="8" max="17" width="10.109375" bestFit="1" customWidth="1"/>
    <col min="20" max="26" width="10.109375" bestFit="1" customWidth="1"/>
  </cols>
  <sheetData>
    <row r="1" spans="1:20" ht="21" x14ac:dyDescent="0.3">
      <c r="A1" s="138" t="s">
        <v>948</v>
      </c>
      <c r="B1" s="1"/>
      <c r="C1" s="1"/>
      <c r="D1" s="1"/>
      <c r="E1" s="1"/>
      <c r="F1" s="1"/>
      <c r="G1" s="1"/>
    </row>
    <row r="2" spans="1:20" ht="16.95" customHeight="1" x14ac:dyDescent="0.3">
      <c r="A2" s="159" t="e" vm="1">
        <v>#VALUE!</v>
      </c>
      <c r="B2" s="159" t="s">
        <v>944</v>
      </c>
      <c r="C2" s="158">
        <f ca="1">_FV(A2,"Price")</f>
        <v>142.44999999999999</v>
      </c>
      <c r="D2" s="138"/>
      <c r="E2" s="138"/>
      <c r="F2" s="138"/>
      <c r="G2" s="138"/>
    </row>
    <row r="3" spans="1:20" ht="21" x14ac:dyDescent="0.3">
      <c r="A3" s="139"/>
      <c r="B3" s="139"/>
      <c r="C3" s="139"/>
      <c r="D3" s="139"/>
      <c r="E3" s="139"/>
      <c r="F3" s="139"/>
      <c r="G3" s="139"/>
    </row>
    <row r="4" spans="1:20" ht="14.4" customHeight="1" x14ac:dyDescent="0.3">
      <c r="A4" s="151" t="s">
        <v>899</v>
      </c>
      <c r="B4" s="157">
        <v>0.4</v>
      </c>
      <c r="C4" s="139"/>
      <c r="D4" s="139"/>
      <c r="E4" s="139"/>
      <c r="F4" s="139"/>
      <c r="H4" s="47">
        <v>2025</v>
      </c>
      <c r="I4" s="47">
        <f>H4+1</f>
        <v>2026</v>
      </c>
      <c r="J4" s="47">
        <f t="shared" ref="J4:O5" si="0">I4+1</f>
        <v>2027</v>
      </c>
      <c r="K4" s="47">
        <f t="shared" si="0"/>
        <v>2028</v>
      </c>
      <c r="L4" s="47">
        <f t="shared" si="0"/>
        <v>2029</v>
      </c>
      <c r="M4" s="47">
        <f t="shared" si="0"/>
        <v>2030</v>
      </c>
      <c r="N4" s="47">
        <f t="shared" si="0"/>
        <v>2031</v>
      </c>
      <c r="O4" s="47">
        <f t="shared" si="0"/>
        <v>2032</v>
      </c>
      <c r="P4" s="47">
        <f t="shared" ref="P4:P5" si="1">O4+1</f>
        <v>2033</v>
      </c>
      <c r="Q4" s="47">
        <f t="shared" ref="Q4:Q5" si="2">P4+1</f>
        <v>2034</v>
      </c>
    </row>
    <row r="5" spans="1:20" x14ac:dyDescent="0.3">
      <c r="A5" s="127" t="s">
        <v>896</v>
      </c>
      <c r="B5" s="128"/>
      <c r="C5" s="128"/>
      <c r="D5" s="129"/>
      <c r="E5" s="129"/>
      <c r="F5" s="129"/>
      <c r="H5" s="7">
        <v>1</v>
      </c>
      <c r="I5" s="7">
        <f>H5+1</f>
        <v>2</v>
      </c>
      <c r="J5" s="7">
        <f t="shared" si="0"/>
        <v>3</v>
      </c>
      <c r="K5" s="7">
        <f t="shared" si="0"/>
        <v>4</v>
      </c>
      <c r="L5" s="7">
        <f t="shared" si="0"/>
        <v>5</v>
      </c>
      <c r="M5" s="7">
        <f t="shared" si="0"/>
        <v>6</v>
      </c>
      <c r="N5" s="7">
        <f t="shared" si="0"/>
        <v>7</v>
      </c>
      <c r="O5" s="7">
        <f t="shared" si="0"/>
        <v>8</v>
      </c>
      <c r="P5" s="7">
        <f t="shared" si="1"/>
        <v>9</v>
      </c>
      <c r="Q5" s="7">
        <f t="shared" si="2"/>
        <v>10</v>
      </c>
      <c r="R5" s="128"/>
      <c r="S5" s="128"/>
      <c r="T5" s="128"/>
    </row>
    <row r="6" spans="1:20" x14ac:dyDescent="0.3">
      <c r="A6" s="8" t="s">
        <v>897</v>
      </c>
      <c r="B6" s="128"/>
      <c r="C6" s="128"/>
      <c r="D6" s="129"/>
      <c r="E6" s="129"/>
      <c r="F6" s="129"/>
      <c r="H6" s="7" t="s">
        <v>9</v>
      </c>
      <c r="I6" s="7" t="s">
        <v>10</v>
      </c>
      <c r="J6" s="26">
        <v>46752</v>
      </c>
      <c r="K6" s="26">
        <v>47118</v>
      </c>
      <c r="L6" s="26">
        <v>47483</v>
      </c>
      <c r="M6" s="26">
        <v>47848</v>
      </c>
      <c r="N6" s="26">
        <v>48213</v>
      </c>
      <c r="O6" s="26">
        <v>48579</v>
      </c>
      <c r="P6" s="26">
        <v>48944</v>
      </c>
      <c r="Q6" s="26">
        <v>49309</v>
      </c>
      <c r="R6" s="128"/>
      <c r="S6" s="128"/>
      <c r="T6" s="128"/>
    </row>
    <row r="7" spans="1:20" x14ac:dyDescent="0.3">
      <c r="A7" s="11" t="s">
        <v>898</v>
      </c>
      <c r="D7" s="131"/>
      <c r="E7" s="131"/>
      <c r="F7" s="131"/>
      <c r="H7" s="140">
        <f>'IS Model'!H39*(1-'IS Model'!H53)</f>
        <v>270.63997292419299</v>
      </c>
      <c r="I7" s="140">
        <f>'IS Model'!I39*(1-'IS Model'!I53)</f>
        <v>588.35773608841919</v>
      </c>
      <c r="J7" s="140">
        <f>'IS Model'!J39*(1-'IS Model'!J53)</f>
        <v>856.29661458569569</v>
      </c>
      <c r="K7" s="140">
        <f>'IS Model'!K39*(1-'IS Model'!K53)</f>
        <v>1570.2185980271308</v>
      </c>
      <c r="L7" s="140">
        <f>'IS Model'!L39*(1-'IS Model'!L53)</f>
        <v>2022.359514905831</v>
      </c>
      <c r="M7" s="140">
        <f>'IS Model'!M39*(1-'IS Model'!M53)</f>
        <v>3130.9540723682176</v>
      </c>
      <c r="N7" s="140">
        <f>'IS Model'!N39*(1-'IS Model'!N53)</f>
        <v>3617.5937112815977</v>
      </c>
      <c r="O7" s="140">
        <f>'IS Model'!O39*(1-'IS Model'!O53)</f>
        <v>4239.9686148831042</v>
      </c>
      <c r="P7" s="140">
        <f>'IS Model'!P39*(1-'IS Model'!P53)</f>
        <v>4941.0852839415247</v>
      </c>
      <c r="Q7" s="140">
        <f>'IS Model'!Q39*(1-'IS Model'!Q53)</f>
        <v>5762.5513592685193</v>
      </c>
    </row>
    <row r="8" spans="1:20" x14ac:dyDescent="0.3">
      <c r="A8" s="123" t="s">
        <v>915</v>
      </c>
      <c r="D8" s="131"/>
      <c r="E8" s="131"/>
      <c r="F8" s="131"/>
      <c r="H8" s="140">
        <f>'BS Model'!H34</f>
        <v>393.75315000000001</v>
      </c>
      <c r="I8" s="140">
        <f>'BS Model'!I34</f>
        <v>411.42568188560028</v>
      </c>
      <c r="J8" s="140">
        <f>'BS Model'!J34</f>
        <v>462.19038460236095</v>
      </c>
      <c r="K8" s="140">
        <f>'BS Model'!K34</f>
        <v>536.33268412900532</v>
      </c>
      <c r="L8" s="140">
        <f>'BS Model'!L34</f>
        <v>634.51712021724677</v>
      </c>
      <c r="M8" s="140">
        <f>'BS Model'!M34</f>
        <v>751.82532228561388</v>
      </c>
      <c r="N8" s="140">
        <f>'BS Model'!N34</f>
        <v>890.90640361987141</v>
      </c>
      <c r="O8" s="140">
        <f>'BS Model'!O34</f>
        <v>1045.4824872673773</v>
      </c>
      <c r="P8" s="140">
        <f>'BS Model'!P34</f>
        <v>1220.3853852284112</v>
      </c>
      <c r="Q8" s="140">
        <f>'BS Model'!Q34</f>
        <v>1420.7549142705966</v>
      </c>
    </row>
    <row r="9" spans="1:20" x14ac:dyDescent="0.3">
      <c r="A9" s="123" t="s">
        <v>916</v>
      </c>
      <c r="D9" s="131"/>
      <c r="E9" s="131"/>
      <c r="F9" s="131"/>
      <c r="H9" s="140">
        <f>('BS Model'!H9+'BS Model'!H13-'BS Model'!G9-'BS Model'!H13)</f>
        <v>99.047199310111466</v>
      </c>
      <c r="I9" s="140">
        <f>('BS Model'!I9+'BS Model'!I13-'BS Model'!H9-'BS Model'!I13)</f>
        <v>102.48547160109732</v>
      </c>
      <c r="J9" s="140">
        <f>('BS Model'!J9+'BS Model'!J13-'BS Model'!I9-'BS Model'!J13)</f>
        <v>107.3587547573382</v>
      </c>
      <c r="K9" s="140">
        <f>('BS Model'!K9+'BS Model'!K13-'BS Model'!J9-'BS Model'!K13)</f>
        <v>130.4421171452654</v>
      </c>
      <c r="L9" s="140">
        <f>('BS Model'!L9+'BS Model'!L13-'BS Model'!K9-'BS Model'!L13)</f>
        <v>139.5650844383814</v>
      </c>
      <c r="M9" s="140">
        <f>('BS Model'!M9+'BS Model'!M13-'BS Model'!L9-'BS Model'!M13)</f>
        <v>163.94194387428377</v>
      </c>
      <c r="N9" s="140">
        <f>('BS Model'!N9+'BS Model'!N13-'BS Model'!M9-'BS Model'!N13)</f>
        <v>167.44522056161372</v>
      </c>
      <c r="O9" s="140">
        <f>('BS Model'!O9+'BS Model'!O13-'BS Model'!N9-'BS Model'!O13)</f>
        <v>194.20337531677683</v>
      </c>
      <c r="P9" s="140">
        <f>('BS Model'!P9+'BS Model'!P13-'BS Model'!O9-'BS Model'!P13)</f>
        <v>226.17780917811854</v>
      </c>
      <c r="Q9" s="140">
        <f>('BS Model'!Q9+'BS Model'!Q13-'BS Model'!P9-'BS Model'!Q13)</f>
        <v>263.50028055328426</v>
      </c>
    </row>
    <row r="10" spans="1:20" x14ac:dyDescent="0.3">
      <c r="A10" s="123" t="s">
        <v>910</v>
      </c>
      <c r="D10" s="131"/>
      <c r="E10" s="131"/>
      <c r="F10" s="131"/>
      <c r="H10" s="140">
        <f>'BS Model'!H56-'BS Model'!G56</f>
        <v>685.53961793969711</v>
      </c>
      <c r="I10" s="140">
        <f>'BS Model'!I56-'BS Model'!H56</f>
        <v>891.99810981529208</v>
      </c>
      <c r="J10" s="140">
        <f>'BS Model'!J56-'BS Model'!I56</f>
        <v>933.82815171305174</v>
      </c>
      <c r="K10" s="140">
        <f>'BS Model'!K56-'BS Model'!J56</f>
        <v>1105.812260518831</v>
      </c>
      <c r="L10" s="140">
        <f>'BS Model'!L56-'BS Model'!K56</f>
        <v>1208.65034285408</v>
      </c>
      <c r="M10" s="140">
        <f>'BS Model'!M56-'BS Model'!L56</f>
        <v>1376.2942990074152</v>
      </c>
      <c r="N10" s="140">
        <f>'BS Model'!N56-'BS Model'!M56</f>
        <v>1442.9064878423214</v>
      </c>
      <c r="O10" s="140">
        <f>'BS Model'!O56-'BS Model'!N56</f>
        <v>1672.7604049528054</v>
      </c>
      <c r="P10" s="140">
        <f>'BS Model'!P56-'BS Model'!O56</f>
        <v>1947.9556981726546</v>
      </c>
      <c r="Q10" s="140">
        <f>'BS Model'!Q56-'BS Model'!P56</f>
        <v>2269.153773614993</v>
      </c>
    </row>
    <row r="11" spans="1:20" x14ac:dyDescent="0.3">
      <c r="A11" s="123" t="s">
        <v>911</v>
      </c>
      <c r="D11" s="131"/>
      <c r="E11" s="131"/>
      <c r="F11" s="131"/>
      <c r="H11" s="140">
        <f>'BS Model'!H25+'BS Model'!H30</f>
        <v>444.24609824457212</v>
      </c>
      <c r="I11" s="140">
        <f>'BS Model'!I25+'BS Model'!I30</f>
        <v>556.46768964777368</v>
      </c>
      <c r="J11" s="140">
        <f>'BS Model'!J25+'BS Model'!J30</f>
        <v>674.02552610705891</v>
      </c>
      <c r="K11" s="140">
        <f>'BS Model'!K25+'BS Model'!K30</f>
        <v>816.85964438112444</v>
      </c>
      <c r="L11" s="140">
        <f>'BS Model'!L25+'BS Model'!L30</f>
        <v>969.68341184115218</v>
      </c>
      <c r="M11" s="140">
        <f>'BS Model'!M25+'BS Model'!M30</f>
        <v>1149.1998403834928</v>
      </c>
      <c r="N11" s="140">
        <f>'BS Model'!N25+'BS Model'!N30</f>
        <v>1332.5523568984599</v>
      </c>
      <c r="O11" s="140">
        <f>'BS Model'!O25+'BS Model'!O30</f>
        <v>1545.2050528703303</v>
      </c>
      <c r="P11" s="140">
        <f>'BS Model'!P25+'BS Model'!P30</f>
        <v>1792.8697539203702</v>
      </c>
      <c r="Q11" s="140">
        <f>'BS Model'!Q25+'BS Model'!Q30</f>
        <v>2081.4025611262164</v>
      </c>
    </row>
    <row r="12" spans="1:20" x14ac:dyDescent="0.3">
      <c r="A12" s="123" t="s">
        <v>912</v>
      </c>
      <c r="D12" s="131"/>
      <c r="E12" s="131"/>
      <c r="F12" s="131"/>
      <c r="H12" s="140">
        <f ca="1">'IS Model'!H43*(1-'IS Model'!H53)</f>
        <v>27.087945325800074</v>
      </c>
      <c r="I12" s="140">
        <f ca="1">'IS Model'!I43*(1-'IS Model'!I53)</f>
        <v>32.579220590445985</v>
      </c>
      <c r="J12" s="140">
        <f ca="1">'IS Model'!J43*(1-'IS Model'!J53)</f>
        <v>39.542418287528008</v>
      </c>
      <c r="K12" s="140">
        <f ca="1">'IS Model'!K43*(1-'IS Model'!K53)</f>
        <v>48.96141713971496</v>
      </c>
      <c r="L12" s="140">
        <f ca="1">'IS Model'!L43*(1-'IS Model'!L53)</f>
        <v>61.288450289697494</v>
      </c>
      <c r="M12" s="140">
        <f ca="1">'IS Model'!M43*(1-'IS Model'!M53)</f>
        <v>77.347674394291346</v>
      </c>
      <c r="N12" s="140">
        <f ca="1">'IS Model'!N43*(1-'IS Model'!N53)</f>
        <v>97.460489191485422</v>
      </c>
      <c r="O12" s="140">
        <f ca="1">'IS Model'!O43*(1-'IS Model'!O53)</f>
        <v>121.11602613527592</v>
      </c>
      <c r="P12" s="140">
        <f ca="1">'IS Model'!P43*(1-'IS Model'!P53)</f>
        <v>148.94947197599831</v>
      </c>
      <c r="Q12" s="140">
        <f ca="1">'IS Model'!Q43*(1-'IS Model'!Q53)</f>
        <v>181.63909423965455</v>
      </c>
    </row>
    <row r="13" spans="1:20" x14ac:dyDescent="0.3">
      <c r="A13" s="123" t="s">
        <v>913</v>
      </c>
      <c r="D13" s="131"/>
      <c r="E13" s="131"/>
      <c r="F13" s="131"/>
      <c r="H13" s="140">
        <f ca="1">'IS Model'!H45*(1-'IS Model'!H53)</f>
        <v>305.94189517684595</v>
      </c>
      <c r="I13" s="140">
        <f ca="1">'IS Model'!I45*(1-'IS Model'!I53)</f>
        <v>392.49443677717915</v>
      </c>
      <c r="J13" s="140">
        <f ca="1">'IS Model'!J45*(1-'IS Model'!J53)</f>
        <v>480.29196212149407</v>
      </c>
      <c r="K13" s="140">
        <f ca="1">'IS Model'!K45*(1-'IS Model'!K53)</f>
        <v>597.00498197772879</v>
      </c>
      <c r="L13" s="140">
        <f ca="1">'IS Model'!L45*(1-'IS Model'!L53)</f>
        <v>750.09174598426819</v>
      </c>
      <c r="M13" s="140">
        <f ca="1">'IS Model'!M45*(1-'IS Model'!M53)</f>
        <v>949.59285036169013</v>
      </c>
      <c r="N13" s="140">
        <f ca="1">'IS Model'!N45*(1-'IS Model'!N53)</f>
        <v>1199.074309916316</v>
      </c>
      <c r="O13" s="140">
        <f ca="1">'IS Model'!O45*(1-'IS Model'!O53)</f>
        <v>1493.6287255935281</v>
      </c>
      <c r="P13" s="140">
        <f ca="1">'IS Model'!P45*(1-'IS Model'!P53)</f>
        <v>1840.8259729842571</v>
      </c>
      <c r="Q13" s="140">
        <f ca="1">'IS Model'!Q45*(1-'IS Model'!Q53)</f>
        <v>2248.7978375381163</v>
      </c>
    </row>
    <row r="14" spans="1:20" x14ac:dyDescent="0.3">
      <c r="A14" s="147" t="s">
        <v>914</v>
      </c>
      <c r="B14" s="148"/>
      <c r="C14" s="148"/>
      <c r="D14" s="149"/>
      <c r="E14" s="149"/>
      <c r="F14" s="149"/>
      <c r="G14" s="148"/>
      <c r="H14" s="150">
        <f>'IS Model'!H34</f>
        <v>958.86891653810289</v>
      </c>
      <c r="I14" s="150">
        <f>'IS Model'!I34</f>
        <v>1237.0004702882779</v>
      </c>
      <c r="J14" s="150">
        <f>'IS Model'!J34</f>
        <v>1478.580765139777</v>
      </c>
      <c r="K14" s="150">
        <f>'IS Model'!K34</f>
        <v>1790.2912315487422</v>
      </c>
      <c r="L14" s="150">
        <f>'IS Model'!L34</f>
        <v>2135.9809619962102</v>
      </c>
      <c r="M14" s="150">
        <f>'IS Model'!M34</f>
        <v>2523.6786841269018</v>
      </c>
      <c r="N14" s="150">
        <f>'IS Model'!N34</f>
        <v>2927.381133678065</v>
      </c>
      <c r="O14" s="150">
        <f>'IS Model'!O34</f>
        <v>3397.1925145941759</v>
      </c>
      <c r="P14" s="150">
        <f>'IS Model'!P34</f>
        <v>3939.1691764754619</v>
      </c>
      <c r="Q14" s="150">
        <f>'IS Model'!Q34</f>
        <v>4573.8763109649572</v>
      </c>
    </row>
    <row r="15" spans="1:20" x14ac:dyDescent="0.3">
      <c r="A15" s="146" t="s">
        <v>927</v>
      </c>
      <c r="D15" s="131"/>
      <c r="E15" s="131"/>
      <c r="F15" s="131"/>
      <c r="H15" s="140">
        <f ca="1">H7+H8-H9+H10+H11+H12-H13+H14</f>
        <v>2375.1466064854076</v>
      </c>
      <c r="I15" s="140">
        <f t="shared" ref="I15:Q15" ca="1" si="3">I7+I8-I9+I10+I11+I12-I13+I14</f>
        <v>3222.8489999375324</v>
      </c>
      <c r="J15" s="140">
        <f t="shared" ca="1" si="3"/>
        <v>3856.8131435566402</v>
      </c>
      <c r="K15" s="140">
        <f t="shared" ca="1" si="3"/>
        <v>5141.0287366215543</v>
      </c>
      <c r="L15" s="140">
        <f t="shared" ca="1" si="3"/>
        <v>6142.8229716815686</v>
      </c>
      <c r="M15" s="140">
        <f t="shared" ca="1" si="3"/>
        <v>7895.7650983299591</v>
      </c>
      <c r="N15" s="140">
        <f t="shared" ca="1" si="3"/>
        <v>8942.2810520338717</v>
      </c>
      <c r="O15" s="140">
        <f t="shared" ca="1" si="3"/>
        <v>10333.892999792766</v>
      </c>
      <c r="P15" s="140">
        <f t="shared" ca="1" si="3"/>
        <v>11923.410987552044</v>
      </c>
      <c r="Q15" s="140">
        <f t="shared" ca="1" si="3"/>
        <v>13777.079895393535</v>
      </c>
    </row>
    <row r="16" spans="1:20" x14ac:dyDescent="0.3">
      <c r="A16" s="123" t="s">
        <v>929</v>
      </c>
      <c r="D16" s="131"/>
      <c r="E16" s="131"/>
      <c r="F16" s="131"/>
      <c r="H16" s="140">
        <f ca="1">-'IS Model'!H42*(1-'IS Model'!H53)</f>
        <v>278.85394985104591</v>
      </c>
      <c r="I16" s="140">
        <f ca="1">-'IS Model'!I42*(1-'IS Model'!I53)</f>
        <v>359.91521618673318</v>
      </c>
      <c r="J16" s="140">
        <f ca="1">-'IS Model'!J42*(1-'IS Model'!J53)</f>
        <v>440.74954383396607</v>
      </c>
      <c r="K16" s="140">
        <f ca="1">-'IS Model'!K42*(1-'IS Model'!K53)</f>
        <v>548.04356483801382</v>
      </c>
      <c r="L16" s="140">
        <f ca="1">-'IS Model'!L42*(1-'IS Model'!L53)</f>
        <v>688.80329569457069</v>
      </c>
      <c r="M16" s="140">
        <f ca="1">-'IS Model'!M42*(1-'IS Model'!M53)</f>
        <v>872.24517596739872</v>
      </c>
      <c r="N16" s="140">
        <f ca="1">-'IS Model'!N42*(1-'IS Model'!N53)</f>
        <v>1101.6138207248307</v>
      </c>
      <c r="O16" s="140">
        <f ca="1">-'IS Model'!O42*(1-'IS Model'!O53)</f>
        <v>1372.5126994582522</v>
      </c>
      <c r="P16" s="140">
        <f ca="1">-'IS Model'!P42*(1-'IS Model'!P53)</f>
        <v>1691.8765010082589</v>
      </c>
      <c r="Q16" s="140">
        <f ca="1">-'IS Model'!Q42*(1-'IS Model'!Q53)</f>
        <v>2067.1587432984616</v>
      </c>
    </row>
    <row r="17" spans="1:20" x14ac:dyDescent="0.3">
      <c r="A17" s="123" t="s">
        <v>928</v>
      </c>
      <c r="D17" s="131"/>
      <c r="E17" s="131"/>
      <c r="F17" s="131"/>
      <c r="H17" s="140">
        <f ca="1">'BS Model'!H121-'BS Model'!G121</f>
        <v>808.04910860002565</v>
      </c>
      <c r="I17" s="140">
        <f ca="1">'BS Model'!I121-'BS Model'!H121</f>
        <v>1022.3759796152763</v>
      </c>
      <c r="J17" s="140">
        <f ca="1">'BS Model'!J121-'BS Model'!I121</f>
        <v>1298.689919412066</v>
      </c>
      <c r="K17" s="140">
        <f ca="1">'BS Model'!K121-'BS Model'!J121</f>
        <v>1840.9763646502506</v>
      </c>
      <c r="L17" s="140">
        <f ca="1">'BS Model'!L121-'BS Model'!K121</f>
        <v>2268.0346853439241</v>
      </c>
      <c r="M17" s="140">
        <f ca="1">'BS Model'!M121-'BS Model'!L121</f>
        <v>3085.040016187364</v>
      </c>
      <c r="N17" s="140">
        <f ca="1">'BS Model'!N121-'BS Model'!M121</f>
        <v>3619.2315828773244</v>
      </c>
      <c r="O17" s="140">
        <f ca="1">'BS Model'!O121-'BS Model'!N121</f>
        <v>4265.947398386179</v>
      </c>
      <c r="P17" s="140">
        <f ca="1">'BS Model'!P121-'BS Model'!O121</f>
        <v>5011.8678818546141</v>
      </c>
      <c r="Q17" s="140">
        <f ca="1">'BS Model'!Q121-'BS Model'!P121</f>
        <v>5884.6728726974725</v>
      </c>
    </row>
    <row r="18" spans="1:20" ht="15" thickBot="1" x14ac:dyDescent="0.35">
      <c r="A18" s="152" t="s">
        <v>930</v>
      </c>
      <c r="B18" s="141"/>
      <c r="C18" s="141"/>
      <c r="D18" s="142"/>
      <c r="E18" s="142"/>
      <c r="F18" s="142"/>
      <c r="G18" s="141"/>
      <c r="H18" s="143">
        <f ca="1">H15-H16+H17</f>
        <v>2904.3417652343874</v>
      </c>
      <c r="I18" s="143">
        <f t="shared" ref="I18:Q18" ca="1" si="4">I15-I16+I17</f>
        <v>3885.3097633660755</v>
      </c>
      <c r="J18" s="143">
        <f t="shared" ca="1" si="4"/>
        <v>4714.7535191347397</v>
      </c>
      <c r="K18" s="143">
        <f t="shared" ca="1" si="4"/>
        <v>6433.9615364337915</v>
      </c>
      <c r="L18" s="143">
        <f t="shared" ca="1" si="4"/>
        <v>7722.0543613309219</v>
      </c>
      <c r="M18" s="143">
        <f t="shared" ca="1" si="4"/>
        <v>10108.559938549924</v>
      </c>
      <c r="N18" s="143">
        <f t="shared" ca="1" si="4"/>
        <v>11459.898814186367</v>
      </c>
      <c r="O18" s="143">
        <f t="shared" ca="1" si="4"/>
        <v>13227.327698720694</v>
      </c>
      <c r="P18" s="143">
        <f t="shared" ca="1" si="4"/>
        <v>15243.4023683984</v>
      </c>
      <c r="Q18" s="143">
        <f t="shared" ca="1" si="4"/>
        <v>17594.594024792546</v>
      </c>
    </row>
    <row r="19" spans="1:20" ht="15" thickTop="1" x14ac:dyDescent="0.3"/>
    <row r="20" spans="1:20" ht="17.399999999999999" x14ac:dyDescent="0.3">
      <c r="A20" s="132" t="s">
        <v>917</v>
      </c>
    </row>
    <row r="21" spans="1:20" x14ac:dyDescent="0.3">
      <c r="A21" s="161" t="s">
        <v>919</v>
      </c>
      <c r="B21" s="144">
        <v>2.1000000000000001E-2</v>
      </c>
      <c r="C21" s="162" t="s">
        <v>945</v>
      </c>
      <c r="E21" s="161" t="s">
        <v>920</v>
      </c>
      <c r="G21" s="144">
        <v>0.14799999999999999</v>
      </c>
    </row>
    <row r="22" spans="1:20" x14ac:dyDescent="0.3">
      <c r="A22" s="161" t="s">
        <v>922</v>
      </c>
      <c r="B22" s="144">
        <v>6.9000000000000006E-2</v>
      </c>
      <c r="E22" s="161" t="s">
        <v>923</v>
      </c>
      <c r="G22" s="144">
        <v>0.93100000000000005</v>
      </c>
    </row>
    <row r="23" spans="1:20" x14ac:dyDescent="0.3">
      <c r="A23" s="161" t="s">
        <v>924</v>
      </c>
      <c r="B23" s="144">
        <v>0.4</v>
      </c>
      <c r="E23" s="161" t="s">
        <v>940</v>
      </c>
      <c r="G23" s="144">
        <f>B22*B21+G22*G21</f>
        <v>0.139237</v>
      </c>
    </row>
    <row r="24" spans="1:20" x14ac:dyDescent="0.3">
      <c r="A24" s="161" t="s">
        <v>900</v>
      </c>
      <c r="B24" s="133">
        <f>B22*B21*(1-B23)+G22*G21</f>
        <v>0.13865739999999999</v>
      </c>
      <c r="C24" s="134"/>
      <c r="D24" s="134"/>
      <c r="E24" s="134"/>
      <c r="F24" s="134"/>
      <c r="G24" s="135"/>
      <c r="H24" s="135"/>
      <c r="I24" s="135"/>
      <c r="J24" s="135"/>
      <c r="K24" s="135"/>
      <c r="L24" s="135"/>
      <c r="M24" s="135"/>
      <c r="N24" s="135"/>
      <c r="O24" s="135"/>
      <c r="P24" s="135"/>
      <c r="Q24" s="134"/>
      <c r="R24" s="134"/>
      <c r="S24" s="134"/>
      <c r="T24" s="134"/>
    </row>
    <row r="25" spans="1:20" x14ac:dyDescent="0.3">
      <c r="A25" s="161" t="s">
        <v>925</v>
      </c>
      <c r="B25" s="133">
        <v>4.2999999999999997E-2</v>
      </c>
      <c r="C25" s="145" t="s">
        <v>926</v>
      </c>
      <c r="D25" s="160" t="s">
        <v>949</v>
      </c>
      <c r="E25" s="134"/>
      <c r="F25" s="134"/>
      <c r="G25" s="135"/>
      <c r="H25" s="135"/>
      <c r="I25" s="135"/>
      <c r="J25" s="135"/>
      <c r="K25" s="135"/>
      <c r="L25" s="135"/>
      <c r="M25" s="135"/>
      <c r="N25" s="135"/>
      <c r="O25" s="135"/>
      <c r="P25" s="135"/>
      <c r="Q25" s="134"/>
      <c r="R25" s="134"/>
      <c r="S25" s="134"/>
      <c r="T25" s="134"/>
    </row>
    <row r="26" spans="1:20" x14ac:dyDescent="0.3">
      <c r="A26" s="134"/>
    </row>
    <row r="27" spans="1:20" x14ac:dyDescent="0.3">
      <c r="A27" s="127" t="s">
        <v>896</v>
      </c>
      <c r="B27" s="128"/>
      <c r="C27" s="128"/>
      <c r="D27" s="136"/>
      <c r="E27" s="136"/>
      <c r="F27" s="136"/>
      <c r="H27" s="7">
        <v>1</v>
      </c>
      <c r="I27" s="7">
        <v>2</v>
      </c>
      <c r="J27" s="7">
        <v>3</v>
      </c>
      <c r="K27" s="7">
        <v>4</v>
      </c>
      <c r="L27" s="7">
        <v>5</v>
      </c>
      <c r="M27" s="7">
        <v>6</v>
      </c>
      <c r="N27" s="7">
        <v>7</v>
      </c>
      <c r="O27" s="7">
        <v>8</v>
      </c>
      <c r="P27" s="7">
        <v>9</v>
      </c>
      <c r="Q27" s="7">
        <v>10</v>
      </c>
      <c r="R27" s="128"/>
      <c r="S27" s="128"/>
      <c r="T27" s="128"/>
    </row>
    <row r="28" spans="1:20" x14ac:dyDescent="0.3">
      <c r="A28" s="153" t="s">
        <v>937</v>
      </c>
      <c r="H28" s="172"/>
      <c r="I28" s="172"/>
      <c r="J28" s="172"/>
      <c r="K28" s="172"/>
      <c r="L28" s="172"/>
      <c r="M28" s="172"/>
      <c r="N28" s="172"/>
      <c r="O28" s="172"/>
      <c r="P28" s="172"/>
      <c r="Q28" s="172"/>
      <c r="R28" s="137"/>
    </row>
    <row r="29" spans="1:20" x14ac:dyDescent="0.3">
      <c r="A29" s="161" t="s">
        <v>931</v>
      </c>
      <c r="H29" s="172">
        <f t="shared" ref="H29:Q29" ca="1" si="5">H15</f>
        <v>2375.1466064854076</v>
      </c>
      <c r="I29" s="172">
        <f t="shared" ca="1" si="5"/>
        <v>3222.8489999375324</v>
      </c>
      <c r="J29" s="172">
        <f t="shared" ca="1" si="5"/>
        <v>3856.8131435566402</v>
      </c>
      <c r="K29" s="172">
        <f t="shared" ca="1" si="5"/>
        <v>5141.0287366215543</v>
      </c>
      <c r="L29" s="172">
        <f t="shared" ca="1" si="5"/>
        <v>6142.8229716815686</v>
      </c>
      <c r="M29" s="172">
        <f t="shared" ca="1" si="5"/>
        <v>7895.7650983299591</v>
      </c>
      <c r="N29" s="172">
        <f t="shared" ca="1" si="5"/>
        <v>8942.2810520338717</v>
      </c>
      <c r="O29" s="172">
        <f t="shared" ca="1" si="5"/>
        <v>10333.892999792766</v>
      </c>
      <c r="P29" s="172">
        <f t="shared" ca="1" si="5"/>
        <v>11923.410987552044</v>
      </c>
      <c r="Q29" s="172">
        <f t="shared" ca="1" si="5"/>
        <v>13777.079895393535</v>
      </c>
      <c r="R29" s="137"/>
      <c r="S29" s="171">
        <f ca="1">(Q29/H29)^0.1-1</f>
        <v>0.19219329646511252</v>
      </c>
    </row>
    <row r="30" spans="1:20" x14ac:dyDescent="0.3">
      <c r="A30" s="161" t="s">
        <v>901</v>
      </c>
      <c r="H30" s="173"/>
      <c r="I30" s="173"/>
      <c r="J30" s="173"/>
      <c r="K30" s="173"/>
      <c r="L30" s="173"/>
      <c r="M30" s="173"/>
      <c r="N30" s="173"/>
      <c r="O30" s="173"/>
      <c r="P30" s="173"/>
      <c r="Q30" s="172">
        <f ca="1">Q29*(1+B25)/(B24-B25)</f>
        <v>150218.32425819078</v>
      </c>
      <c r="R30" s="137"/>
    </row>
    <row r="31" spans="1:20" x14ac:dyDescent="0.3">
      <c r="A31" s="161" t="s">
        <v>902</v>
      </c>
      <c r="H31" s="172">
        <f ca="1">H30+H29</f>
        <v>2375.1466064854076</v>
      </c>
      <c r="I31" s="172">
        <f t="shared" ref="I31:Q31" ca="1" si="6">I30+I29</f>
        <v>3222.8489999375324</v>
      </c>
      <c r="J31" s="172">
        <f t="shared" ca="1" si="6"/>
        <v>3856.8131435566402</v>
      </c>
      <c r="K31" s="172">
        <f t="shared" ca="1" si="6"/>
        <v>5141.0287366215543</v>
      </c>
      <c r="L31" s="172">
        <f ca="1">L30+L29</f>
        <v>6142.8229716815686</v>
      </c>
      <c r="M31" s="172">
        <f t="shared" ca="1" si="6"/>
        <v>7895.7650983299591</v>
      </c>
      <c r="N31" s="172">
        <f t="shared" ca="1" si="6"/>
        <v>8942.2810520338717</v>
      </c>
      <c r="O31" s="172">
        <f t="shared" ca="1" si="6"/>
        <v>10333.892999792766</v>
      </c>
      <c r="P31" s="172">
        <f t="shared" ca="1" si="6"/>
        <v>11923.410987552044</v>
      </c>
      <c r="Q31" s="172">
        <f t="shared" ca="1" si="6"/>
        <v>163995.40415358433</v>
      </c>
      <c r="R31" s="137"/>
    </row>
    <row r="32" spans="1:20" x14ac:dyDescent="0.3">
      <c r="A32" s="130"/>
      <c r="H32" s="172"/>
      <c r="I32" s="172"/>
      <c r="J32" s="172"/>
      <c r="K32" s="172"/>
      <c r="L32" s="172"/>
      <c r="M32" s="172"/>
      <c r="N32" s="172"/>
      <c r="O32" s="172"/>
      <c r="P32" s="172"/>
      <c r="Q32" s="172"/>
      <c r="R32" s="137"/>
    </row>
    <row r="33" spans="1:25" x14ac:dyDescent="0.3">
      <c r="A33" s="153" t="s">
        <v>938</v>
      </c>
      <c r="H33" s="172"/>
      <c r="I33" s="172"/>
      <c r="J33" s="172"/>
      <c r="K33" s="172"/>
      <c r="L33" s="172"/>
      <c r="M33" s="172"/>
      <c r="N33" s="172"/>
      <c r="O33" s="172"/>
      <c r="P33" s="172"/>
      <c r="Q33" s="172"/>
      <c r="R33" s="137"/>
    </row>
    <row r="34" spans="1:25" x14ac:dyDescent="0.3">
      <c r="A34" s="161" t="s">
        <v>932</v>
      </c>
      <c r="H34" s="172">
        <f t="shared" ref="H34:Q34" ca="1" si="7">H18</f>
        <v>2904.3417652343874</v>
      </c>
      <c r="I34" s="172">
        <f t="shared" ca="1" si="7"/>
        <v>3885.3097633660755</v>
      </c>
      <c r="J34" s="172">
        <f t="shared" ca="1" si="7"/>
        <v>4714.7535191347397</v>
      </c>
      <c r="K34" s="172">
        <f t="shared" ca="1" si="7"/>
        <v>6433.9615364337915</v>
      </c>
      <c r="L34" s="172">
        <f t="shared" ca="1" si="7"/>
        <v>7722.0543613309219</v>
      </c>
      <c r="M34" s="172">
        <f t="shared" ca="1" si="7"/>
        <v>10108.559938549924</v>
      </c>
      <c r="N34" s="172">
        <f t="shared" ca="1" si="7"/>
        <v>11459.898814186367</v>
      </c>
      <c r="O34" s="172">
        <f t="shared" ca="1" si="7"/>
        <v>13227.327698720694</v>
      </c>
      <c r="P34" s="172">
        <f t="shared" ca="1" si="7"/>
        <v>15243.4023683984</v>
      </c>
      <c r="Q34" s="172">
        <f t="shared" ca="1" si="7"/>
        <v>17594.594024792546</v>
      </c>
      <c r="R34" s="137"/>
    </row>
    <row r="35" spans="1:25" x14ac:dyDescent="0.3">
      <c r="A35" s="161" t="s">
        <v>901</v>
      </c>
      <c r="H35" s="173"/>
      <c r="I35" s="173"/>
      <c r="J35" s="173"/>
      <c r="K35" s="173"/>
      <c r="L35" s="173"/>
      <c r="M35" s="173"/>
      <c r="N35" s="173"/>
      <c r="O35" s="173"/>
      <c r="P35" s="173"/>
      <c r="Q35" s="172">
        <f ca="1">Q34*(1+B25)/(G21-B25)</f>
        <v>174772.96731293929</v>
      </c>
      <c r="R35" s="137"/>
    </row>
    <row r="36" spans="1:25" x14ac:dyDescent="0.3">
      <c r="A36" s="161" t="s">
        <v>902</v>
      </c>
      <c r="H36" s="172">
        <f ca="1">H35+H34</f>
        <v>2904.3417652343874</v>
      </c>
      <c r="I36" s="172">
        <f t="shared" ref="I36:K36" ca="1" si="8">I35+I34</f>
        <v>3885.3097633660755</v>
      </c>
      <c r="J36" s="172">
        <f t="shared" ca="1" si="8"/>
        <v>4714.7535191347397</v>
      </c>
      <c r="K36" s="172">
        <f t="shared" ca="1" si="8"/>
        <v>6433.9615364337915</v>
      </c>
      <c r="L36" s="172">
        <f ca="1">L35+L34</f>
        <v>7722.0543613309219</v>
      </c>
      <c r="M36" s="172">
        <f t="shared" ref="M36:Q36" ca="1" si="9">M35+M34</f>
        <v>10108.559938549924</v>
      </c>
      <c r="N36" s="172">
        <f t="shared" ca="1" si="9"/>
        <v>11459.898814186367</v>
      </c>
      <c r="O36" s="172">
        <f t="shared" ca="1" si="9"/>
        <v>13227.327698720694</v>
      </c>
      <c r="P36" s="172">
        <f t="shared" ca="1" si="9"/>
        <v>15243.4023683984</v>
      </c>
      <c r="Q36" s="172">
        <f t="shared" ca="1" si="9"/>
        <v>192367.56133773184</v>
      </c>
      <c r="R36" s="137"/>
    </row>
    <row r="37" spans="1:25" x14ac:dyDescent="0.3">
      <c r="A37" s="130"/>
      <c r="H37" s="172"/>
      <c r="I37" s="172"/>
      <c r="J37" s="172"/>
      <c r="K37" s="172"/>
      <c r="L37" s="172"/>
      <c r="M37" s="172"/>
      <c r="N37" s="172"/>
      <c r="O37" s="172"/>
      <c r="P37" s="172"/>
      <c r="Q37" s="172"/>
      <c r="R37" s="137"/>
    </row>
    <row r="38" spans="1:25" x14ac:dyDescent="0.3">
      <c r="A38" s="163" t="s">
        <v>939</v>
      </c>
      <c r="H38" s="172"/>
      <c r="I38" s="172"/>
      <c r="J38" s="172"/>
      <c r="K38" s="172"/>
      <c r="L38" s="172"/>
      <c r="M38" s="172"/>
      <c r="N38" s="172"/>
      <c r="O38" s="172"/>
      <c r="P38" s="172"/>
      <c r="Q38" s="172"/>
      <c r="R38" s="137"/>
    </row>
    <row r="39" spans="1:25" x14ac:dyDescent="0.3">
      <c r="A39" s="161" t="s">
        <v>934</v>
      </c>
      <c r="H39" s="172">
        <f ca="1">H29</f>
        <v>2375.1466064854076</v>
      </c>
      <c r="I39" s="172">
        <f t="shared" ref="I39:Q39" ca="1" si="10">I29</f>
        <v>3222.8489999375324</v>
      </c>
      <c r="J39" s="172">
        <f t="shared" ca="1" si="10"/>
        <v>3856.8131435566402</v>
      </c>
      <c r="K39" s="172">
        <f t="shared" ca="1" si="10"/>
        <v>5141.0287366215543</v>
      </c>
      <c r="L39" s="172">
        <f t="shared" ca="1" si="10"/>
        <v>6142.8229716815686</v>
      </c>
      <c r="M39" s="172">
        <f t="shared" ca="1" si="10"/>
        <v>7895.7650983299591</v>
      </c>
      <c r="N39" s="172">
        <f t="shared" ca="1" si="10"/>
        <v>8942.2810520338717</v>
      </c>
      <c r="O39" s="172">
        <f t="shared" ca="1" si="10"/>
        <v>10333.892999792766</v>
      </c>
      <c r="P39" s="172">
        <f t="shared" ca="1" si="10"/>
        <v>11923.410987552044</v>
      </c>
      <c r="Q39" s="172">
        <f t="shared" ca="1" si="10"/>
        <v>13777.079895393535</v>
      </c>
      <c r="R39" s="137"/>
    </row>
    <row r="40" spans="1:25" x14ac:dyDescent="0.3">
      <c r="A40" s="161" t="s">
        <v>935</v>
      </c>
      <c r="H40" s="172">
        <f ca="1">'IS Model'!H42*'IS Model'!H53</f>
        <v>-185.90263323403062</v>
      </c>
      <c r="I40" s="172">
        <f ca="1">'IS Model'!I42*'IS Model'!I53</f>
        <v>-239.94347745782213</v>
      </c>
      <c r="J40" s="172">
        <f ca="1">'IS Model'!J42*'IS Model'!J53</f>
        <v>-293.83302922264409</v>
      </c>
      <c r="K40" s="172">
        <f ca="1">'IS Model'!K42*'IS Model'!K53</f>
        <v>-365.36237655867592</v>
      </c>
      <c r="L40" s="172">
        <f ca="1">'IS Model'!L42*'IS Model'!L53</f>
        <v>-459.20219712971385</v>
      </c>
      <c r="M40" s="172">
        <f ca="1">'IS Model'!M42*'IS Model'!M53</f>
        <v>-581.49678397826585</v>
      </c>
      <c r="N40" s="172">
        <f ca="1">'IS Model'!N42*'IS Model'!N53</f>
        <v>-734.4092138165538</v>
      </c>
      <c r="O40" s="172">
        <f ca="1">'IS Model'!O42*'IS Model'!O53</f>
        <v>-915.00846630550154</v>
      </c>
      <c r="P40" s="172">
        <f ca="1">'IS Model'!P42*'IS Model'!P53</f>
        <v>-1127.9176673388392</v>
      </c>
      <c r="Q40" s="172">
        <f ca="1">'IS Model'!Q42*'IS Model'!Q53</f>
        <v>-1378.1058288656413</v>
      </c>
      <c r="R40" s="137"/>
    </row>
    <row r="41" spans="1:25" x14ac:dyDescent="0.3">
      <c r="A41" s="161" t="s">
        <v>936</v>
      </c>
      <c r="H41" s="172"/>
      <c r="I41" s="172"/>
      <c r="J41" s="172"/>
      <c r="K41" s="172"/>
      <c r="L41" s="172"/>
      <c r="M41" s="172"/>
      <c r="N41" s="172"/>
      <c r="O41" s="172"/>
      <c r="P41" s="172"/>
      <c r="Q41" s="172">
        <f ca="1">Q39*(1+B25)/(B24-B25)</f>
        <v>150218.32425819078</v>
      </c>
      <c r="R41" s="137"/>
    </row>
    <row r="42" spans="1:25" x14ac:dyDescent="0.3">
      <c r="A42" s="161" t="s">
        <v>902</v>
      </c>
      <c r="H42" s="172">
        <f ca="1">H39+H40+H41</f>
        <v>2189.2439732513772</v>
      </c>
      <c r="I42" s="172">
        <f t="shared" ref="I42:Q42" ca="1" si="11">I39+I40+I41</f>
        <v>2982.9055224797103</v>
      </c>
      <c r="J42" s="172">
        <f t="shared" ca="1" si="11"/>
        <v>3562.980114333996</v>
      </c>
      <c r="K42" s="172">
        <f t="shared" ca="1" si="11"/>
        <v>4775.6663600628781</v>
      </c>
      <c r="L42" s="172">
        <f t="shared" ca="1" si="11"/>
        <v>5683.620774551855</v>
      </c>
      <c r="M42" s="172">
        <f t="shared" ca="1" si="11"/>
        <v>7314.2683143516933</v>
      </c>
      <c r="N42" s="172">
        <f t="shared" ca="1" si="11"/>
        <v>8207.8718382173174</v>
      </c>
      <c r="O42" s="172">
        <f t="shared" ca="1" si="11"/>
        <v>9418.884533487264</v>
      </c>
      <c r="P42" s="172">
        <f t="shared" ca="1" si="11"/>
        <v>10795.493320213205</v>
      </c>
      <c r="Q42" s="172">
        <f t="shared" ca="1" si="11"/>
        <v>162617.29832471866</v>
      </c>
      <c r="R42" s="137"/>
      <c r="U42" s="151" t="s">
        <v>1116</v>
      </c>
      <c r="V42" s="302" t="s">
        <v>1113</v>
      </c>
      <c r="W42" s="302" t="s">
        <v>1114</v>
      </c>
      <c r="Y42" s="302" t="s">
        <v>1115</v>
      </c>
    </row>
    <row r="43" spans="1:25" x14ac:dyDescent="0.3">
      <c r="A43" s="130"/>
      <c r="H43" s="140"/>
      <c r="I43" s="140"/>
      <c r="J43" s="140"/>
      <c r="K43" s="140"/>
      <c r="L43" s="140"/>
      <c r="M43" s="140"/>
      <c r="N43" s="140"/>
      <c r="O43" s="140"/>
      <c r="P43" s="140"/>
      <c r="Q43" s="140"/>
      <c r="R43" s="137"/>
      <c r="U43" t="s">
        <v>1109</v>
      </c>
      <c r="V43" s="298" cm="1">
        <f t="array" aca="1" ref="V43" ca="1">_FV(A2,"52 week low",TRUE)</f>
        <v>55</v>
      </c>
      <c r="W43" s="298">
        <f ca="1">Y43-V43</f>
        <v>92.72829999999999</v>
      </c>
      <c r="X43">
        <v>6.3</v>
      </c>
      <c r="Y43" s="298" cm="1">
        <f t="array" aca="1" ref="Y43" ca="1">_FV(A2,"52 week high",TRUE)</f>
        <v>147.72829999999999</v>
      </c>
    </row>
    <row r="44" spans="1:25" ht="15.6" x14ac:dyDescent="0.3">
      <c r="A44" s="307" t="s">
        <v>1120</v>
      </c>
      <c r="B44" s="308"/>
      <c r="C44" s="308"/>
      <c r="D44" s="309" t="s">
        <v>931</v>
      </c>
      <c r="E44" s="309" t="s">
        <v>932</v>
      </c>
      <c r="F44" s="309" t="s">
        <v>921</v>
      </c>
      <c r="H44" s="140"/>
      <c r="I44" s="140"/>
      <c r="J44" s="140"/>
      <c r="K44" s="140"/>
      <c r="L44" s="140"/>
      <c r="M44" s="140"/>
      <c r="N44" s="140"/>
      <c r="O44" s="140"/>
      <c r="P44" s="140"/>
      <c r="Q44" s="140"/>
      <c r="R44" s="137"/>
      <c r="U44" t="s">
        <v>1110</v>
      </c>
      <c r="V44" s="298">
        <v>29</v>
      </c>
      <c r="W44" s="298">
        <f>Y44-V44</f>
        <v>153</v>
      </c>
      <c r="X44">
        <v>4.9000000000000004</v>
      </c>
      <c r="Y44" s="298">
        <v>182</v>
      </c>
    </row>
    <row r="45" spans="1:25" x14ac:dyDescent="0.3">
      <c r="A45" s="303" t="str">
        <f>"Enterprise value"</f>
        <v>Enterprise value</v>
      </c>
      <c r="B45" s="304"/>
      <c r="C45" s="304"/>
      <c r="D45" s="310">
        <f ca="1">NPV(B24,H31:Q31)</f>
        <v>72801.341503018411</v>
      </c>
      <c r="E45" s="311"/>
      <c r="F45" s="310">
        <f ca="1">NPV(G23,H42:Q42)</f>
        <v>69887.028188744647</v>
      </c>
      <c r="U45" t="s">
        <v>1119</v>
      </c>
      <c r="V45" s="301">
        <f ca="1">MIN($D$53:$F$53)</f>
        <v>141.02127890877367</v>
      </c>
      <c r="W45" s="298">
        <f ca="1">Y45-V45</f>
        <v>14.859623254815574</v>
      </c>
      <c r="X45">
        <f>X44-1.4</f>
        <v>3.5000000000000004</v>
      </c>
      <c r="Y45" s="301">
        <f ca="1">MAX($D$53:$F$53)</f>
        <v>155.88090216358924</v>
      </c>
    </row>
    <row r="46" spans="1:25" x14ac:dyDescent="0.3">
      <c r="A46" s="161" t="s">
        <v>903</v>
      </c>
      <c r="D46" s="312">
        <f>'BS Model'!G6</f>
        <v>8620.5759999999991</v>
      </c>
      <c r="E46" s="313"/>
      <c r="F46" s="312">
        <f>D46</f>
        <v>8620.5759999999991</v>
      </c>
      <c r="M46" t="s">
        <v>1117</v>
      </c>
      <c r="N46" t="s">
        <v>1118</v>
      </c>
      <c r="U46" t="s">
        <v>1111</v>
      </c>
      <c r="V46" s="298">
        <f ca="1">MIN('Ratios + Implied share price'!P27:S27)</f>
        <v>19.368635351276257</v>
      </c>
      <c r="W46" s="298">
        <f ca="1">Y46-V46</f>
        <v>87.707506308222491</v>
      </c>
      <c r="X46">
        <f t="shared" ref="X46:X47" si="12">X45-1.4</f>
        <v>2.1000000000000005</v>
      </c>
      <c r="Y46" s="298">
        <f ca="1">MAX('Ratios + Implied share price'!P27:S27)</f>
        <v>107.07614165949875</v>
      </c>
    </row>
    <row r="47" spans="1:25" x14ac:dyDescent="0.3">
      <c r="A47" s="305" t="s">
        <v>904</v>
      </c>
      <c r="B47" s="98"/>
      <c r="C47" s="98"/>
      <c r="D47" s="314">
        <f ca="1">D46+D45</f>
        <v>81421.917503018412</v>
      </c>
      <c r="E47" s="315"/>
      <c r="F47" s="314">
        <f ca="1">F46+F45</f>
        <v>78507.604188744648</v>
      </c>
      <c r="H47" s="154"/>
      <c r="M47">
        <v>0</v>
      </c>
      <c r="N47">
        <v>130.66999999999999</v>
      </c>
      <c r="U47" t="s">
        <v>1112</v>
      </c>
      <c r="V47" s="298">
        <f ca="1">MIN('Ratios + Implied share price'!P35:S35)</f>
        <v>18.276305543984734</v>
      </c>
      <c r="W47" s="298">
        <f ca="1">Y47-V47</f>
        <v>82.514803751281789</v>
      </c>
      <c r="X47">
        <f t="shared" si="12"/>
        <v>0.70000000000000062</v>
      </c>
      <c r="Y47" s="298">
        <f ca="1">MAX('Ratios + Implied share price'!P35:S35)</f>
        <v>100.79110929526652</v>
      </c>
    </row>
    <row r="48" spans="1:25" x14ac:dyDescent="0.3">
      <c r="A48" s="161" t="s">
        <v>905</v>
      </c>
      <c r="D48" s="312">
        <f>'BS Model'!G121</f>
        <v>4110.6329999999998</v>
      </c>
      <c r="E48" s="313"/>
      <c r="F48" s="312">
        <f t="shared" ref="F48:F50" si="13">D48</f>
        <v>4110.6329999999998</v>
      </c>
      <c r="L48" t="s">
        <v>906</v>
      </c>
      <c r="M48">
        <v>4</v>
      </c>
      <c r="N48">
        <v>130.66999999999999</v>
      </c>
      <c r="V48" s="298"/>
    </row>
    <row r="49" spans="1:26" x14ac:dyDescent="0.3">
      <c r="A49" s="305" t="s">
        <v>907</v>
      </c>
      <c r="B49" s="98"/>
      <c r="C49" s="98"/>
      <c r="D49" s="314">
        <f>'BS Model'!G98</f>
        <v>0</v>
      </c>
      <c r="E49" s="315"/>
      <c r="F49" s="314">
        <f t="shared" si="13"/>
        <v>0</v>
      </c>
    </row>
    <row r="50" spans="1:26" x14ac:dyDescent="0.3">
      <c r="A50" s="161" t="s">
        <v>918</v>
      </c>
      <c r="D50" s="312">
        <f>'BS Model'!G110</f>
        <v>105.241</v>
      </c>
      <c r="E50" s="313"/>
      <c r="F50" s="312">
        <f t="shared" si="13"/>
        <v>105.241</v>
      </c>
      <c r="V50" t="s">
        <v>1117</v>
      </c>
      <c r="W50" t="s">
        <v>1118</v>
      </c>
    </row>
    <row r="51" spans="1:26" x14ac:dyDescent="0.3">
      <c r="A51" s="305" t="s">
        <v>908</v>
      </c>
      <c r="B51" s="98"/>
      <c r="C51" s="98"/>
      <c r="D51" s="314">
        <f ca="1">D47-D48-D49-D50</f>
        <v>77206.043503018416</v>
      </c>
      <c r="E51" s="316">
        <f ca="1">NPV(G21,H36:Q36)</f>
        <v>82119.961006785205</v>
      </c>
      <c r="F51" s="314">
        <f ca="1">F47-F48-F49-F50</f>
        <v>74291.730188744652</v>
      </c>
      <c r="V51" s="298">
        <v>130.66999999999999</v>
      </c>
      <c r="W51">
        <v>0</v>
      </c>
    </row>
    <row r="52" spans="1:26" x14ac:dyDescent="0.3">
      <c r="A52" s="161" t="s">
        <v>909</v>
      </c>
      <c r="D52" s="312">
        <f>'BS Model'!G123</f>
        <v>526.81219999999996</v>
      </c>
      <c r="E52" s="317">
        <f>D52</f>
        <v>526.81219999999996</v>
      </c>
      <c r="F52" s="312">
        <f>D52</f>
        <v>526.81219999999996</v>
      </c>
      <c r="V52" s="298">
        <v>130.66999999999999</v>
      </c>
      <c r="W52">
        <v>7</v>
      </c>
    </row>
    <row r="53" spans="1:26" x14ac:dyDescent="0.3">
      <c r="A53" s="306" t="s">
        <v>1121</v>
      </c>
      <c r="B53" s="304"/>
      <c r="C53" s="304"/>
      <c r="D53" s="318">
        <f ca="1">D51/D52</f>
        <v>146.55325655521725</v>
      </c>
      <c r="E53" s="318">
        <f ca="1">E51/E52</f>
        <v>155.88090216358924</v>
      </c>
      <c r="F53" s="318">
        <f ca="1">F51/F52</f>
        <v>141.02127890877367</v>
      </c>
    </row>
    <row r="54" spans="1:26" x14ac:dyDescent="0.3">
      <c r="A54" s="161" t="s">
        <v>933</v>
      </c>
      <c r="D54" s="319">
        <f ca="1">D53/130.67-1</f>
        <v>0.12155243403395777</v>
      </c>
      <c r="E54" s="319">
        <f t="shared" ref="E54:F54" ca="1" si="14">E53/130.67-1</f>
        <v>0.19293565595461271</v>
      </c>
      <c r="F54" s="319">
        <f t="shared" ca="1" si="14"/>
        <v>7.9216950400043507E-2</v>
      </c>
    </row>
    <row r="56" spans="1:26" ht="17.399999999999999" x14ac:dyDescent="0.3">
      <c r="A56" s="132" t="s">
        <v>941</v>
      </c>
    </row>
    <row r="58" spans="1:26" x14ac:dyDescent="0.3">
      <c r="B58" s="164" t="s">
        <v>931</v>
      </c>
      <c r="C58" s="165"/>
      <c r="D58" s="320" t="s">
        <v>942</v>
      </c>
      <c r="E58" s="320"/>
      <c r="F58" s="320"/>
      <c r="G58" s="320"/>
      <c r="H58" s="320"/>
      <c r="I58" s="165"/>
      <c r="J58" s="165"/>
      <c r="K58" s="164" t="s">
        <v>932</v>
      </c>
      <c r="L58" s="165"/>
      <c r="M58" s="320" t="s">
        <v>920</v>
      </c>
      <c r="N58" s="320"/>
      <c r="O58" s="320"/>
      <c r="P58" s="320"/>
      <c r="Q58" s="320"/>
      <c r="R58" s="165"/>
      <c r="S58" s="165"/>
      <c r="T58" s="164" t="s">
        <v>921</v>
      </c>
      <c r="U58" s="165"/>
      <c r="V58" s="320" t="s">
        <v>940</v>
      </c>
      <c r="W58" s="320"/>
      <c r="X58" s="320"/>
      <c r="Y58" s="320"/>
      <c r="Z58" s="320"/>
    </row>
    <row r="59" spans="1:26" x14ac:dyDescent="0.3">
      <c r="B59" s="165"/>
      <c r="C59" s="166">
        <f ca="1">D53</f>
        <v>146.55325655521725</v>
      </c>
      <c r="D59" s="167">
        <f>E59-0.5%</f>
        <v>0.12865739999999998</v>
      </c>
      <c r="E59" s="167">
        <f>F59-0.5%</f>
        <v>0.13365739999999998</v>
      </c>
      <c r="F59" s="156">
        <v>0.13865739999999999</v>
      </c>
      <c r="G59" s="167">
        <f>F59+0.5%</f>
        <v>0.14365739999999999</v>
      </c>
      <c r="H59" s="167">
        <f>G59+0.5%</f>
        <v>0.1486574</v>
      </c>
      <c r="I59" s="165"/>
      <c r="J59" s="165"/>
      <c r="K59" s="165"/>
      <c r="L59" s="166">
        <f ca="1">E53</f>
        <v>155.88090216358924</v>
      </c>
      <c r="M59" s="167">
        <f>N59-0.5%</f>
        <v>0.13799999999999998</v>
      </c>
      <c r="N59" s="167">
        <f>O59-0.5%</f>
        <v>0.14299999999999999</v>
      </c>
      <c r="O59" s="168">
        <v>0.14799999999999999</v>
      </c>
      <c r="P59" s="167">
        <f>O59+0.5%</f>
        <v>0.153</v>
      </c>
      <c r="Q59" s="167">
        <f>P59+0.5%</f>
        <v>0.158</v>
      </c>
      <c r="R59" s="165"/>
      <c r="S59" s="165"/>
      <c r="T59" s="165"/>
      <c r="U59" s="166">
        <f ca="1">F53</f>
        <v>141.02127890877367</v>
      </c>
      <c r="V59" s="167">
        <f>W59-0.5%</f>
        <v>0.12923699999999999</v>
      </c>
      <c r="W59" s="167">
        <f>X59-0.5%</f>
        <v>0.134237</v>
      </c>
      <c r="X59" s="168">
        <v>0.139237</v>
      </c>
      <c r="Y59" s="167">
        <f>X59+0.5%</f>
        <v>0.144237</v>
      </c>
      <c r="Z59" s="167">
        <f>Y59+0.5%</f>
        <v>0.14923700000000001</v>
      </c>
    </row>
    <row r="60" spans="1:26" x14ac:dyDescent="0.3">
      <c r="B60" s="321" t="s">
        <v>943</v>
      </c>
      <c r="C60" s="169">
        <f>C61-0.5%</f>
        <v>3.3000000000000002E-2</v>
      </c>
      <c r="D60" s="166">
        <f t="dataTable" ref="D60:H64" dt2D="1" dtr="1" r1="B24" r2="B25" ca="1"/>
        <v>146.55325655521725</v>
      </c>
      <c r="E60" s="166">
        <v>146.55325655521725</v>
      </c>
      <c r="F60" s="166">
        <v>146.55325655521725</v>
      </c>
      <c r="G60" s="166">
        <v>146.55325655521725</v>
      </c>
      <c r="H60" s="166">
        <v>146.55325655521725</v>
      </c>
      <c r="I60" s="165"/>
      <c r="J60" s="165"/>
      <c r="K60" s="321" t="s">
        <v>943</v>
      </c>
      <c r="L60" s="169">
        <f>L61-0.5%</f>
        <v>3.3000000000000002E-2</v>
      </c>
      <c r="M60" s="166">
        <f t="dataTable" ref="M60:Q64" dt2D="1" dtr="1" r1="G21" r2="B25" ca="1"/>
        <v>155.88090216358924</v>
      </c>
      <c r="N60" s="166">
        <v>155.88090216358924</v>
      </c>
      <c r="O60" s="166">
        <v>155.88090216358924</v>
      </c>
      <c r="P60" s="166">
        <v>155.88090216358924</v>
      </c>
      <c r="Q60" s="166">
        <v>155.88090216358924</v>
      </c>
      <c r="R60" s="165"/>
      <c r="S60" s="165"/>
      <c r="T60" s="321" t="s">
        <v>943</v>
      </c>
      <c r="U60" s="169">
        <f>U61-0.5%</f>
        <v>3.3000000000000002E-2</v>
      </c>
      <c r="V60" s="166">
        <f t="dataTable" ref="V60:Z64" dt2D="1" dtr="1" r1="G23" r2="B25" ca="1"/>
        <v>141.02127890877367</v>
      </c>
      <c r="W60" s="166">
        <v>141.02127890877367</v>
      </c>
      <c r="X60" s="166">
        <v>141.02127890877367</v>
      </c>
      <c r="Y60" s="166">
        <v>141.02127890877367</v>
      </c>
      <c r="Z60" s="166">
        <v>141.02127890877367</v>
      </c>
    </row>
    <row r="61" spans="1:26" x14ac:dyDescent="0.3">
      <c r="B61" s="321"/>
      <c r="C61" s="169">
        <f>C62-0.5%</f>
        <v>3.7999999999999999E-2</v>
      </c>
      <c r="D61" s="166">
        <v>146.55325655521725</v>
      </c>
      <c r="E61" s="166">
        <v>146.55325655521725</v>
      </c>
      <c r="F61" s="166">
        <v>146.55325655521725</v>
      </c>
      <c r="G61" s="166">
        <v>146.55325655521725</v>
      </c>
      <c r="H61" s="166">
        <v>146.55325655521725</v>
      </c>
      <c r="I61" s="165"/>
      <c r="J61" s="165"/>
      <c r="K61" s="321"/>
      <c r="L61" s="169">
        <f>L62-0.5%</f>
        <v>3.7999999999999999E-2</v>
      </c>
      <c r="M61" s="166">
        <v>155.88090216358924</v>
      </c>
      <c r="N61" s="166">
        <v>155.88090216358924</v>
      </c>
      <c r="O61" s="166">
        <v>155.88090216358924</v>
      </c>
      <c r="P61" s="166">
        <v>155.88090216358924</v>
      </c>
      <c r="Q61" s="166">
        <v>155.88090216358924</v>
      </c>
      <c r="R61" s="165"/>
      <c r="S61" s="165"/>
      <c r="T61" s="321"/>
      <c r="U61" s="169">
        <f>U62-0.5%</f>
        <v>3.7999999999999999E-2</v>
      </c>
      <c r="V61" s="166">
        <v>141.02127890877367</v>
      </c>
      <c r="W61" s="166">
        <v>141.02127890877367</v>
      </c>
      <c r="X61" s="166">
        <v>141.02127890877367</v>
      </c>
      <c r="Y61" s="166">
        <v>141.02127890877367</v>
      </c>
      <c r="Z61" s="166">
        <v>141.02127890877367</v>
      </c>
    </row>
    <row r="62" spans="1:26" x14ac:dyDescent="0.3">
      <c r="B62" s="321"/>
      <c r="C62" s="155">
        <v>4.2999999999999997E-2</v>
      </c>
      <c r="D62" s="166">
        <v>146.55325655521725</v>
      </c>
      <c r="E62" s="166">
        <v>146.55325655521725</v>
      </c>
      <c r="F62" s="170">
        <v>146.55325655521725</v>
      </c>
      <c r="G62" s="166">
        <v>146.55325655521725</v>
      </c>
      <c r="H62" s="166">
        <v>146.55325655521725</v>
      </c>
      <c r="I62" s="165"/>
      <c r="J62" s="165"/>
      <c r="K62" s="321"/>
      <c r="L62" s="155">
        <v>4.2999999999999997E-2</v>
      </c>
      <c r="M62" s="166">
        <v>155.88090216358924</v>
      </c>
      <c r="N62" s="166">
        <v>155.88090216358924</v>
      </c>
      <c r="O62" s="170">
        <v>155.88090216358924</v>
      </c>
      <c r="P62" s="166">
        <v>155.88090216358924</v>
      </c>
      <c r="Q62" s="166">
        <v>155.88090216358924</v>
      </c>
      <c r="R62" s="165"/>
      <c r="S62" s="165"/>
      <c r="T62" s="321"/>
      <c r="U62" s="155">
        <v>4.2999999999999997E-2</v>
      </c>
      <c r="V62" s="166">
        <v>141.02127890877367</v>
      </c>
      <c r="W62" s="166">
        <v>141.02127890877367</v>
      </c>
      <c r="X62" s="170">
        <v>141.02127890877367</v>
      </c>
      <c r="Y62" s="166">
        <v>141.02127890877367</v>
      </c>
      <c r="Z62" s="166">
        <v>141.02127890877367</v>
      </c>
    </row>
    <row r="63" spans="1:26" x14ac:dyDescent="0.3">
      <c r="B63" s="321"/>
      <c r="C63" s="169">
        <f>C62+0.5%</f>
        <v>4.7999999999999994E-2</v>
      </c>
      <c r="D63" s="166">
        <v>146.55325655521725</v>
      </c>
      <c r="E63" s="166">
        <v>146.55325655521725</v>
      </c>
      <c r="F63" s="166">
        <v>146.55325655521725</v>
      </c>
      <c r="G63" s="166">
        <v>146.55325655521725</v>
      </c>
      <c r="H63" s="166">
        <v>146.55325655521725</v>
      </c>
      <c r="I63" s="165"/>
      <c r="J63" s="165"/>
      <c r="K63" s="321"/>
      <c r="L63" s="169">
        <f>L62+0.5%</f>
        <v>4.7999999999999994E-2</v>
      </c>
      <c r="M63" s="166">
        <v>155.88090216358924</v>
      </c>
      <c r="N63" s="166">
        <v>155.88090216358924</v>
      </c>
      <c r="O63" s="166">
        <v>155.88090216358924</v>
      </c>
      <c r="P63" s="166">
        <v>155.88090216358924</v>
      </c>
      <c r="Q63" s="166">
        <v>155.88090216358924</v>
      </c>
      <c r="R63" s="165"/>
      <c r="S63" s="165"/>
      <c r="T63" s="321"/>
      <c r="U63" s="169">
        <f>U62+0.5%</f>
        <v>4.7999999999999994E-2</v>
      </c>
      <c r="V63" s="166">
        <v>141.02127890877367</v>
      </c>
      <c r="W63" s="166">
        <v>141.02127890877367</v>
      </c>
      <c r="X63" s="166">
        <v>141.02127890877367</v>
      </c>
      <c r="Y63" s="166">
        <v>141.02127890877367</v>
      </c>
      <c r="Z63" s="166">
        <v>141.02127890877367</v>
      </c>
    </row>
    <row r="64" spans="1:26" x14ac:dyDescent="0.3">
      <c r="B64" s="321"/>
      <c r="C64" s="169">
        <f t="shared" ref="C64" si="15">C63+0.5%</f>
        <v>5.2999999999999992E-2</v>
      </c>
      <c r="D64" s="166">
        <v>146.55325655521725</v>
      </c>
      <c r="E64" s="166">
        <v>146.55325655521725</v>
      </c>
      <c r="F64" s="166">
        <v>146.55325655521725</v>
      </c>
      <c r="G64" s="166">
        <v>146.55325655521725</v>
      </c>
      <c r="H64" s="166">
        <v>146.55325655521725</v>
      </c>
      <c r="I64" s="165"/>
      <c r="J64" s="165"/>
      <c r="K64" s="321"/>
      <c r="L64" s="169">
        <f t="shared" ref="L64" si="16">L63+0.5%</f>
        <v>5.2999999999999992E-2</v>
      </c>
      <c r="M64" s="166">
        <v>155.88090216358924</v>
      </c>
      <c r="N64" s="166">
        <v>155.88090216358924</v>
      </c>
      <c r="O64" s="166">
        <v>155.88090216358924</v>
      </c>
      <c r="P64" s="166">
        <v>155.88090216358924</v>
      </c>
      <c r="Q64" s="166">
        <v>155.88090216358924</v>
      </c>
      <c r="R64" s="165"/>
      <c r="S64" s="165"/>
      <c r="T64" s="321"/>
      <c r="U64" s="169">
        <f t="shared" ref="U64" si="17">U63+0.5%</f>
        <v>5.2999999999999992E-2</v>
      </c>
      <c r="V64" s="166">
        <v>141.02127890877367</v>
      </c>
      <c r="W64" s="166">
        <v>141.02127890877367</v>
      </c>
      <c r="X64" s="166">
        <v>141.02127890877367</v>
      </c>
      <c r="Y64" s="166">
        <v>141.02127890877367</v>
      </c>
      <c r="Z64" s="166">
        <v>141.02127890877367</v>
      </c>
    </row>
  </sheetData>
  <mergeCells count="6">
    <mergeCell ref="D58:H58"/>
    <mergeCell ref="B60:B64"/>
    <mergeCell ref="M58:Q58"/>
    <mergeCell ref="K60:K64"/>
    <mergeCell ref="V58:Z58"/>
    <mergeCell ref="T60:T6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9016F-409D-434B-BD40-6B326AC67866}">
  <dimension ref="A1:V64"/>
  <sheetViews>
    <sheetView showGridLines="0" topLeftCell="D88" zoomScaleNormal="100" workbookViewId="0">
      <selection activeCell="P35" sqref="P35"/>
    </sheetView>
  </sheetViews>
  <sheetFormatPr defaultColWidth="9.109375" defaultRowHeight="14.4" x14ac:dyDescent="0.3"/>
  <cols>
    <col min="1" max="1" width="19.6640625" style="176" bestFit="1" customWidth="1"/>
    <col min="2" max="2" width="35" style="176" bestFit="1" customWidth="1"/>
    <col min="3" max="3" width="24.109375" style="176" customWidth="1"/>
    <col min="4" max="4" width="17.5546875" style="176" bestFit="1" customWidth="1"/>
    <col min="5" max="5" width="16.77734375" style="176" customWidth="1"/>
    <col min="6" max="6" width="20" style="176" customWidth="1"/>
    <col min="7" max="7" width="7.33203125" style="176" bestFit="1" customWidth="1"/>
    <col min="8" max="8" width="13.6640625" style="176" customWidth="1"/>
    <col min="9" max="9" width="14" style="176" bestFit="1" customWidth="1"/>
    <col min="10" max="10" width="18.44140625" style="176" bestFit="1" customWidth="1"/>
    <col min="11" max="11" width="16.5546875" style="176" bestFit="1" customWidth="1"/>
    <col min="12" max="12" width="21.6640625" style="176" bestFit="1" customWidth="1"/>
    <col min="13" max="13" width="7.5546875" style="176" bestFit="1" customWidth="1"/>
    <col min="14" max="14" width="9.109375" style="176"/>
    <col min="15" max="15" width="34.88671875" style="176" customWidth="1"/>
    <col min="16" max="16" width="15" style="176" customWidth="1"/>
    <col min="17" max="17" width="13.5546875" style="176" bestFit="1" customWidth="1"/>
    <col min="18" max="18" width="16.6640625" style="176" bestFit="1" customWidth="1"/>
    <col min="19" max="19" width="20" style="176" bestFit="1" customWidth="1"/>
    <col min="20" max="20" width="31.109375" style="176" bestFit="1" customWidth="1"/>
    <col min="21" max="16384" width="9.109375" style="176"/>
  </cols>
  <sheetData>
    <row r="1" spans="1:22" x14ac:dyDescent="0.3">
      <c r="A1" s="174"/>
      <c r="B1" s="174"/>
      <c r="C1" s="174"/>
      <c r="D1" s="175"/>
      <c r="E1" s="175"/>
      <c r="F1" s="175"/>
      <c r="G1" s="175"/>
      <c r="H1" s="175"/>
      <c r="I1" s="175"/>
      <c r="J1" s="175"/>
      <c r="K1" s="175"/>
      <c r="L1" s="175"/>
    </row>
    <row r="2" spans="1:22" x14ac:dyDescent="0.3">
      <c r="A2" s="174" t="s">
        <v>1086</v>
      </c>
      <c r="B2" s="174" t="s">
        <v>971</v>
      </c>
      <c r="C2" s="174"/>
      <c r="D2" s="175"/>
      <c r="E2" s="175"/>
      <c r="F2" s="175"/>
      <c r="G2" s="175"/>
      <c r="H2" s="175"/>
      <c r="I2" s="175"/>
      <c r="J2" s="175"/>
      <c r="K2" s="175"/>
      <c r="L2" s="175"/>
      <c r="R2"/>
    </row>
    <row r="3" spans="1:22" x14ac:dyDescent="0.3">
      <c r="A3" s="177" t="s">
        <v>950</v>
      </c>
      <c r="B3" s="177" t="s">
        <v>951</v>
      </c>
      <c r="C3" s="177" t="s">
        <v>950</v>
      </c>
      <c r="D3" s="177" t="s">
        <v>952</v>
      </c>
      <c r="E3" s="177" t="s">
        <v>953</v>
      </c>
      <c r="F3" s="177" t="s">
        <v>954</v>
      </c>
      <c r="G3" s="177" t="s">
        <v>955</v>
      </c>
      <c r="H3" s="177" t="s">
        <v>956</v>
      </c>
      <c r="I3" s="177" t="s">
        <v>957</v>
      </c>
      <c r="J3" s="177" t="s">
        <v>958</v>
      </c>
      <c r="K3" s="177" t="s">
        <v>959</v>
      </c>
      <c r="L3" s="177" t="s">
        <v>960</v>
      </c>
      <c r="M3" s="177" t="s">
        <v>961</v>
      </c>
      <c r="O3" s="178"/>
      <c r="P3" s="193" t="s">
        <v>962</v>
      </c>
      <c r="Q3" s="176" t="s">
        <v>963</v>
      </c>
      <c r="T3" t="s">
        <v>1030</v>
      </c>
      <c r="V3"/>
    </row>
    <row r="4" spans="1:22" x14ac:dyDescent="0.3">
      <c r="A4" s="179" t="s">
        <v>964</v>
      </c>
      <c r="B4" s="179"/>
      <c r="C4" s="179"/>
      <c r="D4" s="180"/>
      <c r="E4" s="180"/>
      <c r="F4" s="180"/>
      <c r="G4" s="180"/>
      <c r="H4" s="180"/>
      <c r="I4" s="180"/>
      <c r="J4" s="180"/>
      <c r="K4" s="180"/>
      <c r="L4" s="180"/>
      <c r="O4" t="s">
        <v>965</v>
      </c>
      <c r="P4" s="183">
        <f ca="1">'IS Model'!$H$63*V4</f>
        <v>403.56411378752551</v>
      </c>
      <c r="Q4" s="183">
        <f>'BS Model'!G123</f>
        <v>526.81219999999996</v>
      </c>
      <c r="T4" t="s">
        <v>965</v>
      </c>
      <c r="U4" s="31">
        <f>'IS Model'!$H$9+'IS Model'!$H$13</f>
        <v>15942.716426884384</v>
      </c>
      <c r="V4" s="184">
        <f>U4/$U$7</f>
        <v>0.75362968023245369</v>
      </c>
    </row>
    <row r="5" spans="1:22" x14ac:dyDescent="0.3">
      <c r="A5" s="181" t="s">
        <v>966</v>
      </c>
      <c r="B5" s="181" t="s">
        <v>966</v>
      </c>
      <c r="C5" s="181"/>
      <c r="D5" s="182">
        <f t="shared" ref="D5:L5" si="0">MEDIAN(D7:D17)</f>
        <v>52619.752348800001</v>
      </c>
      <c r="E5" s="182">
        <f t="shared" si="0"/>
        <v>31.82</v>
      </c>
      <c r="F5" s="182">
        <f t="shared" si="0"/>
        <v>21.41</v>
      </c>
      <c r="G5" s="182">
        <f t="shared" si="0"/>
        <v>4.6100000000000003</v>
      </c>
      <c r="H5" s="182">
        <f t="shared" si="0"/>
        <v>4.01</v>
      </c>
      <c r="I5" s="182">
        <f t="shared" si="0"/>
        <v>14.69</v>
      </c>
      <c r="J5" s="182">
        <f t="shared" si="0"/>
        <v>14.52</v>
      </c>
      <c r="K5" s="182">
        <f t="shared" si="0"/>
        <v>5.21</v>
      </c>
      <c r="L5" s="182">
        <f t="shared" si="0"/>
        <v>4.63</v>
      </c>
      <c r="M5" s="182">
        <f>MEDIAN(M7:M17)</f>
        <v>5.37</v>
      </c>
      <c r="O5" t="s">
        <v>967</v>
      </c>
      <c r="P5" s="183">
        <f ca="1">'IS Model'!$H$63*V5</f>
        <v>54.167091245040837</v>
      </c>
      <c r="Q5" s="183"/>
      <c r="T5" t="s">
        <v>967</v>
      </c>
      <c r="U5" s="31">
        <f>'IS Model'!$H$7</f>
        <v>2139.85968</v>
      </c>
      <c r="V5" s="184">
        <f>U5/$U$7</f>
        <v>0.10115351256334652</v>
      </c>
    </row>
    <row r="6" spans="1:22" x14ac:dyDescent="0.3">
      <c r="A6" s="179" t="s">
        <v>968</v>
      </c>
      <c r="B6" s="179" t="s">
        <v>969</v>
      </c>
      <c r="C6" s="179" t="s">
        <v>970</v>
      </c>
      <c r="D6" s="180">
        <v>73986.392704889993</v>
      </c>
      <c r="E6" s="180">
        <v>130.34</v>
      </c>
      <c r="F6" s="180">
        <v>37.68</v>
      </c>
      <c r="G6" s="180">
        <v>4.5599999999999996</v>
      </c>
      <c r="H6" s="180">
        <v>3.48</v>
      </c>
      <c r="I6" s="180">
        <v>68.489999999999995</v>
      </c>
      <c r="J6" s="180">
        <v>24.14</v>
      </c>
      <c r="K6" s="180">
        <v>3.43</v>
      </c>
      <c r="L6" s="180">
        <v>2.88</v>
      </c>
      <c r="M6" s="180">
        <v>8.4</v>
      </c>
      <c r="O6" t="s">
        <v>971</v>
      </c>
      <c r="P6" s="183">
        <f ca="1">'IS Model'!$H$63*V6</f>
        <v>77.762717742672478</v>
      </c>
      <c r="Q6" s="183"/>
      <c r="T6" t="s">
        <v>971</v>
      </c>
      <c r="U6" s="195">
        <f>'IS Model'!$H$11</f>
        <v>3072</v>
      </c>
      <c r="V6" s="184">
        <f>U6/$U$7</f>
        <v>0.14521680720419974</v>
      </c>
    </row>
    <row r="7" spans="1:22" x14ac:dyDescent="0.3">
      <c r="A7" s="179" t="s">
        <v>972</v>
      </c>
      <c r="B7" s="179" t="s">
        <v>973</v>
      </c>
      <c r="C7" s="179" t="s">
        <v>974</v>
      </c>
      <c r="D7" s="180">
        <v>691731.33225982892</v>
      </c>
      <c r="E7" s="180">
        <v>35.14</v>
      </c>
      <c r="F7" s="180">
        <v>30.99</v>
      </c>
      <c r="G7" s="180">
        <v>16.5</v>
      </c>
      <c r="H7" s="180">
        <v>16.89</v>
      </c>
      <c r="I7" s="180">
        <v>27.27</v>
      </c>
      <c r="J7" s="180">
        <v>25.25</v>
      </c>
      <c r="K7" s="180">
        <v>17.77</v>
      </c>
      <c r="L7" s="180">
        <v>16.100000000000001</v>
      </c>
      <c r="M7" s="180">
        <v>17.399999999999999</v>
      </c>
      <c r="U7" s="183">
        <f>SUM(U4:U6)</f>
        <v>21154.576106884386</v>
      </c>
    </row>
    <row r="8" spans="1:22" x14ac:dyDescent="0.3">
      <c r="A8" s="179" t="s">
        <v>975</v>
      </c>
      <c r="B8" s="179" t="s">
        <v>976</v>
      </c>
      <c r="C8" s="179" t="s">
        <v>977</v>
      </c>
      <c r="D8" s="180">
        <v>500591.78938942007</v>
      </c>
      <c r="E8" s="180">
        <v>38.159999999999997</v>
      </c>
      <c r="F8" s="180">
        <v>35.14</v>
      </c>
      <c r="G8" s="180">
        <v>18.309999999999999</v>
      </c>
      <c r="H8" s="180">
        <v>15.64</v>
      </c>
      <c r="I8" s="180">
        <v>29.64</v>
      </c>
      <c r="J8" s="180">
        <v>26.76</v>
      </c>
      <c r="K8" s="180">
        <v>16.43</v>
      </c>
      <c r="L8" s="180">
        <v>14.6</v>
      </c>
      <c r="M8" s="180">
        <v>78.58</v>
      </c>
      <c r="P8" s="193" t="s">
        <v>102</v>
      </c>
      <c r="Q8" s="193" t="s">
        <v>978</v>
      </c>
      <c r="R8" s="193" t="s">
        <v>979</v>
      </c>
    </row>
    <row r="9" spans="1:22" x14ac:dyDescent="0.3">
      <c r="A9" s="179" t="s">
        <v>980</v>
      </c>
      <c r="B9" s="179" t="s">
        <v>981</v>
      </c>
      <c r="C9" s="179" t="s">
        <v>982</v>
      </c>
      <c r="D9" s="180">
        <v>123041.82675213</v>
      </c>
      <c r="E9" s="180">
        <v>31.87</v>
      </c>
      <c r="F9" s="180">
        <v>30.71</v>
      </c>
      <c r="G9" s="180">
        <v>6.27</v>
      </c>
      <c r="H9" s="180">
        <v>5.83</v>
      </c>
      <c r="I9" s="180">
        <v>21.43</v>
      </c>
      <c r="J9" s="180">
        <v>21.35</v>
      </c>
      <c r="K9" s="180">
        <v>6.19</v>
      </c>
      <c r="L9" s="180">
        <v>5.85</v>
      </c>
      <c r="M9" s="180">
        <v>24.47</v>
      </c>
      <c r="O9" t="s">
        <v>965</v>
      </c>
      <c r="P9">
        <v>130.30000000000001</v>
      </c>
      <c r="Q9" s="194">
        <f ca="1">P4/$Q$4</f>
        <v>0.76604929382335019</v>
      </c>
      <c r="R9" s="31">
        <f>'IS Model'!$H$9+'IS Model'!$H$13</f>
        <v>15942.716426884384</v>
      </c>
    </row>
    <row r="10" spans="1:22" x14ac:dyDescent="0.3">
      <c r="A10" s="179" t="s">
        <v>983</v>
      </c>
      <c r="B10" s="179" t="s">
        <v>984</v>
      </c>
      <c r="C10" s="179" t="s">
        <v>985</v>
      </c>
      <c r="D10" s="180">
        <v>124432.14599536</v>
      </c>
      <c r="E10" s="180">
        <v>31.82</v>
      </c>
      <c r="F10" s="180">
        <v>21.41</v>
      </c>
      <c r="G10" s="180">
        <v>6.21</v>
      </c>
      <c r="H10" s="180">
        <v>5.77</v>
      </c>
      <c r="I10" s="180">
        <v>14.53</v>
      </c>
      <c r="J10" s="180">
        <v>14.52</v>
      </c>
      <c r="K10" s="180">
        <v>7.09</v>
      </c>
      <c r="L10" s="180">
        <v>6.52</v>
      </c>
      <c r="M10" s="180">
        <v>4.57</v>
      </c>
      <c r="O10" t="s">
        <v>967</v>
      </c>
      <c r="P10">
        <v>564.29999999999995</v>
      </c>
      <c r="Q10" s="194">
        <f ca="1">P5/$Q$4</f>
        <v>0.10282049513097996</v>
      </c>
      <c r="R10" s="31">
        <f>'IS Model'!$H$7</f>
        <v>2139.85968</v>
      </c>
    </row>
    <row r="11" spans="1:22" x14ac:dyDescent="0.3">
      <c r="A11" s="179" t="s">
        <v>986</v>
      </c>
      <c r="B11" s="179" t="s">
        <v>987</v>
      </c>
      <c r="C11" s="179" t="s">
        <v>988</v>
      </c>
      <c r="D11" s="180">
        <v>69217.294366439994</v>
      </c>
      <c r="E11" s="180">
        <v>14.86</v>
      </c>
      <c r="F11" s="180">
        <v>13.67</v>
      </c>
      <c r="G11" s="180">
        <v>2.23</v>
      </c>
      <c r="H11" s="180">
        <v>2.0299999999999998</v>
      </c>
      <c r="I11" s="180">
        <v>9.26</v>
      </c>
      <c r="J11" s="180">
        <v>9.65</v>
      </c>
      <c r="K11" s="180">
        <v>2.06</v>
      </c>
      <c r="L11" s="180">
        <v>1.93</v>
      </c>
      <c r="M11" s="180">
        <v>3.35</v>
      </c>
      <c r="O11" t="s">
        <v>971</v>
      </c>
      <c r="P11">
        <v>150.30000000000001</v>
      </c>
      <c r="Q11" s="194">
        <f ca="1">P6/$Q$4</f>
        <v>0.14760994096695651</v>
      </c>
      <c r="R11" s="195">
        <f>'IS Model'!$H$11</f>
        <v>3072</v>
      </c>
    </row>
    <row r="12" spans="1:22" x14ac:dyDescent="0.3">
      <c r="A12" s="179" t="s">
        <v>989</v>
      </c>
      <c r="B12" s="179" t="s">
        <v>990</v>
      </c>
      <c r="C12" s="179" t="s">
        <v>991</v>
      </c>
      <c r="D12" s="180">
        <v>49459.713342384399</v>
      </c>
      <c r="E12" s="180">
        <v>48.69</v>
      </c>
      <c r="F12" s="180">
        <v>39.43</v>
      </c>
      <c r="G12" s="180">
        <v>20.23</v>
      </c>
      <c r="H12" s="180">
        <v>17.02</v>
      </c>
      <c r="I12" s="180">
        <v>36.31</v>
      </c>
      <c r="J12" s="180">
        <v>27.08</v>
      </c>
      <c r="K12" s="180">
        <v>14.13</v>
      </c>
      <c r="L12" s="180">
        <v>11.31</v>
      </c>
      <c r="M12" s="180">
        <v>10.75</v>
      </c>
      <c r="O12" s="176" t="s">
        <v>902</v>
      </c>
      <c r="P12" s="176">
        <f>SUM(P9:P11)</f>
        <v>844.89999999999986</v>
      </c>
      <c r="Q12" s="176">
        <f ca="1">SUM(Q9:Q11)</f>
        <v>1.0164797299212867</v>
      </c>
      <c r="R12" s="176">
        <f>SUM(R9:R11)</f>
        <v>21154.576106884386</v>
      </c>
    </row>
    <row r="13" spans="1:22" x14ac:dyDescent="0.3">
      <c r="A13" s="179" t="s">
        <v>992</v>
      </c>
      <c r="B13" s="179" t="s">
        <v>993</v>
      </c>
      <c r="C13" s="179" t="s">
        <v>994</v>
      </c>
      <c r="D13" s="180">
        <v>39504.398483880002</v>
      </c>
      <c r="E13" s="180">
        <v>24.57</v>
      </c>
      <c r="F13" s="180">
        <v>13.09</v>
      </c>
      <c r="G13" s="180">
        <v>4.09</v>
      </c>
      <c r="H13" s="180">
        <v>3.77</v>
      </c>
      <c r="I13" s="180">
        <v>11.39</v>
      </c>
      <c r="J13" s="180">
        <v>11.69</v>
      </c>
      <c r="K13" s="180">
        <v>4.83</v>
      </c>
      <c r="L13" s="180">
        <v>4.63</v>
      </c>
      <c r="M13" s="180">
        <v>2.54</v>
      </c>
    </row>
    <row r="14" spans="1:22" x14ac:dyDescent="0.3">
      <c r="A14" s="179" t="s">
        <v>995</v>
      </c>
      <c r="B14" s="179" t="s">
        <v>996</v>
      </c>
      <c r="C14" s="179" t="s">
        <v>997</v>
      </c>
      <c r="D14" s="180">
        <v>36580.293999999994</v>
      </c>
      <c r="E14" s="180">
        <v>36.299999999999997</v>
      </c>
      <c r="F14" s="180">
        <v>14.14</v>
      </c>
      <c r="G14" s="180">
        <v>1.46</v>
      </c>
      <c r="H14" s="180">
        <v>1.3</v>
      </c>
      <c r="I14" s="180">
        <v>18.34</v>
      </c>
      <c r="J14" s="180">
        <v>9.18</v>
      </c>
      <c r="K14" s="180">
        <v>1.26</v>
      </c>
      <c r="L14" s="180">
        <v>1.1399999999999999</v>
      </c>
      <c r="M14" s="180">
        <v>1.66</v>
      </c>
      <c r="R14"/>
    </row>
    <row r="15" spans="1:22" x14ac:dyDescent="0.3">
      <c r="A15" s="179" t="s">
        <v>998</v>
      </c>
      <c r="B15" s="179" t="s">
        <v>999</v>
      </c>
      <c r="C15" s="179" t="s">
        <v>1000</v>
      </c>
      <c r="D15" s="180">
        <v>24567.957797679999</v>
      </c>
      <c r="E15" s="180">
        <v>14.23</v>
      </c>
      <c r="F15" s="180">
        <v>8.09</v>
      </c>
      <c r="G15" s="180">
        <v>2.5</v>
      </c>
      <c r="H15" s="180">
        <v>2.6</v>
      </c>
      <c r="I15" s="180">
        <v>8.7799999999999994</v>
      </c>
      <c r="J15" s="180">
        <v>8.4600000000000009</v>
      </c>
      <c r="K15" s="180">
        <v>4.3</v>
      </c>
      <c r="L15" s="180">
        <v>4.05</v>
      </c>
      <c r="M15" s="180">
        <v>1.1100000000000001</v>
      </c>
    </row>
    <row r="16" spans="1:22" x14ac:dyDescent="0.3">
      <c r="A16" s="179" t="s">
        <v>1001</v>
      </c>
      <c r="B16" s="179" t="s">
        <v>1002</v>
      </c>
      <c r="C16" s="179" t="s">
        <v>1003</v>
      </c>
      <c r="D16" s="180">
        <v>15368.487663999998</v>
      </c>
      <c r="E16" s="180">
        <v>18.02</v>
      </c>
      <c r="F16" s="180">
        <v>336.03</v>
      </c>
      <c r="G16" s="180">
        <v>3.45</v>
      </c>
      <c r="H16" s="180">
        <v>4.01</v>
      </c>
      <c r="I16" s="180">
        <v>14.69</v>
      </c>
      <c r="J16" s="180">
        <v>22.21</v>
      </c>
      <c r="K16" s="180">
        <v>5.21</v>
      </c>
      <c r="L16" s="180">
        <v>4.18</v>
      </c>
      <c r="M16" s="180">
        <v>5.37</v>
      </c>
      <c r="O16" s="151" t="s">
        <v>1004</v>
      </c>
      <c r="P16" s="177" t="s">
        <v>954</v>
      </c>
      <c r="Q16" s="177" t="s">
        <v>956</v>
      </c>
      <c r="R16" s="177" t="s">
        <v>958</v>
      </c>
      <c r="S16" s="177" t="s">
        <v>960</v>
      </c>
    </row>
    <row r="17" spans="1:19" x14ac:dyDescent="0.3">
      <c r="A17" s="179" t="s">
        <v>1005</v>
      </c>
      <c r="B17" s="179" t="s">
        <v>1006</v>
      </c>
      <c r="C17" s="179" t="s">
        <v>1007</v>
      </c>
      <c r="D17" s="180">
        <v>52619.752348800001</v>
      </c>
      <c r="E17" s="180">
        <v>27.49</v>
      </c>
      <c r="F17" s="180">
        <v>20.02</v>
      </c>
      <c r="G17" s="180">
        <v>4.6100000000000003</v>
      </c>
      <c r="H17" s="180">
        <v>3.73</v>
      </c>
      <c r="I17" s="180">
        <v>7.6</v>
      </c>
      <c r="J17" s="180">
        <v>11.04</v>
      </c>
      <c r="K17" s="180">
        <v>3.42</v>
      </c>
      <c r="L17" s="180">
        <v>2.69</v>
      </c>
      <c r="M17" s="180">
        <v>6.99</v>
      </c>
      <c r="O17" t="s">
        <v>965</v>
      </c>
      <c r="P17" s="183">
        <f ca="1">P4*$F$24</f>
        <v>7564.8093129471663</v>
      </c>
      <c r="Q17" s="183">
        <f>R9*H42</f>
        <v>35552.257631952176</v>
      </c>
      <c r="R17" s="183">
        <f>P9*J42</f>
        <v>1309.5150000000001</v>
      </c>
      <c r="S17" s="183">
        <f>R9*L42</f>
        <v>28059.180911316518</v>
      </c>
    </row>
    <row r="18" spans="1:19" x14ac:dyDescent="0.3">
      <c r="O18" t="s">
        <v>967</v>
      </c>
      <c r="P18" s="183">
        <f ca="1">P5*F42</f>
        <v>973.92430058583432</v>
      </c>
      <c r="Q18" s="183">
        <f>R10*H24</f>
        <v>8538.0401232000004</v>
      </c>
      <c r="R18" s="183">
        <f>P10*J24</f>
        <v>6923.9609999999993</v>
      </c>
      <c r="S18" s="183">
        <f>R10*L24</f>
        <v>6729.8586936000002</v>
      </c>
    </row>
    <row r="19" spans="1:19" x14ac:dyDescent="0.3">
      <c r="O19" t="s">
        <v>971</v>
      </c>
      <c r="P19" s="183">
        <f ca="1">P6*$F$5</f>
        <v>1664.8997868706178</v>
      </c>
      <c r="Q19" s="183">
        <f>R11*H5</f>
        <v>12318.72</v>
      </c>
      <c r="R19" s="183">
        <f>P11*J5</f>
        <v>2182.3560000000002</v>
      </c>
      <c r="S19" s="183">
        <f>R11*L5</f>
        <v>14223.36</v>
      </c>
    </row>
    <row r="20" spans="1:19" x14ac:dyDescent="0.3">
      <c r="A20" s="174"/>
      <c r="B20" s="174"/>
      <c r="C20" s="174"/>
      <c r="D20" s="175"/>
      <c r="E20" s="175"/>
      <c r="F20" s="175"/>
      <c r="G20" s="175"/>
      <c r="H20" s="175"/>
      <c r="I20" s="175"/>
      <c r="J20" s="175"/>
      <c r="K20" s="175"/>
      <c r="O20" s="176" t="s">
        <v>1089</v>
      </c>
      <c r="R20" s="183">
        <f t="shared" ref="R20:S20" si="1">SUM(R17:R19)</f>
        <v>10415.831999999999</v>
      </c>
      <c r="S20" s="183">
        <f t="shared" si="1"/>
        <v>49012.399604916522</v>
      </c>
    </row>
    <row r="21" spans="1:19" x14ac:dyDescent="0.3">
      <c r="A21" s="174" t="s">
        <v>1086</v>
      </c>
      <c r="B21" s="174" t="s">
        <v>1087</v>
      </c>
      <c r="C21" s="174"/>
      <c r="D21" s="175"/>
      <c r="E21" s="175"/>
      <c r="F21" s="175"/>
      <c r="G21" s="175"/>
      <c r="H21" s="175"/>
      <c r="I21" s="175"/>
      <c r="J21" s="175"/>
      <c r="K21" s="175"/>
    </row>
    <row r="22" spans="1:19" x14ac:dyDescent="0.3">
      <c r="A22" s="177" t="s">
        <v>950</v>
      </c>
      <c r="B22" s="177" t="s">
        <v>951</v>
      </c>
      <c r="C22" s="177" t="s">
        <v>950</v>
      </c>
      <c r="D22" s="177" t="s">
        <v>952</v>
      </c>
      <c r="E22" s="177" t="s">
        <v>953</v>
      </c>
      <c r="F22" s="177" t="s">
        <v>954</v>
      </c>
      <c r="G22" s="177" t="s">
        <v>955</v>
      </c>
      <c r="H22" s="177" t="s">
        <v>956</v>
      </c>
      <c r="I22" s="177" t="s">
        <v>957</v>
      </c>
      <c r="J22" s="177" t="s">
        <v>958</v>
      </c>
      <c r="K22" s="177" t="s">
        <v>959</v>
      </c>
      <c r="L22" s="177" t="s">
        <v>960</v>
      </c>
      <c r="M22" s="177" t="s">
        <v>961</v>
      </c>
    </row>
    <row r="23" spans="1:19" x14ac:dyDescent="0.3">
      <c r="A23" s="179" t="s">
        <v>1008</v>
      </c>
      <c r="B23" s="179"/>
      <c r="C23" s="179"/>
      <c r="D23" s="180"/>
      <c r="E23" s="180"/>
      <c r="F23" s="180"/>
      <c r="G23" s="180"/>
      <c r="H23" s="180"/>
      <c r="I23" s="180"/>
      <c r="J23" s="180"/>
      <c r="K23" s="180"/>
      <c r="O23" t="s">
        <v>1009</v>
      </c>
      <c r="P23" s="183">
        <f>'BS Model'!G6</f>
        <v>8620.5759999999991</v>
      </c>
      <c r="R23"/>
    </row>
    <row r="24" spans="1:19" x14ac:dyDescent="0.3">
      <c r="A24" s="181" t="s">
        <v>966</v>
      </c>
      <c r="B24" s="181" t="s">
        <v>966</v>
      </c>
      <c r="C24" s="181"/>
      <c r="D24" s="182">
        <f t="shared" ref="D24:K24" si="2">MEDIAN(D26:D35)</f>
        <v>14356.81786319377</v>
      </c>
      <c r="E24" s="182">
        <f t="shared" si="2"/>
        <v>22.71</v>
      </c>
      <c r="F24" s="182">
        <f t="shared" si="2"/>
        <v>18.745000000000001</v>
      </c>
      <c r="G24" s="182">
        <f t="shared" si="2"/>
        <v>4.87</v>
      </c>
      <c r="H24" s="182">
        <f t="shared" si="2"/>
        <v>3.99</v>
      </c>
      <c r="I24" s="182">
        <f t="shared" si="2"/>
        <v>17.015000000000001</v>
      </c>
      <c r="J24" s="182">
        <f t="shared" si="2"/>
        <v>12.27</v>
      </c>
      <c r="K24" s="182">
        <f t="shared" si="2"/>
        <v>3.1749999999999998</v>
      </c>
      <c r="L24" s="182">
        <f>MEDIAN(L26:L35)</f>
        <v>3.145</v>
      </c>
      <c r="M24" s="182">
        <f>MEDIAN(M26:M35)</f>
        <v>2.915</v>
      </c>
      <c r="O24" t="s">
        <v>1090</v>
      </c>
      <c r="P24" s="183">
        <f>'BS Model'!G121</f>
        <v>4110.6329999999998</v>
      </c>
      <c r="R24"/>
    </row>
    <row r="25" spans="1:19" x14ac:dyDescent="0.3">
      <c r="A25" s="179" t="s">
        <v>968</v>
      </c>
      <c r="B25" s="179" t="s">
        <v>969</v>
      </c>
      <c r="C25" s="179" t="s">
        <v>970</v>
      </c>
      <c r="D25" s="180">
        <v>73986.392704889993</v>
      </c>
      <c r="E25" s="180">
        <v>130.34</v>
      </c>
      <c r="F25" s="180">
        <v>37.68</v>
      </c>
      <c r="G25" s="180">
        <v>4.5599999999999996</v>
      </c>
      <c r="H25" s="180">
        <v>3.48</v>
      </c>
      <c r="I25" s="180">
        <v>68.489999999999995</v>
      </c>
      <c r="J25" s="180">
        <v>24.14</v>
      </c>
      <c r="K25" s="180">
        <v>3.43</v>
      </c>
      <c r="L25" s="180">
        <v>2.88</v>
      </c>
      <c r="M25" s="180">
        <v>8.4</v>
      </c>
      <c r="R25"/>
    </row>
    <row r="26" spans="1:19" x14ac:dyDescent="0.3">
      <c r="A26" s="179" t="s">
        <v>1010</v>
      </c>
      <c r="B26" s="179" t="s">
        <v>1011</v>
      </c>
      <c r="C26" s="179" t="s">
        <v>1012</v>
      </c>
      <c r="D26" s="180">
        <v>602221.97936704394</v>
      </c>
      <c r="E26" s="180">
        <v>22.71</v>
      </c>
      <c r="F26" s="180">
        <v>18.079999999999998</v>
      </c>
      <c r="G26" s="180">
        <v>6.68</v>
      </c>
      <c r="H26" s="180">
        <v>5.94</v>
      </c>
      <c r="I26" s="180">
        <v>16.920000000000002</v>
      </c>
      <c r="J26" s="180">
        <v>16.16</v>
      </c>
      <c r="K26" s="180">
        <v>6.2</v>
      </c>
      <c r="L26" s="180">
        <v>5.7</v>
      </c>
      <c r="M26" s="180">
        <v>4.51</v>
      </c>
      <c r="O26" t="s">
        <v>1013</v>
      </c>
      <c r="P26" s="183">
        <f ca="1">SUM(P17:P19)</f>
        <v>10203.633400403618</v>
      </c>
      <c r="Q26" s="183">
        <f>SUM(Q17:Q19)</f>
        <v>56409.017755152177</v>
      </c>
      <c r="R26" s="183">
        <f>R20-$P$24+$P$23</f>
        <v>14925.774999999998</v>
      </c>
      <c r="S26" s="183">
        <f>S20-$P$24+$P$23</f>
        <v>53522.342604916521</v>
      </c>
    </row>
    <row r="27" spans="1:19" x14ac:dyDescent="0.3">
      <c r="A27" s="179" t="s">
        <v>1014</v>
      </c>
      <c r="B27" s="179" t="s">
        <v>1015</v>
      </c>
      <c r="C27" s="179" t="s">
        <v>1016</v>
      </c>
      <c r="D27" s="180">
        <v>65004.718429770001</v>
      </c>
      <c r="E27" s="180">
        <v>16.25</v>
      </c>
      <c r="F27" s="180">
        <v>13.82</v>
      </c>
      <c r="G27" s="180">
        <v>4.51</v>
      </c>
      <c r="H27" s="180">
        <v>4.1100000000000003</v>
      </c>
      <c r="I27" s="180">
        <v>11.19</v>
      </c>
      <c r="J27" s="180">
        <v>9.7200000000000006</v>
      </c>
      <c r="K27" s="180">
        <v>3.11</v>
      </c>
      <c r="L27" s="180">
        <v>2.92</v>
      </c>
      <c r="M27" s="180">
        <v>3.44</v>
      </c>
      <c r="O27" t="s">
        <v>1017</v>
      </c>
      <c r="P27" s="183">
        <f ca="1">P26/Q4</f>
        <v>19.368635351276257</v>
      </c>
      <c r="Q27" s="183">
        <f>Q26/Q4</f>
        <v>107.07614165949875</v>
      </c>
      <c r="R27" s="183">
        <f>R26/$Q$4</f>
        <v>28.332250088361658</v>
      </c>
      <c r="S27" s="183">
        <f>S26/$Q$4</f>
        <v>101.59662704264731</v>
      </c>
    </row>
    <row r="28" spans="1:19" x14ac:dyDescent="0.3">
      <c r="A28" s="179" t="s">
        <v>1018</v>
      </c>
      <c r="B28" s="179" t="s">
        <v>1019</v>
      </c>
      <c r="C28" s="179" t="s">
        <v>1020</v>
      </c>
      <c r="D28" s="180">
        <v>37839.068472859995</v>
      </c>
      <c r="E28" s="180">
        <v>30.67</v>
      </c>
      <c r="F28" s="180">
        <v>22.12</v>
      </c>
      <c r="G28" s="180">
        <v>5.23</v>
      </c>
      <c r="H28" s="180">
        <v>5.01</v>
      </c>
      <c r="I28" s="180">
        <v>17.97</v>
      </c>
      <c r="J28" s="180">
        <v>15.82</v>
      </c>
      <c r="K28" s="180">
        <v>5.16</v>
      </c>
      <c r="L28" s="180">
        <v>4.8899999999999997</v>
      </c>
      <c r="M28" s="180">
        <v>5.14</v>
      </c>
    </row>
    <row r="29" spans="1:19" x14ac:dyDescent="0.3">
      <c r="A29" s="179" t="s">
        <v>1021</v>
      </c>
      <c r="B29" s="179" t="s">
        <v>1022</v>
      </c>
      <c r="C29" s="179" t="s">
        <v>1023</v>
      </c>
      <c r="D29" s="180">
        <v>22896.262892670453</v>
      </c>
      <c r="E29" s="180">
        <v>20.03</v>
      </c>
      <c r="F29" s="180">
        <v>25.46</v>
      </c>
      <c r="G29" s="180">
        <v>2.76</v>
      </c>
      <c r="H29" s="180">
        <v>2.69</v>
      </c>
      <c r="I29" s="180">
        <v>23.66</v>
      </c>
      <c r="J29" s="180">
        <v>13.8</v>
      </c>
      <c r="K29" s="180">
        <v>2.52</v>
      </c>
      <c r="L29" s="180">
        <v>2.4500000000000002</v>
      </c>
      <c r="M29" s="180">
        <v>4.12</v>
      </c>
    </row>
    <row r="30" spans="1:19" x14ac:dyDescent="0.3">
      <c r="A30" s="179" t="s">
        <v>1024</v>
      </c>
      <c r="B30" s="179" t="s">
        <v>1025</v>
      </c>
      <c r="C30" s="179" t="s">
        <v>1026</v>
      </c>
      <c r="D30" s="180">
        <v>17419.431525226883</v>
      </c>
      <c r="E30" s="180">
        <v>32.020000000000003</v>
      </c>
      <c r="F30" s="180">
        <v>31.17</v>
      </c>
      <c r="G30" s="180">
        <v>5.96</v>
      </c>
      <c r="H30" s="180">
        <v>5.61</v>
      </c>
      <c r="I30" s="180">
        <v>17.11</v>
      </c>
      <c r="J30" s="180">
        <v>17.71</v>
      </c>
      <c r="K30" s="180">
        <v>5.63</v>
      </c>
      <c r="L30" s="180">
        <v>5.13</v>
      </c>
      <c r="M30" s="180">
        <v>5.24</v>
      </c>
    </row>
    <row r="31" spans="1:19" x14ac:dyDescent="0.3">
      <c r="A31" s="179" t="s">
        <v>1027</v>
      </c>
      <c r="B31" s="179" t="s">
        <v>1028</v>
      </c>
      <c r="C31" s="179" t="s">
        <v>1029</v>
      </c>
      <c r="D31" s="180">
        <v>11294.204201160657</v>
      </c>
      <c r="E31" s="180">
        <v>13.13</v>
      </c>
      <c r="F31" s="180">
        <v>18.28</v>
      </c>
      <c r="G31" s="180">
        <v>3.97</v>
      </c>
      <c r="H31" s="180">
        <v>3.87</v>
      </c>
      <c r="I31" s="180">
        <v>7.73</v>
      </c>
      <c r="J31" s="180">
        <v>9.4</v>
      </c>
      <c r="K31" s="180">
        <v>2.62</v>
      </c>
      <c r="L31" s="180">
        <v>2.44</v>
      </c>
      <c r="M31" s="180">
        <v>1.71</v>
      </c>
      <c r="P31" s="177" t="s">
        <v>954</v>
      </c>
      <c r="Q31" s="177" t="s">
        <v>956</v>
      </c>
      <c r="R31" s="177" t="s">
        <v>958</v>
      </c>
      <c r="S31" s="177" t="s">
        <v>960</v>
      </c>
    </row>
    <row r="32" spans="1:19" x14ac:dyDescent="0.3">
      <c r="A32" s="179" t="s">
        <v>1031</v>
      </c>
      <c r="B32" s="179" t="s">
        <v>1032</v>
      </c>
      <c r="C32" s="179" t="s">
        <v>1033</v>
      </c>
      <c r="D32" s="180">
        <v>11072.317463204508</v>
      </c>
      <c r="E32" s="180">
        <v>12.56</v>
      </c>
      <c r="F32" s="180">
        <v>15.15</v>
      </c>
      <c r="G32" s="180">
        <v>6.05</v>
      </c>
      <c r="H32" s="180">
        <v>5.38</v>
      </c>
      <c r="I32" s="180">
        <v>10.54</v>
      </c>
      <c r="J32" s="180">
        <v>9.35</v>
      </c>
      <c r="K32" s="180">
        <v>4.3499999999999996</v>
      </c>
      <c r="L32" s="180">
        <v>3.96</v>
      </c>
      <c r="M32" s="180">
        <v>2.39</v>
      </c>
      <c r="O32" s="151" t="s">
        <v>1107</v>
      </c>
      <c r="P32" s="183"/>
      <c r="Q32" s="183"/>
      <c r="R32" s="183">
        <f>P12*E64</f>
        <v>11270.965999999999</v>
      </c>
      <c r="S32" s="183">
        <f>R12*F64</f>
        <v>37655.145470254211</v>
      </c>
    </row>
    <row r="33" spans="1:19" x14ac:dyDescent="0.3">
      <c r="A33" s="179" t="s">
        <v>1034</v>
      </c>
      <c r="B33" s="179" t="s">
        <v>1035</v>
      </c>
      <c r="C33" s="179" t="s">
        <v>1036</v>
      </c>
      <c r="D33" s="180">
        <v>2432.5244580697768</v>
      </c>
      <c r="E33" s="180">
        <v>129.62</v>
      </c>
      <c r="F33" s="180">
        <v>25.67</v>
      </c>
      <c r="G33" s="180">
        <v>1.25</v>
      </c>
      <c r="H33" s="180">
        <v>1.29</v>
      </c>
      <c r="I33" s="180">
        <v>11.44</v>
      </c>
      <c r="J33" s="180">
        <v>11.34</v>
      </c>
      <c r="K33" s="180">
        <v>1.56</v>
      </c>
      <c r="L33" s="180">
        <v>1.51</v>
      </c>
      <c r="M33" s="180">
        <v>0.62</v>
      </c>
      <c r="P33" s="183"/>
      <c r="Q33" s="183"/>
      <c r="R33" s="183"/>
      <c r="S33" s="183"/>
    </row>
    <row r="34" spans="1:19" x14ac:dyDescent="0.3">
      <c r="A34" s="179" t="s">
        <v>1037</v>
      </c>
      <c r="B34" s="179" t="s">
        <v>1038</v>
      </c>
      <c r="C34" s="179" t="s">
        <v>1039</v>
      </c>
      <c r="D34" s="180">
        <v>1379.5847577160523</v>
      </c>
      <c r="E34" s="180">
        <v>31.67</v>
      </c>
      <c r="F34" s="180">
        <v>19.21</v>
      </c>
      <c r="G34" s="180">
        <v>5.58</v>
      </c>
      <c r="H34" s="180">
        <v>3.77</v>
      </c>
      <c r="I34" s="180">
        <v>135.13</v>
      </c>
      <c r="J34" s="180">
        <v>13.2</v>
      </c>
      <c r="K34" s="180">
        <v>3.24</v>
      </c>
      <c r="L34" s="180">
        <v>3.37</v>
      </c>
      <c r="M34" s="180">
        <v>2.37</v>
      </c>
      <c r="O34" t="s">
        <v>1013</v>
      </c>
      <c r="P34" s="183"/>
      <c r="Q34" s="31">
        <f>MEDIAN(D57:D63)*R12</f>
        <v>53097.986028279804</v>
      </c>
      <c r="R34" s="31">
        <f>R32-$P$24+$P$23</f>
        <v>15780.908999999998</v>
      </c>
      <c r="S34" s="31">
        <f>S32-$P$24+$P$23</f>
        <v>42165.08847025421</v>
      </c>
    </row>
    <row r="35" spans="1:19" x14ac:dyDescent="0.3">
      <c r="A35" s="179" t="s">
        <v>1040</v>
      </c>
      <c r="B35" s="179" t="s">
        <v>1041</v>
      </c>
      <c r="C35" s="179" t="s">
        <v>1042</v>
      </c>
      <c r="D35" s="180">
        <v>383.0962571951049</v>
      </c>
      <c r="E35" s="185" t="s">
        <v>1043</v>
      </c>
      <c r="F35" s="180">
        <v>14.31</v>
      </c>
      <c r="G35" s="180">
        <v>0.76</v>
      </c>
      <c r="H35" s="180">
        <v>0.71</v>
      </c>
      <c r="I35" s="180">
        <v>23.3</v>
      </c>
      <c r="J35" s="180">
        <v>10.130000000000001</v>
      </c>
      <c r="K35" s="180">
        <v>0.87</v>
      </c>
      <c r="L35" s="180">
        <v>0.81</v>
      </c>
      <c r="M35" s="180">
        <v>0.54</v>
      </c>
      <c r="O35" t="s">
        <v>1108</v>
      </c>
      <c r="P35" s="183">
        <f ca="1">MEDIAN(C57:C63)*Q12</f>
        <v>18.276305543984734</v>
      </c>
      <c r="Q35" s="183">
        <f>Q34/Q4</f>
        <v>100.79110929526652</v>
      </c>
      <c r="R35" s="183">
        <f>R34/$Q$4</f>
        <v>29.955473696319103</v>
      </c>
      <c r="S35" s="183">
        <f>S34/$Q$4</f>
        <v>80.038177685054009</v>
      </c>
    </row>
    <row r="38" spans="1:19" x14ac:dyDescent="0.3">
      <c r="A38" s="174"/>
      <c r="B38" s="174"/>
      <c r="C38" s="174"/>
      <c r="D38" s="175"/>
      <c r="E38" s="175"/>
      <c r="F38" s="175"/>
      <c r="G38" s="175"/>
      <c r="H38" s="175"/>
      <c r="I38" s="175"/>
      <c r="J38" s="175"/>
    </row>
    <row r="39" spans="1:19" x14ac:dyDescent="0.3">
      <c r="A39" s="174" t="s">
        <v>1086</v>
      </c>
      <c r="B39" s="174" t="s">
        <v>1088</v>
      </c>
      <c r="C39" s="174"/>
      <c r="D39" s="175"/>
      <c r="E39" s="175"/>
      <c r="F39" s="175"/>
      <c r="G39" s="175"/>
      <c r="H39" s="175"/>
      <c r="I39" s="175"/>
      <c r="J39" s="175"/>
    </row>
    <row r="40" spans="1:19" x14ac:dyDescent="0.3">
      <c r="A40" s="177" t="s">
        <v>950</v>
      </c>
      <c r="B40" s="177" t="s">
        <v>951</v>
      </c>
      <c r="C40" s="177" t="s">
        <v>950</v>
      </c>
      <c r="D40" s="177" t="s">
        <v>952</v>
      </c>
      <c r="E40" s="177" t="s">
        <v>953</v>
      </c>
      <c r="F40" s="177" t="s">
        <v>954</v>
      </c>
      <c r="G40" s="177" t="s">
        <v>955</v>
      </c>
      <c r="H40" s="177" t="s">
        <v>956</v>
      </c>
      <c r="I40" s="177" t="s">
        <v>957</v>
      </c>
      <c r="J40" s="177" t="s">
        <v>958</v>
      </c>
      <c r="K40" s="177" t="s">
        <v>959</v>
      </c>
      <c r="L40" s="177" t="s">
        <v>960</v>
      </c>
      <c r="M40" s="177" t="s">
        <v>961</v>
      </c>
    </row>
    <row r="41" spans="1:19" x14ac:dyDescent="0.3">
      <c r="A41" s="179" t="s">
        <v>1044</v>
      </c>
      <c r="B41" s="179"/>
      <c r="C41" s="179"/>
      <c r="D41" s="180"/>
      <c r="E41" s="180"/>
      <c r="F41" s="180"/>
      <c r="G41" s="180"/>
      <c r="H41" s="180"/>
      <c r="I41" s="180"/>
      <c r="J41" s="180"/>
    </row>
    <row r="42" spans="1:19" x14ac:dyDescent="0.3">
      <c r="A42" s="181" t="s">
        <v>966</v>
      </c>
      <c r="B42" s="181" t="s">
        <v>966</v>
      </c>
      <c r="C42" s="181"/>
      <c r="D42" s="182">
        <f t="shared" ref="D42:K42" si="3">MEDIAN(D44:D52)</f>
        <v>105195.53220374999</v>
      </c>
      <c r="E42" s="182">
        <f t="shared" si="3"/>
        <v>25.4</v>
      </c>
      <c r="F42" s="182">
        <f t="shared" si="3"/>
        <v>17.98</v>
      </c>
      <c r="G42" s="182">
        <f t="shared" si="3"/>
        <v>25.845616679175549</v>
      </c>
      <c r="H42" s="182">
        <f t="shared" si="3"/>
        <v>2.23</v>
      </c>
      <c r="I42" s="182">
        <f t="shared" si="3"/>
        <v>13.02</v>
      </c>
      <c r="J42" s="182">
        <f t="shared" si="3"/>
        <v>10.050000000000001</v>
      </c>
      <c r="K42" s="182">
        <f t="shared" si="3"/>
        <v>1.95</v>
      </c>
      <c r="L42" s="182">
        <f>MEDIAN(L44:L52)</f>
        <v>1.76</v>
      </c>
      <c r="M42" s="182">
        <f>MEDIAN(M44:M52)</f>
        <v>5.29</v>
      </c>
    </row>
    <row r="43" spans="1:19" x14ac:dyDescent="0.3">
      <c r="A43" s="179" t="s">
        <v>968</v>
      </c>
      <c r="B43" s="179" t="s">
        <v>969</v>
      </c>
      <c r="C43" s="179" t="s">
        <v>970</v>
      </c>
      <c r="D43" s="180">
        <v>73986.392704889993</v>
      </c>
      <c r="E43" s="180">
        <v>130.34</v>
      </c>
      <c r="F43" s="180">
        <v>37.68</v>
      </c>
      <c r="G43" s="180">
        <v>126.14402908764011</v>
      </c>
      <c r="H43" s="180">
        <v>3.48</v>
      </c>
      <c r="I43" s="180">
        <v>68.489999999999995</v>
      </c>
      <c r="J43" s="180">
        <v>24.14</v>
      </c>
      <c r="K43" s="180">
        <v>3.43</v>
      </c>
      <c r="L43" s="180">
        <v>2.88</v>
      </c>
      <c r="M43" s="176">
        <v>8.4</v>
      </c>
    </row>
    <row r="44" spans="1:19" x14ac:dyDescent="0.3">
      <c r="A44" s="179" t="s">
        <v>1045</v>
      </c>
      <c r="B44" s="179" t="s">
        <v>1046</v>
      </c>
      <c r="C44" s="179" t="s">
        <v>1047</v>
      </c>
      <c r="D44" s="180">
        <v>2131521.3045677599</v>
      </c>
      <c r="E44" s="180">
        <v>35.79</v>
      </c>
      <c r="F44" s="180">
        <v>28.57</v>
      </c>
      <c r="G44" s="180">
        <v>35.752873203212857</v>
      </c>
      <c r="H44" s="180">
        <v>2.98</v>
      </c>
      <c r="I44" s="180">
        <v>116.35</v>
      </c>
      <c r="J44" s="180">
        <v>13.34</v>
      </c>
      <c r="K44" s="180">
        <v>3.12</v>
      </c>
      <c r="L44" s="180">
        <v>2.83</v>
      </c>
      <c r="M44" s="176">
        <v>7.46</v>
      </c>
    </row>
    <row r="45" spans="1:19" x14ac:dyDescent="0.3">
      <c r="A45" s="179" t="s">
        <v>1048</v>
      </c>
      <c r="B45" s="179" t="s">
        <v>1049</v>
      </c>
      <c r="C45" s="179" t="s">
        <v>1050</v>
      </c>
      <c r="D45" s="180">
        <v>314101.10681520007</v>
      </c>
      <c r="E45" s="180">
        <v>21.37</v>
      </c>
      <c r="F45" s="180">
        <v>15.28</v>
      </c>
      <c r="G45" s="180">
        <v>20.847488715108209</v>
      </c>
      <c r="H45" s="180">
        <v>2.21</v>
      </c>
      <c r="I45" s="180">
        <v>12.05</v>
      </c>
      <c r="J45" s="180">
        <v>9.3699999999999992</v>
      </c>
      <c r="K45" s="180">
        <v>1.87</v>
      </c>
      <c r="L45" s="180">
        <v>1.76</v>
      </c>
      <c r="M45" s="176">
        <v>2.34</v>
      </c>
    </row>
    <row r="46" spans="1:19" x14ac:dyDescent="0.3">
      <c r="A46" s="179" t="s">
        <v>1051</v>
      </c>
      <c r="B46" s="179" t="s">
        <v>1052</v>
      </c>
      <c r="C46" s="179" t="s">
        <v>1053</v>
      </c>
      <c r="D46" s="180">
        <v>170082.73721904997</v>
      </c>
      <c r="E46" s="180">
        <v>14.54</v>
      </c>
      <c r="F46" s="180">
        <v>10.11</v>
      </c>
      <c r="G46" s="180">
        <v>14.32270952839659</v>
      </c>
      <c r="H46" s="180">
        <v>2.5099999999999998</v>
      </c>
      <c r="I46" s="180"/>
      <c r="J46" s="180">
        <v>7.08</v>
      </c>
      <c r="K46" s="180">
        <v>1.95</v>
      </c>
      <c r="L46" s="180">
        <v>1.64</v>
      </c>
      <c r="M46" s="176">
        <v>4</v>
      </c>
    </row>
    <row r="47" spans="1:19" x14ac:dyDescent="0.3">
      <c r="A47" s="179" t="s">
        <v>1054</v>
      </c>
      <c r="B47" s="179" t="s">
        <v>1055</v>
      </c>
      <c r="C47" s="179" t="s">
        <v>1056</v>
      </c>
      <c r="D47" s="180">
        <v>127902.58169982418</v>
      </c>
      <c r="E47" s="180">
        <v>25.4</v>
      </c>
      <c r="F47" s="180">
        <v>17.98</v>
      </c>
      <c r="G47" s="180">
        <v>25.845616679175549</v>
      </c>
      <c r="H47" s="180">
        <v>2.23</v>
      </c>
      <c r="I47" s="180">
        <v>13.88</v>
      </c>
      <c r="J47" s="180">
        <v>13.99</v>
      </c>
      <c r="K47" s="180">
        <v>2.04</v>
      </c>
      <c r="L47" s="180">
        <v>1.78</v>
      </c>
      <c r="M47" s="176">
        <v>5.29</v>
      </c>
    </row>
    <row r="48" spans="1:19" x14ac:dyDescent="0.3">
      <c r="A48" s="179" t="s">
        <v>1057</v>
      </c>
      <c r="B48" s="179" t="s">
        <v>1058</v>
      </c>
      <c r="C48" s="179" t="s">
        <v>1059</v>
      </c>
      <c r="D48" s="180">
        <v>105195.53220374999</v>
      </c>
      <c r="E48" s="186">
        <v>55.59</v>
      </c>
      <c r="F48" s="186">
        <v>43.65</v>
      </c>
      <c r="G48" s="180">
        <v>55.038991265334886</v>
      </c>
      <c r="H48" s="180">
        <v>3.89</v>
      </c>
      <c r="I48" s="180">
        <v>30.49</v>
      </c>
      <c r="J48" s="180">
        <v>25.21</v>
      </c>
      <c r="K48" s="180">
        <v>4.09</v>
      </c>
      <c r="L48" s="180">
        <v>3.32</v>
      </c>
      <c r="M48" s="176">
        <v>24.42</v>
      </c>
    </row>
    <row r="49" spans="1:13" x14ac:dyDescent="0.3">
      <c r="A49" s="179" t="s">
        <v>1060</v>
      </c>
      <c r="B49" s="179" t="s">
        <v>1061</v>
      </c>
      <c r="C49" s="179" t="s">
        <v>1062</v>
      </c>
      <c r="D49" s="180">
        <v>67691.258775360009</v>
      </c>
      <c r="E49" s="180">
        <v>10.47</v>
      </c>
      <c r="F49" s="180">
        <v>9.44</v>
      </c>
      <c r="G49" s="180">
        <v>10.203366007475784</v>
      </c>
      <c r="H49" s="180">
        <v>0.4</v>
      </c>
      <c r="I49" s="180">
        <v>6.87</v>
      </c>
      <c r="J49" s="180">
        <v>6.36</v>
      </c>
      <c r="K49" s="180">
        <v>0.3</v>
      </c>
      <c r="L49" s="180">
        <v>0.28000000000000003</v>
      </c>
      <c r="M49" s="176">
        <v>1.89</v>
      </c>
    </row>
    <row r="50" spans="1:13" x14ac:dyDescent="0.3">
      <c r="A50" s="179" t="s">
        <v>1063</v>
      </c>
      <c r="B50" s="179" t="s">
        <v>1064</v>
      </c>
      <c r="C50" s="179" t="s">
        <v>1065</v>
      </c>
      <c r="D50" s="180">
        <v>42573.39543864</v>
      </c>
      <c r="E50" s="180">
        <v>115.88</v>
      </c>
      <c r="F50" s="180">
        <v>69.790000000000006</v>
      </c>
      <c r="G50" s="180">
        <v>116.17251433043667</v>
      </c>
      <c r="H50" s="180">
        <v>1.19</v>
      </c>
      <c r="I50" s="180">
        <v>26.28</v>
      </c>
      <c r="J50" s="180">
        <v>22.02</v>
      </c>
      <c r="K50" s="180">
        <v>1.18</v>
      </c>
      <c r="L50" s="180">
        <v>1.02</v>
      </c>
      <c r="M50" s="176">
        <v>10.32</v>
      </c>
    </row>
    <row r="51" spans="1:13" x14ac:dyDescent="0.3">
      <c r="A51" s="179" t="s">
        <v>1066</v>
      </c>
      <c r="B51" s="179" t="s">
        <v>1067</v>
      </c>
      <c r="C51" s="179" t="s">
        <v>1068</v>
      </c>
      <c r="D51" s="180">
        <v>30560.28</v>
      </c>
      <c r="E51" s="180">
        <v>15.12</v>
      </c>
      <c r="F51" s="180">
        <v>12.58</v>
      </c>
      <c r="G51" s="180">
        <v>14.845635689073514</v>
      </c>
      <c r="H51" s="180">
        <v>2.94</v>
      </c>
      <c r="I51" s="180">
        <v>12.16</v>
      </c>
      <c r="J51" s="180">
        <v>10.050000000000001</v>
      </c>
      <c r="K51" s="180">
        <v>3.15</v>
      </c>
      <c r="L51" s="180">
        <v>3.03</v>
      </c>
      <c r="M51" s="176">
        <v>6.1</v>
      </c>
    </row>
    <row r="52" spans="1:13" x14ac:dyDescent="0.3">
      <c r="A52" s="179" t="s">
        <v>1069</v>
      </c>
      <c r="B52" s="179" t="s">
        <v>1070</v>
      </c>
      <c r="C52" s="179" t="s">
        <v>1071</v>
      </c>
      <c r="D52" s="180">
        <v>9502.035249293609</v>
      </c>
      <c r="E52" s="180">
        <v>33.729999999999997</v>
      </c>
      <c r="F52" s="180">
        <v>26.97</v>
      </c>
      <c r="G52" s="180">
        <v>34.0807321999553</v>
      </c>
      <c r="H52" s="180">
        <v>0.76</v>
      </c>
      <c r="I52" s="180">
        <v>10.45</v>
      </c>
      <c r="J52" s="180">
        <v>8.93</v>
      </c>
      <c r="K52" s="180">
        <v>0.69</v>
      </c>
      <c r="L52" s="180">
        <v>0.65</v>
      </c>
      <c r="M52" s="176">
        <v>3.26</v>
      </c>
    </row>
    <row r="56" spans="1:13" ht="28.8" x14ac:dyDescent="0.3">
      <c r="A56" s="297" t="s">
        <v>1091</v>
      </c>
      <c r="B56" s="297" t="s">
        <v>1092</v>
      </c>
      <c r="C56" s="177" t="s">
        <v>954</v>
      </c>
      <c r="D56" s="177" t="s">
        <v>956</v>
      </c>
      <c r="E56" s="177" t="s">
        <v>958</v>
      </c>
      <c r="F56" s="177" t="s">
        <v>960</v>
      </c>
    </row>
    <row r="57" spans="1:13" x14ac:dyDescent="0.3">
      <c r="A57" t="s">
        <v>1093</v>
      </c>
      <c r="B57" t="s">
        <v>1094</v>
      </c>
      <c r="C57" s="180">
        <v>15.28</v>
      </c>
      <c r="D57" s="180">
        <v>2.21</v>
      </c>
      <c r="E57" s="180">
        <v>9.3699999999999992</v>
      </c>
      <c r="F57" s="180">
        <v>1.76</v>
      </c>
    </row>
    <row r="58" spans="1:13" x14ac:dyDescent="0.3">
      <c r="A58" t="s">
        <v>1095</v>
      </c>
      <c r="B58" t="s">
        <v>1096</v>
      </c>
      <c r="C58" s="180">
        <v>28.57</v>
      </c>
      <c r="D58" s="180">
        <v>2.98</v>
      </c>
      <c r="E58" s="180">
        <v>13.34</v>
      </c>
      <c r="F58" s="180">
        <v>2.83</v>
      </c>
    </row>
    <row r="59" spans="1:13" x14ac:dyDescent="0.3">
      <c r="A59" t="s">
        <v>1097</v>
      </c>
      <c r="B59" t="s">
        <v>1098</v>
      </c>
      <c r="C59" s="180">
        <v>9.44</v>
      </c>
      <c r="D59" s="180">
        <v>0.4</v>
      </c>
      <c r="E59" s="180">
        <v>6.36</v>
      </c>
      <c r="F59" s="180">
        <v>0.28000000000000003</v>
      </c>
    </row>
    <row r="60" spans="1:13" x14ac:dyDescent="0.3">
      <c r="A60" t="s">
        <v>1099</v>
      </c>
      <c r="B60" t="s">
        <v>1100</v>
      </c>
      <c r="C60" s="180">
        <v>17.98</v>
      </c>
      <c r="D60" s="180">
        <v>2.23</v>
      </c>
      <c r="E60" s="180">
        <v>13.99</v>
      </c>
      <c r="F60" s="180">
        <v>1.78</v>
      </c>
    </row>
    <row r="61" spans="1:13" x14ac:dyDescent="0.3">
      <c r="A61" t="s">
        <v>1101</v>
      </c>
      <c r="B61" t="s">
        <v>1102</v>
      </c>
      <c r="C61" s="300">
        <v>43.65</v>
      </c>
      <c r="D61" s="180">
        <v>3.89</v>
      </c>
      <c r="E61" s="180">
        <v>25.21</v>
      </c>
      <c r="F61" s="180">
        <v>3.32</v>
      </c>
    </row>
    <row r="62" spans="1:13" x14ac:dyDescent="0.3">
      <c r="A62" t="s">
        <v>1103</v>
      </c>
      <c r="B62" t="s">
        <v>1104</v>
      </c>
      <c r="C62" s="180">
        <v>10.11</v>
      </c>
      <c r="D62" s="180">
        <v>2.5099999999999998</v>
      </c>
      <c r="E62" s="180">
        <v>7.08</v>
      </c>
      <c r="F62" s="180">
        <v>1.64</v>
      </c>
    </row>
    <row r="63" spans="1:13" x14ac:dyDescent="0.3">
      <c r="A63" t="s">
        <v>1105</v>
      </c>
      <c r="B63" t="s">
        <v>1106</v>
      </c>
      <c r="C63" s="180">
        <v>18.079999999999998</v>
      </c>
      <c r="D63" s="180">
        <v>5.94</v>
      </c>
      <c r="E63" s="180">
        <v>16.16</v>
      </c>
      <c r="F63" s="180">
        <v>5.7</v>
      </c>
    </row>
    <row r="64" spans="1:13" x14ac:dyDescent="0.3">
      <c r="A64" s="299" t="s">
        <v>966</v>
      </c>
      <c r="C64" s="194">
        <f>MEDIAN(C57:C63)</f>
        <v>17.98</v>
      </c>
      <c r="D64" s="298">
        <f>MEDIAN(D57:D63)</f>
        <v>2.5099999999999998</v>
      </c>
      <c r="E64" s="298">
        <f>MEDIAN(E57:E63)</f>
        <v>13.34</v>
      </c>
      <c r="F64" s="298">
        <f>MEDIAN(F57:F63)</f>
        <v>1.78</v>
      </c>
      <c r="G64" s="29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758D3-B0E2-44A5-A58C-B4894E0C79A7}">
  <dimension ref="A1:AA50"/>
  <sheetViews>
    <sheetView topLeftCell="A8" workbookViewId="0">
      <selection activeCell="O25" sqref="O25"/>
    </sheetView>
  </sheetViews>
  <sheetFormatPr defaultRowHeight="14.4" x14ac:dyDescent="0.3"/>
  <cols>
    <col min="1" max="1" width="55.33203125" customWidth="1"/>
  </cols>
  <sheetData>
    <row r="1" spans="1:8" x14ac:dyDescent="0.3">
      <c r="B1" s="47">
        <v>2025</v>
      </c>
      <c r="D1" t="s">
        <v>1072</v>
      </c>
    </row>
    <row r="2" spans="1:8" x14ac:dyDescent="0.3">
      <c r="B2" s="7" t="s">
        <v>9</v>
      </c>
      <c r="D2" t="s">
        <v>1073</v>
      </c>
    </row>
    <row r="3" spans="1:8" x14ac:dyDescent="0.3">
      <c r="A3" s="8" t="s">
        <v>11</v>
      </c>
      <c r="B3" s="54">
        <v>21154.576106884382</v>
      </c>
      <c r="D3" t="s">
        <v>965</v>
      </c>
      <c r="H3" s="187">
        <f>(B7+B11)/B3</f>
        <v>0.7536296802324538</v>
      </c>
    </row>
    <row r="4" spans="1:8" x14ac:dyDescent="0.3">
      <c r="A4" s="72" t="s">
        <v>858</v>
      </c>
      <c r="B4" s="55">
        <v>0.25771371227834861</v>
      </c>
      <c r="D4" t="s">
        <v>967</v>
      </c>
      <c r="H4" s="187">
        <f>B5/B3</f>
        <v>0.10115351256334655</v>
      </c>
    </row>
    <row r="5" spans="1:8" x14ac:dyDescent="0.3">
      <c r="A5" s="11" t="s">
        <v>1074</v>
      </c>
      <c r="B5" s="56">
        <v>2139.85968</v>
      </c>
      <c r="D5" t="s">
        <v>1075</v>
      </c>
      <c r="H5" s="187">
        <f>B9/B3</f>
        <v>0.14521680720419974</v>
      </c>
    </row>
    <row r="6" spans="1:8" x14ac:dyDescent="0.3">
      <c r="A6" s="48" t="s">
        <v>858</v>
      </c>
      <c r="B6" s="108">
        <v>0.12</v>
      </c>
      <c r="H6" s="188"/>
    </row>
    <row r="7" spans="1:8" x14ac:dyDescent="0.3">
      <c r="A7" s="99" t="s">
        <v>1076</v>
      </c>
      <c r="B7" s="120">
        <v>14016.862720000001</v>
      </c>
      <c r="H7" s="189"/>
    </row>
    <row r="8" spans="1:8" x14ac:dyDescent="0.3">
      <c r="A8" s="48" t="s">
        <v>858</v>
      </c>
      <c r="B8" s="108">
        <v>0.28000000000000003</v>
      </c>
    </row>
    <row r="9" spans="1:8" x14ac:dyDescent="0.3">
      <c r="A9" s="99" t="s">
        <v>1077</v>
      </c>
      <c r="B9" s="120">
        <v>3072</v>
      </c>
    </row>
    <row r="10" spans="1:8" x14ac:dyDescent="0.3">
      <c r="A10" s="48" t="s">
        <v>858</v>
      </c>
      <c r="B10" s="108">
        <v>0.28000000000000003</v>
      </c>
      <c r="D10" t="s">
        <v>1078</v>
      </c>
    </row>
    <row r="11" spans="1:8" x14ac:dyDescent="0.3">
      <c r="A11" s="11" t="s">
        <v>882</v>
      </c>
      <c r="B11" s="56">
        <v>1925.8537068843834</v>
      </c>
      <c r="D11" t="s">
        <v>965</v>
      </c>
      <c r="H11">
        <f>H3*$B$24</f>
        <v>6681.2998011588807</v>
      </c>
    </row>
    <row r="12" spans="1:8" x14ac:dyDescent="0.3">
      <c r="A12" s="48" t="s">
        <v>858</v>
      </c>
      <c r="B12" s="108">
        <v>0.23562812780700626</v>
      </c>
      <c r="D12" t="s">
        <v>967</v>
      </c>
      <c r="H12">
        <f t="shared" ref="H12:H13" si="0">H4*$B$24</f>
        <v>896.77591143643747</v>
      </c>
    </row>
    <row r="13" spans="1:8" x14ac:dyDescent="0.3">
      <c r="A13" s="28" t="s">
        <v>890</v>
      </c>
      <c r="B13" s="104">
        <v>11838.014964085209</v>
      </c>
      <c r="D13" t="s">
        <v>1075</v>
      </c>
      <c r="H13">
        <f t="shared" si="0"/>
        <v>1287.4188086635361</v>
      </c>
    </row>
    <row r="14" spans="1:8" x14ac:dyDescent="0.3">
      <c r="A14" s="48" t="s">
        <v>859</v>
      </c>
      <c r="B14" s="108">
        <v>0.5595959429427062</v>
      </c>
    </row>
    <row r="15" spans="1:8" x14ac:dyDescent="0.3">
      <c r="A15" s="11" t="s">
        <v>1074</v>
      </c>
      <c r="B15" s="126">
        <v>705.87213188926239</v>
      </c>
    </row>
    <row r="16" spans="1:8" x14ac:dyDescent="0.3">
      <c r="A16" s="48" t="s">
        <v>859</v>
      </c>
      <c r="B16" s="108">
        <v>0.3298684201055942</v>
      </c>
      <c r="D16" t="s">
        <v>1079</v>
      </c>
    </row>
    <row r="17" spans="1:14" x14ac:dyDescent="0.3">
      <c r="A17" s="99" t="s">
        <v>875</v>
      </c>
      <c r="B17" s="126">
        <v>9398.8744960000022</v>
      </c>
      <c r="D17" t="s">
        <v>965</v>
      </c>
      <c r="H17" s="31">
        <f>B7+B11-B19-G31-H11</f>
        <v>-181.12620647044241</v>
      </c>
    </row>
    <row r="18" spans="1:14" x14ac:dyDescent="0.3">
      <c r="A18" s="48" t="s">
        <v>859</v>
      </c>
      <c r="B18" s="108">
        <v>0.55000000000000004</v>
      </c>
      <c r="D18" t="s">
        <v>967</v>
      </c>
      <c r="H18" s="31">
        <f>B5-H12-B15</f>
        <v>537.21163667430005</v>
      </c>
    </row>
    <row r="19" spans="1:14" x14ac:dyDescent="0.3">
      <c r="A19" s="11" t="s">
        <v>884</v>
      </c>
      <c r="B19" s="126">
        <v>1733.268336195945</v>
      </c>
      <c r="D19" t="s">
        <v>1075</v>
      </c>
      <c r="H19" s="31">
        <f>B9-G32-H13</f>
        <v>94.981191336463553</v>
      </c>
    </row>
    <row r="20" spans="1:14" x14ac:dyDescent="0.3">
      <c r="A20" s="48" t="s">
        <v>859</v>
      </c>
      <c r="B20" s="108">
        <v>0.9</v>
      </c>
    </row>
    <row r="21" spans="1:14" x14ac:dyDescent="0.3">
      <c r="A21" s="11"/>
      <c r="B21" s="56"/>
      <c r="H21">
        <f>SUM(H17:H19)</f>
        <v>451.06662154032119</v>
      </c>
    </row>
    <row r="22" spans="1:14" x14ac:dyDescent="0.3">
      <c r="A22" s="8" t="s">
        <v>16</v>
      </c>
      <c r="B22" s="9">
        <v>9316.5611427991735</v>
      </c>
    </row>
    <row r="23" spans="1:14" x14ac:dyDescent="0.3">
      <c r="A23" s="72" t="s">
        <v>107</v>
      </c>
      <c r="B23" s="55">
        <v>0.4404040570572938</v>
      </c>
    </row>
    <row r="24" spans="1:14" x14ac:dyDescent="0.3">
      <c r="A24" s="11" t="s">
        <v>18</v>
      </c>
      <c r="B24" s="12">
        <v>8865.4945212588536</v>
      </c>
      <c r="D24" t="s">
        <v>1080</v>
      </c>
    </row>
    <row r="25" spans="1:14" x14ac:dyDescent="0.3">
      <c r="A25" s="11" t="s">
        <v>20</v>
      </c>
      <c r="B25" s="12">
        <v>6196.9019628321066</v>
      </c>
      <c r="D25" t="s">
        <v>1081</v>
      </c>
    </row>
    <row r="26" spans="1:14" x14ac:dyDescent="0.3">
      <c r="A26" s="30" t="s">
        <v>22</v>
      </c>
      <c r="B26" s="57">
        <v>4238.6586762150528</v>
      </c>
      <c r="D26" t="s">
        <v>965</v>
      </c>
      <c r="H26">
        <f>$B$50*H3</f>
        <v>403.56411378752472</v>
      </c>
    </row>
    <row r="27" spans="1:14" x14ac:dyDescent="0.3">
      <c r="A27" s="64" t="s">
        <v>859</v>
      </c>
      <c r="B27" s="110">
        <v>0.20036604159776364</v>
      </c>
      <c r="D27" t="s">
        <v>967</v>
      </c>
      <c r="H27">
        <f t="shared" ref="H27:H28" si="1">$B$50*H4</f>
        <v>54.167091245040737</v>
      </c>
    </row>
    <row r="28" spans="1:14" x14ac:dyDescent="0.3">
      <c r="A28" s="30" t="s">
        <v>24</v>
      </c>
      <c r="B28" s="57">
        <v>1958.24328661705</v>
      </c>
      <c r="D28" t="s">
        <v>971</v>
      </c>
      <c r="H28">
        <f t="shared" si="1"/>
        <v>77.762717742672322</v>
      </c>
    </row>
    <row r="29" spans="1:14" x14ac:dyDescent="0.3">
      <c r="A29" s="64" t="s">
        <v>859</v>
      </c>
      <c r="B29" s="110">
        <v>9.2568306579292714E-2</v>
      </c>
      <c r="N29" t="s">
        <v>1082</v>
      </c>
    </row>
    <row r="30" spans="1:14" x14ac:dyDescent="0.3">
      <c r="A30" s="11" t="s">
        <v>26</v>
      </c>
      <c r="B30" s="57">
        <v>1798.1389690851727</v>
      </c>
      <c r="D30" s="190" t="s">
        <v>1083</v>
      </c>
      <c r="E30" s="190"/>
      <c r="F30" s="190"/>
      <c r="G30" s="190"/>
    </row>
    <row r="31" spans="1:14" x14ac:dyDescent="0.3">
      <c r="A31" s="48" t="s">
        <v>859</v>
      </c>
      <c r="B31" s="111">
        <v>8.5000000000000006E-2</v>
      </c>
      <c r="D31" s="190" t="s">
        <v>1084</v>
      </c>
      <c r="E31" s="190"/>
      <c r="F31" s="190"/>
      <c r="G31" s="190">
        <f>(B7/(B7+B9))*B17</f>
        <v>7709.2744960000018</v>
      </c>
    </row>
    <row r="32" spans="1:14" x14ac:dyDescent="0.3">
      <c r="A32" s="11" t="s">
        <v>28</v>
      </c>
      <c r="B32" s="57">
        <v>958.86891653810278</v>
      </c>
      <c r="D32" s="190" t="s">
        <v>1085</v>
      </c>
      <c r="E32" s="190"/>
      <c r="F32" s="190"/>
      <c r="G32" s="190">
        <f>((B9/(B7+B9))*B17)</f>
        <v>1689.6000000000004</v>
      </c>
    </row>
    <row r="33" spans="1:27" x14ac:dyDescent="0.3">
      <c r="A33" s="48" t="s">
        <v>859</v>
      </c>
      <c r="B33" s="111">
        <v>4.5326784696293483E-2</v>
      </c>
    </row>
    <row r="34" spans="1:27" x14ac:dyDescent="0.3">
      <c r="A34" s="32" t="s">
        <v>292</v>
      </c>
      <c r="B34" s="57">
        <v>-88.415327196528693</v>
      </c>
      <c r="G34">
        <f>B7/(B7+B9)</f>
        <v>0.82023379493799342</v>
      </c>
      <c r="H34">
        <f>G34*B17</f>
        <v>7709.2744960000018</v>
      </c>
    </row>
    <row r="35" spans="1:27" x14ac:dyDescent="0.3">
      <c r="A35" s="48" t="s">
        <v>859</v>
      </c>
      <c r="B35" s="111">
        <v>-4.1794894281883292E-3</v>
      </c>
      <c r="G35" s="31">
        <f>B7+B11</f>
        <v>15942.716426884384</v>
      </c>
    </row>
    <row r="36" spans="1:27" x14ac:dyDescent="0.3">
      <c r="A36" s="69"/>
      <c r="B36" s="57"/>
    </row>
    <row r="37" spans="1:27" x14ac:dyDescent="0.3">
      <c r="A37" s="8" t="s">
        <v>31</v>
      </c>
      <c r="B37" s="9">
        <v>451.06662154031983</v>
      </c>
    </row>
    <row r="38" spans="1:27" x14ac:dyDescent="0.3">
      <c r="A38" s="72" t="s">
        <v>109</v>
      </c>
      <c r="B38" s="55">
        <v>0.23034248329764787</v>
      </c>
      <c r="E38" s="31">
        <f>B3-B13-B24</f>
        <v>451.06662154031983</v>
      </c>
    </row>
    <row r="39" spans="1:27" x14ac:dyDescent="0.3">
      <c r="A39" s="11" t="s">
        <v>33</v>
      </c>
      <c r="B39" s="12">
        <v>-464.75658308507627</v>
      </c>
    </row>
    <row r="40" spans="1:27" x14ac:dyDescent="0.3">
      <c r="A40" s="33" t="s">
        <v>35</v>
      </c>
      <c r="B40" s="37">
        <v>-464.75658308507627</v>
      </c>
    </row>
    <row r="41" spans="1:27" x14ac:dyDescent="0.3">
      <c r="A41" s="76" t="s">
        <v>37</v>
      </c>
      <c r="B41" s="36">
        <v>45.146575543000125</v>
      </c>
    </row>
    <row r="42" spans="1:27" x14ac:dyDescent="0.3">
      <c r="A42" s="77" t="s">
        <v>860</v>
      </c>
      <c r="B42" s="125">
        <v>0.01</v>
      </c>
      <c r="AA42">
        <f>2400+12400</f>
        <v>14800</v>
      </c>
    </row>
    <row r="43" spans="1:27" x14ac:dyDescent="0.3">
      <c r="A43" s="76" t="s">
        <v>39</v>
      </c>
      <c r="B43" s="36">
        <v>509.90315862807643</v>
      </c>
    </row>
    <row r="44" spans="1:27" x14ac:dyDescent="0.3">
      <c r="A44" s="77" t="s">
        <v>895</v>
      </c>
      <c r="B44" s="125">
        <v>0.05</v>
      </c>
      <c r="G44">
        <v>13350</v>
      </c>
    </row>
    <row r="45" spans="1:27" x14ac:dyDescent="0.3">
      <c r="A45" s="11" t="s">
        <v>41</v>
      </c>
      <c r="B45" s="75">
        <v>0</v>
      </c>
      <c r="G45" s="191">
        <v>13350.674000000001</v>
      </c>
    </row>
    <row r="46" spans="1:27" x14ac:dyDescent="0.3">
      <c r="A46" s="11" t="s">
        <v>44</v>
      </c>
      <c r="B46" s="75">
        <v>0</v>
      </c>
      <c r="G46">
        <v>2400</v>
      </c>
    </row>
    <row r="47" spans="1:27" x14ac:dyDescent="0.3">
      <c r="A47" s="11" t="s">
        <v>46</v>
      </c>
      <c r="B47" s="75">
        <v>0</v>
      </c>
      <c r="G47" s="191">
        <f>G45-G46</f>
        <v>10950.674000000001</v>
      </c>
    </row>
    <row r="48" spans="1:27" x14ac:dyDescent="0.3">
      <c r="H48">
        <v>10950.674000000001</v>
      </c>
    </row>
    <row r="50" spans="1:2" x14ac:dyDescent="0.3">
      <c r="A50" s="112" t="s">
        <v>70</v>
      </c>
      <c r="B50">
        <v>535.49392277523771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B427-5B8E-4888-859D-5485B6C2D05C}">
  <dimension ref="A1"/>
  <sheetViews>
    <sheetView workbookViewId="0">
      <selection activeCell="K14" sqref="K14"/>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0602-97BC-42F1-AB37-1CF07F0A1695}">
  <sheetPr>
    <pageSetUpPr autoPageBreaks="0"/>
  </sheetPr>
  <dimension ref="A1:J95"/>
  <sheetViews>
    <sheetView workbookViewId="0">
      <selection sqref="A1:XFD1"/>
    </sheetView>
  </sheetViews>
  <sheetFormatPr defaultRowHeight="14.4" x14ac:dyDescent="0.3"/>
  <cols>
    <col min="1" max="1" width="47" bestFit="1" customWidth="1"/>
    <col min="2" max="2" width="0" hidden="1" customWidth="1"/>
    <col min="3" max="7" width="11.88671875" customWidth="1"/>
  </cols>
  <sheetData>
    <row r="1" spans="1:7" ht="21" x14ac:dyDescent="0.3">
      <c r="A1" s="2" t="s">
        <v>128</v>
      </c>
      <c r="B1" s="2"/>
      <c r="C1" s="2"/>
      <c r="D1" s="2"/>
      <c r="E1" s="2"/>
      <c r="F1" s="2"/>
      <c r="G1" s="2"/>
    </row>
    <row r="2" spans="1:7" x14ac:dyDescent="0.3">
      <c r="A2" s="3"/>
      <c r="B2" s="3"/>
      <c r="C2" s="3"/>
      <c r="D2" s="3"/>
      <c r="E2" s="3"/>
      <c r="F2" s="3"/>
      <c r="G2" s="3"/>
    </row>
    <row r="3" spans="1:7" x14ac:dyDescent="0.3">
      <c r="A3" s="4" t="s">
        <v>0</v>
      </c>
      <c r="B3" s="4"/>
      <c r="C3" s="5" t="s">
        <v>129</v>
      </c>
      <c r="D3" s="5" t="s">
        <v>130</v>
      </c>
      <c r="E3" s="5" t="s">
        <v>127</v>
      </c>
      <c r="F3" s="5" t="s">
        <v>1</v>
      </c>
      <c r="G3" s="5" t="s">
        <v>2</v>
      </c>
    </row>
    <row r="4" spans="1:7" x14ac:dyDescent="0.3">
      <c r="A4" s="6" t="s">
        <v>6</v>
      </c>
      <c r="B4" s="6"/>
      <c r="C4" s="7" t="s">
        <v>131</v>
      </c>
      <c r="D4" s="7" t="s">
        <v>132</v>
      </c>
      <c r="E4" s="7" t="s">
        <v>133</v>
      </c>
      <c r="F4" s="7" t="s">
        <v>7</v>
      </c>
      <c r="G4" s="7" t="s">
        <v>8</v>
      </c>
    </row>
    <row r="5" spans="1:7" x14ac:dyDescent="0.3">
      <c r="A5" s="8" t="s">
        <v>134</v>
      </c>
      <c r="B5" s="17"/>
      <c r="C5" s="17"/>
      <c r="D5" s="17"/>
      <c r="E5" s="17"/>
      <c r="F5" s="17"/>
      <c r="G5" s="17"/>
    </row>
    <row r="6" spans="1:7" x14ac:dyDescent="0.3">
      <c r="A6" s="11" t="s">
        <v>135</v>
      </c>
      <c r="B6" s="21"/>
      <c r="C6" s="21"/>
      <c r="D6" s="21"/>
      <c r="E6" s="21"/>
      <c r="F6" s="21"/>
      <c r="G6" s="21"/>
    </row>
    <row r="7" spans="1:7" x14ac:dyDescent="0.3">
      <c r="A7" s="11" t="s">
        <v>136</v>
      </c>
      <c r="B7" s="11" t="s">
        <v>137</v>
      </c>
      <c r="C7" s="12">
        <v>2598.3339999999998</v>
      </c>
      <c r="D7" s="12">
        <v>5635.1769999999997</v>
      </c>
      <c r="E7" s="12">
        <v>8572.5419999999995</v>
      </c>
      <c r="F7" s="12">
        <v>10891.550999999999</v>
      </c>
      <c r="G7" s="12">
        <v>14909.277</v>
      </c>
    </row>
    <row r="8" spans="1:7" x14ac:dyDescent="0.3">
      <c r="A8" s="11" t="s">
        <v>138</v>
      </c>
      <c r="B8" s="11" t="s">
        <v>139</v>
      </c>
      <c r="C8" s="12">
        <v>1777.33</v>
      </c>
      <c r="D8" s="12">
        <v>4320.0129999999999</v>
      </c>
      <c r="E8" s="12">
        <v>3877.163</v>
      </c>
      <c r="F8" s="12">
        <v>2172.009</v>
      </c>
      <c r="G8" s="12">
        <v>1910.5889999999999</v>
      </c>
    </row>
    <row r="9" spans="1:7" x14ac:dyDescent="0.3">
      <c r="A9" s="8" t="s">
        <v>140</v>
      </c>
      <c r="B9" s="8" t="s">
        <v>141</v>
      </c>
      <c r="C9" s="9">
        <v>4375.6639999999998</v>
      </c>
      <c r="D9" s="9">
        <v>9955.19</v>
      </c>
      <c r="E9" s="9">
        <v>12449.705</v>
      </c>
      <c r="F9" s="9">
        <v>13063.56</v>
      </c>
      <c r="G9" s="9">
        <v>16819.866000000002</v>
      </c>
    </row>
    <row r="10" spans="1:7" x14ac:dyDescent="0.3">
      <c r="A10" s="11" t="s">
        <v>142</v>
      </c>
      <c r="B10" s="21"/>
      <c r="C10" s="21"/>
      <c r="D10" s="21"/>
      <c r="E10" s="21"/>
      <c r="F10" s="21"/>
      <c r="G10" s="21"/>
    </row>
    <row r="11" spans="1:7" x14ac:dyDescent="0.3">
      <c r="A11" s="11" t="s">
        <v>143</v>
      </c>
      <c r="B11" s="11" t="s">
        <v>144</v>
      </c>
      <c r="C11" s="12">
        <v>2652.23</v>
      </c>
      <c r="D11" s="12">
        <v>5478.7950000000001</v>
      </c>
      <c r="E11" s="12">
        <v>6672.7849999999999</v>
      </c>
      <c r="F11" s="12">
        <v>5608.8689999999997</v>
      </c>
      <c r="G11" s="12">
        <v>6542.9359999999997</v>
      </c>
    </row>
    <row r="12" spans="1:7" x14ac:dyDescent="0.3">
      <c r="A12" s="11" t="s">
        <v>145</v>
      </c>
      <c r="B12" s="11" t="s">
        <v>146</v>
      </c>
      <c r="C12" s="12">
        <v>580.65700000000004</v>
      </c>
      <c r="D12" s="12">
        <v>1003.547</v>
      </c>
      <c r="E12" s="12">
        <v>993.346</v>
      </c>
      <c r="F12" s="12">
        <v>1027.3889999999999</v>
      </c>
      <c r="G12" s="12">
        <v>1450.3910000000001</v>
      </c>
    </row>
    <row r="13" spans="1:7" x14ac:dyDescent="0.3">
      <c r="A13" s="11" t="s">
        <v>147</v>
      </c>
      <c r="B13" s="11" t="s">
        <v>148</v>
      </c>
      <c r="C13" s="12">
        <v>353.78500000000003</v>
      </c>
      <c r="D13" s="12">
        <v>831.70299999999997</v>
      </c>
      <c r="E13" s="12">
        <v>1376.501</v>
      </c>
      <c r="F13" s="12">
        <v>1164.126</v>
      </c>
      <c r="G13" s="12">
        <v>1206.05</v>
      </c>
    </row>
    <row r="14" spans="1:7" x14ac:dyDescent="0.3">
      <c r="A14" s="11" t="s">
        <v>149</v>
      </c>
      <c r="B14" s="11" t="s">
        <v>150</v>
      </c>
      <c r="C14" s="12">
        <v>1830.875</v>
      </c>
      <c r="D14" s="12">
        <v>3829.7429999999999</v>
      </c>
      <c r="E14" s="12">
        <v>3269.223</v>
      </c>
      <c r="F14" s="12">
        <v>2779.223</v>
      </c>
      <c r="G14" s="12">
        <v>3472.6860000000001</v>
      </c>
    </row>
    <row r="15" spans="1:7" x14ac:dyDescent="0.3">
      <c r="A15" s="11" t="s">
        <v>151</v>
      </c>
      <c r="B15" s="11" t="s">
        <v>152</v>
      </c>
      <c r="C15" s="12">
        <v>57.509</v>
      </c>
      <c r="D15" s="12">
        <v>117.42700000000001</v>
      </c>
      <c r="E15" s="12">
        <v>513.69000000000005</v>
      </c>
      <c r="F15" s="12">
        <v>633.94200000000001</v>
      </c>
      <c r="G15" s="12">
        <v>776.93700000000001</v>
      </c>
    </row>
    <row r="16" spans="1:7" x14ac:dyDescent="0.3">
      <c r="A16" s="11" t="s">
        <v>153</v>
      </c>
      <c r="B16" s="11" t="s">
        <v>154</v>
      </c>
      <c r="C16" s="12">
        <v>599.70600000000002</v>
      </c>
      <c r="D16" s="12">
        <v>987.86800000000005</v>
      </c>
      <c r="E16" s="12">
        <v>1437.6120000000001</v>
      </c>
      <c r="F16" s="12">
        <v>1134.7239999999999</v>
      </c>
      <c r="G16" s="12">
        <v>1267.7059999999999</v>
      </c>
    </row>
    <row r="17" spans="1:9" x14ac:dyDescent="0.3">
      <c r="A17" s="28" t="s">
        <v>16</v>
      </c>
      <c r="B17" s="28" t="s">
        <v>155</v>
      </c>
      <c r="C17" s="29">
        <v>1348.905</v>
      </c>
      <c r="D17" s="29">
        <v>3895.7350000000001</v>
      </c>
      <c r="E17" s="29">
        <v>5185.277</v>
      </c>
      <c r="F17" s="29">
        <v>5833.6469999999999</v>
      </c>
      <c r="G17" s="29">
        <v>7205.0879999999997</v>
      </c>
    </row>
    <row r="18" spans="1:9" x14ac:dyDescent="0.3">
      <c r="A18" s="28" t="s">
        <v>156</v>
      </c>
      <c r="B18" s="28" t="s">
        <v>157</v>
      </c>
      <c r="C18" s="29">
        <v>-1303.325</v>
      </c>
      <c r="D18" s="29">
        <v>-1583.06</v>
      </c>
      <c r="E18" s="29">
        <v>-1487.508</v>
      </c>
      <c r="F18" s="29">
        <v>224.77799999999999</v>
      </c>
      <c r="G18" s="29">
        <v>662.15200000000004</v>
      </c>
    </row>
    <row r="19" spans="1:9" x14ac:dyDescent="0.3">
      <c r="A19" s="11" t="s">
        <v>158</v>
      </c>
      <c r="B19" s="11" t="s">
        <v>159</v>
      </c>
      <c r="C19" s="12">
        <v>0</v>
      </c>
      <c r="D19" s="12">
        <v>0</v>
      </c>
      <c r="E19" s="12">
        <v>354.94299999999998</v>
      </c>
      <c r="F19" s="12">
        <v>117.875</v>
      </c>
      <c r="G19" s="12">
        <v>0</v>
      </c>
    </row>
    <row r="20" spans="1:9" x14ac:dyDescent="0.3">
      <c r="A20" s="11" t="s">
        <v>160</v>
      </c>
      <c r="B20" s="11" t="s">
        <v>161</v>
      </c>
      <c r="C20" s="12">
        <v>702.32899999999995</v>
      </c>
      <c r="D20" s="12">
        <v>1230.0820000000001</v>
      </c>
      <c r="E20" s="12">
        <v>1077.0170000000001</v>
      </c>
      <c r="F20" s="12">
        <v>672.48099999999999</v>
      </c>
      <c r="G20" s="12">
        <v>610.58600000000001</v>
      </c>
    </row>
    <row r="21" spans="1:9" x14ac:dyDescent="0.3">
      <c r="A21" s="11" t="s">
        <v>162</v>
      </c>
      <c r="B21" s="11" t="s">
        <v>163</v>
      </c>
      <c r="C21" s="12">
        <v>1743.7729999999999</v>
      </c>
      <c r="D21" s="12">
        <v>3825.826</v>
      </c>
      <c r="E21" s="12">
        <v>5194.0649999999996</v>
      </c>
      <c r="F21" s="12">
        <v>5530.0429999999997</v>
      </c>
      <c r="G21" s="12">
        <v>7553.8010000000004</v>
      </c>
    </row>
    <row r="22" spans="1:9" x14ac:dyDescent="0.3">
      <c r="A22" s="11" t="s">
        <v>164</v>
      </c>
      <c r="B22" s="11" t="s">
        <v>165</v>
      </c>
      <c r="C22" s="12">
        <v>-189.64500000000001</v>
      </c>
      <c r="D22" s="12">
        <v>-287.94600000000003</v>
      </c>
      <c r="E22" s="12">
        <v>-279.18400000000003</v>
      </c>
      <c r="F22" s="12">
        <v>-221.02099999999999</v>
      </c>
      <c r="G22" s="12">
        <v>-180.44300000000001</v>
      </c>
    </row>
    <row r="23" spans="1:9" x14ac:dyDescent="0.3">
      <c r="A23" s="28" t="s">
        <v>166</v>
      </c>
      <c r="B23" s="28" t="s">
        <v>167</v>
      </c>
      <c r="C23" s="29">
        <f>C12+C20+C21</f>
        <v>3026.759</v>
      </c>
      <c r="D23" s="29">
        <v>6059.4549999999999</v>
      </c>
      <c r="E23" s="29">
        <v>7264.4279999999999</v>
      </c>
      <c r="F23" s="29">
        <v>7229.9129999999996</v>
      </c>
      <c r="G23" s="29">
        <v>9614.7780000000002</v>
      </c>
    </row>
    <row r="24" spans="1:9" x14ac:dyDescent="0.3">
      <c r="A24" s="11" t="s">
        <v>168</v>
      </c>
      <c r="B24" s="21"/>
      <c r="C24" s="21"/>
      <c r="D24" s="21"/>
      <c r="E24" s="21"/>
      <c r="F24" s="21"/>
      <c r="G24" s="21"/>
    </row>
    <row r="25" spans="1:9" x14ac:dyDescent="0.3">
      <c r="A25" s="11" t="s">
        <v>169</v>
      </c>
      <c r="B25" s="11" t="s">
        <v>170</v>
      </c>
      <c r="C25" s="12">
        <v>123.843</v>
      </c>
      <c r="D25" s="12">
        <v>136.876</v>
      </c>
      <c r="E25" s="12">
        <v>45.396000000000001</v>
      </c>
      <c r="F25" s="12">
        <v>41.075000000000003</v>
      </c>
      <c r="G25" s="12">
        <v>38.341000000000001</v>
      </c>
      <c r="I25" s="31"/>
    </row>
    <row r="26" spans="1:9" x14ac:dyDescent="0.3">
      <c r="A26" s="11" t="s">
        <v>171</v>
      </c>
      <c r="B26" s="11" t="s">
        <v>172</v>
      </c>
      <c r="C26" s="12">
        <v>38.567</v>
      </c>
      <c r="D26" s="12">
        <v>-14.241</v>
      </c>
      <c r="E26" s="12">
        <v>75.510000000000005</v>
      </c>
      <c r="F26" s="12">
        <v>-4.4870000000000001</v>
      </c>
      <c r="G26" s="12">
        <v>3.246</v>
      </c>
    </row>
    <row r="27" spans="1:9" x14ac:dyDescent="0.3">
      <c r="A27" s="11" t="s">
        <v>173</v>
      </c>
      <c r="B27" s="11" t="s">
        <v>174</v>
      </c>
      <c r="C27" s="12">
        <v>-24.803999999999998</v>
      </c>
      <c r="D27" s="12">
        <v>-36.082000000000001</v>
      </c>
      <c r="E27" s="12">
        <v>-115.515</v>
      </c>
      <c r="F27" s="12">
        <v>-331.31</v>
      </c>
      <c r="G27" s="12">
        <v>-365.81700000000001</v>
      </c>
    </row>
    <row r="28" spans="1:9" x14ac:dyDescent="0.3">
      <c r="A28" s="11" t="s">
        <v>175</v>
      </c>
      <c r="B28" s="11" t="s">
        <v>176</v>
      </c>
      <c r="C28" s="12">
        <v>141.63999999999999</v>
      </c>
      <c r="D28" s="12">
        <v>332.86500000000001</v>
      </c>
      <c r="E28" s="12">
        <v>168.39500000000001</v>
      </c>
      <c r="F28" s="12">
        <v>262.68</v>
      </c>
      <c r="G28" s="12">
        <v>321.16800000000001</v>
      </c>
    </row>
    <row r="29" spans="1:9" x14ac:dyDescent="0.3">
      <c r="A29" s="28" t="s">
        <v>177</v>
      </c>
      <c r="B29" s="28" t="s">
        <v>178</v>
      </c>
      <c r="C29" s="29">
        <v>-1483.2380000000001</v>
      </c>
      <c r="D29" s="29">
        <v>-1715.184</v>
      </c>
      <c r="E29" s="29">
        <v>-1500.5329999999999</v>
      </c>
      <c r="F29" s="29">
        <v>432.39400000000001</v>
      </c>
      <c r="G29" s="29">
        <v>778.78300000000002</v>
      </c>
    </row>
    <row r="30" spans="1:9" x14ac:dyDescent="0.3">
      <c r="A30" s="11" t="s">
        <v>179</v>
      </c>
      <c r="B30" s="11" t="s">
        <v>180</v>
      </c>
      <c r="C30" s="12">
        <v>24.4</v>
      </c>
      <c r="D30" s="12">
        <v>2.069</v>
      </c>
      <c r="E30" s="12">
        <v>-199.697</v>
      </c>
      <c r="F30" s="12">
        <v>-38.549999999999997</v>
      </c>
      <c r="G30" s="12">
        <v>-42.621000000000002</v>
      </c>
    </row>
    <row r="31" spans="1:9" x14ac:dyDescent="0.3">
      <c r="A31" s="11" t="s">
        <v>181</v>
      </c>
      <c r="B31" s="11" t="s">
        <v>182</v>
      </c>
      <c r="C31" s="12">
        <v>17.82</v>
      </c>
      <c r="D31" s="12">
        <v>43.502000000000002</v>
      </c>
      <c r="E31" s="12">
        <v>207.33099999999999</v>
      </c>
      <c r="F31" s="12">
        <v>125.65600000000001</v>
      </c>
      <c r="G31" s="12">
        <v>250.22</v>
      </c>
    </row>
    <row r="32" spans="1:9" x14ac:dyDescent="0.3">
      <c r="A32" s="11" t="s">
        <v>183</v>
      </c>
      <c r="B32" s="11" t="s">
        <v>184</v>
      </c>
      <c r="C32" s="12">
        <v>8.6999999999999994E-2</v>
      </c>
      <c r="D32" s="12">
        <v>0</v>
      </c>
      <c r="E32" s="12" t="s">
        <v>43</v>
      </c>
      <c r="F32" s="12" t="s">
        <v>43</v>
      </c>
      <c r="G32" s="12" t="s">
        <v>43</v>
      </c>
    </row>
    <row r="33" spans="1:10" x14ac:dyDescent="0.3">
      <c r="A33" s="11" t="s">
        <v>185</v>
      </c>
      <c r="B33" s="11" t="s">
        <v>186</v>
      </c>
      <c r="C33" s="12">
        <v>-0.72099999999999997</v>
      </c>
      <c r="D33" s="12">
        <v>-5.0190000000000001</v>
      </c>
      <c r="E33" s="12">
        <v>-11.156000000000001</v>
      </c>
      <c r="F33" s="12">
        <v>7.032</v>
      </c>
      <c r="G33" s="12">
        <v>9.7880000000000003</v>
      </c>
    </row>
    <row r="34" spans="1:10" x14ac:dyDescent="0.3">
      <c r="A34" s="11" t="s">
        <v>187</v>
      </c>
      <c r="B34" s="21"/>
      <c r="C34" s="21"/>
      <c r="D34" s="21"/>
      <c r="E34" s="21"/>
      <c r="F34" s="21"/>
      <c r="G34" s="21"/>
    </row>
    <row r="35" spans="1:10" x14ac:dyDescent="0.3">
      <c r="A35" s="11" t="s">
        <v>188</v>
      </c>
      <c r="B35" s="11" t="s">
        <v>189</v>
      </c>
      <c r="C35" s="12">
        <v>-6.101</v>
      </c>
      <c r="D35" s="12">
        <v>3.7290000000000001</v>
      </c>
      <c r="E35" s="12">
        <v>-6.351</v>
      </c>
      <c r="F35" s="12">
        <v>11.956</v>
      </c>
      <c r="G35" s="12">
        <v>3.5059999999999998</v>
      </c>
      <c r="H35" s="31"/>
      <c r="I35" s="31"/>
      <c r="J35" s="31"/>
    </row>
    <row r="36" spans="1:10" x14ac:dyDescent="0.3">
      <c r="A36" s="11" t="s">
        <v>190</v>
      </c>
      <c r="B36" s="11" t="s">
        <v>191</v>
      </c>
      <c r="C36" s="23" t="s">
        <v>43</v>
      </c>
      <c r="D36" s="23" t="s">
        <v>43</v>
      </c>
      <c r="E36" s="23">
        <v>-2.96</v>
      </c>
      <c r="F36" s="23">
        <v>0.27</v>
      </c>
      <c r="G36" s="23">
        <v>0.77</v>
      </c>
    </row>
    <row r="37" spans="1:10" x14ac:dyDescent="0.3">
      <c r="A37" s="11" t="s">
        <v>192</v>
      </c>
      <c r="B37" s="11" t="s">
        <v>193</v>
      </c>
      <c r="C37" s="12" t="s">
        <v>43</v>
      </c>
      <c r="D37" s="12" t="s">
        <v>43</v>
      </c>
      <c r="E37" s="12">
        <v>558.11990000000003</v>
      </c>
      <c r="F37" s="12">
        <v>566.61279999999999</v>
      </c>
      <c r="G37" s="12">
        <v>574.96630000000005</v>
      </c>
    </row>
    <row r="38" spans="1:10" x14ac:dyDescent="0.3">
      <c r="A38" s="11" t="s">
        <v>194</v>
      </c>
      <c r="B38" s="11" t="s">
        <v>195</v>
      </c>
      <c r="C38" s="23" t="s">
        <v>43</v>
      </c>
      <c r="D38" s="23" t="s">
        <v>43</v>
      </c>
      <c r="E38" s="23">
        <v>-2.96</v>
      </c>
      <c r="F38" s="23">
        <v>0.25</v>
      </c>
      <c r="G38" s="23">
        <v>0.74</v>
      </c>
    </row>
    <row r="39" spans="1:10" x14ac:dyDescent="0.3">
      <c r="A39" s="11" t="s">
        <v>196</v>
      </c>
      <c r="B39" s="11" t="s">
        <v>197</v>
      </c>
      <c r="C39" s="12" t="s">
        <v>43</v>
      </c>
      <c r="D39" s="12" t="s">
        <v>43</v>
      </c>
      <c r="E39" s="12">
        <v>558.11990000000003</v>
      </c>
      <c r="F39" s="12">
        <v>594.40560000000005</v>
      </c>
      <c r="G39" s="12">
        <v>604.71400000000006</v>
      </c>
    </row>
    <row r="40" spans="1:10" x14ac:dyDescent="0.3">
      <c r="A40" s="11" t="s">
        <v>198</v>
      </c>
      <c r="B40" s="11" t="s">
        <v>199</v>
      </c>
      <c r="C40" s="23">
        <v>-3.39</v>
      </c>
      <c r="D40" s="23">
        <v>-3.84</v>
      </c>
      <c r="E40" s="23">
        <v>-2.96</v>
      </c>
      <c r="F40" s="23" t="s">
        <v>43</v>
      </c>
      <c r="G40" s="23" t="s">
        <v>43</v>
      </c>
    </row>
    <row r="41" spans="1:10" x14ac:dyDescent="0.3">
      <c r="A41" s="11" t="s">
        <v>200</v>
      </c>
      <c r="B41" s="11" t="s">
        <v>201</v>
      </c>
      <c r="C41" s="12">
        <v>477.26490000000001</v>
      </c>
      <c r="D41" s="12">
        <v>532.70579999999995</v>
      </c>
      <c r="E41" s="12">
        <v>558.11990000000003</v>
      </c>
      <c r="F41" s="12" t="s">
        <v>43</v>
      </c>
      <c r="G41" s="12" t="s">
        <v>43</v>
      </c>
    </row>
    <row r="42" spans="1:10" x14ac:dyDescent="0.3">
      <c r="A42" s="11" t="s">
        <v>202</v>
      </c>
      <c r="B42" s="11" t="s">
        <v>203</v>
      </c>
      <c r="C42" s="12">
        <v>-1618.056</v>
      </c>
      <c r="D42" s="12">
        <v>-2046.759</v>
      </c>
      <c r="E42" s="12">
        <v>-1651.421</v>
      </c>
      <c r="F42" s="12">
        <v>150.726</v>
      </c>
      <c r="G42" s="12">
        <v>444.32100000000003</v>
      </c>
    </row>
    <row r="43" spans="1:10" x14ac:dyDescent="0.3">
      <c r="A43" s="11" t="s">
        <v>204</v>
      </c>
      <c r="B43" s="11" t="s">
        <v>205</v>
      </c>
      <c r="C43" s="12">
        <v>-1624.1569999999999</v>
      </c>
      <c r="D43" s="12">
        <v>-2043.03</v>
      </c>
      <c r="E43" s="12">
        <v>-1657.7719999999999</v>
      </c>
      <c r="F43" s="12">
        <v>162.68199999999999</v>
      </c>
      <c r="G43" s="12">
        <v>447.827</v>
      </c>
    </row>
    <row r="44" spans="1:10" x14ac:dyDescent="0.3">
      <c r="A44" s="11" t="s">
        <v>206</v>
      </c>
      <c r="B44" s="11" t="s">
        <v>207</v>
      </c>
      <c r="C44" s="12">
        <v>-1618.056</v>
      </c>
      <c r="D44" s="12">
        <v>-2046.759</v>
      </c>
      <c r="E44" s="12">
        <v>-1651.421</v>
      </c>
      <c r="F44" s="12">
        <v>150.726</v>
      </c>
      <c r="G44" s="12">
        <v>444.32100000000003</v>
      </c>
    </row>
    <row r="45" spans="1:10" x14ac:dyDescent="0.3">
      <c r="A45" s="8" t="s">
        <v>208</v>
      </c>
      <c r="B45" s="8" t="s">
        <v>209</v>
      </c>
      <c r="C45" s="9">
        <v>-1618.056</v>
      </c>
      <c r="D45" s="9">
        <v>-2046.759</v>
      </c>
      <c r="E45" s="9">
        <v>-1651.421</v>
      </c>
      <c r="F45" s="9">
        <v>150.726</v>
      </c>
      <c r="G45" s="9">
        <v>444.32100000000003</v>
      </c>
    </row>
    <row r="46" spans="1:10" x14ac:dyDescent="0.3">
      <c r="A46" s="11" t="s">
        <v>210</v>
      </c>
      <c r="B46" s="21"/>
      <c r="C46" s="21"/>
      <c r="D46" s="21"/>
      <c r="E46" s="21"/>
      <c r="F46" s="21"/>
      <c r="G46" s="21"/>
    </row>
    <row r="47" spans="1:10" x14ac:dyDescent="0.3">
      <c r="A47" s="11" t="s">
        <v>211</v>
      </c>
      <c r="B47" s="11" t="s">
        <v>212</v>
      </c>
      <c r="C47" s="12">
        <v>2.532</v>
      </c>
      <c r="D47" s="12">
        <v>-32.972000000000001</v>
      </c>
      <c r="E47" s="12">
        <v>-81.62</v>
      </c>
      <c r="F47" s="12">
        <v>-0.69499999999999995</v>
      </c>
      <c r="G47" s="12" t="s">
        <v>43</v>
      </c>
    </row>
    <row r="48" spans="1:10" x14ac:dyDescent="0.3">
      <c r="A48" s="11" t="s">
        <v>213</v>
      </c>
      <c r="B48" s="11" t="s">
        <v>214</v>
      </c>
      <c r="C48" s="12">
        <v>-4.3929999999999998</v>
      </c>
      <c r="D48" s="12">
        <v>-1.3859999999999999</v>
      </c>
      <c r="E48" s="12">
        <v>-7.93</v>
      </c>
      <c r="F48" s="12">
        <v>5.0670000000000002</v>
      </c>
      <c r="G48" s="12" t="s">
        <v>43</v>
      </c>
    </row>
    <row r="49" spans="1:7" x14ac:dyDescent="0.3">
      <c r="A49" s="11" t="s">
        <v>215</v>
      </c>
      <c r="B49" s="11" t="s">
        <v>216</v>
      </c>
      <c r="C49" s="12" t="s">
        <v>43</v>
      </c>
      <c r="D49" s="12">
        <v>0.23599999999999999</v>
      </c>
      <c r="E49" s="12">
        <v>0.21199999999999999</v>
      </c>
      <c r="F49" s="12">
        <v>0.14799999999999999</v>
      </c>
      <c r="G49" s="12" t="s">
        <v>43</v>
      </c>
    </row>
    <row r="50" spans="1:7" x14ac:dyDescent="0.3">
      <c r="A50" s="11" t="s">
        <v>217</v>
      </c>
      <c r="B50" s="11" t="s">
        <v>218</v>
      </c>
      <c r="C50" s="12">
        <v>-1618.8720000000001</v>
      </c>
      <c r="D50" s="12">
        <v>-2080.3000000000002</v>
      </c>
      <c r="E50" s="12">
        <v>-1735.981</v>
      </c>
      <c r="F50" s="12">
        <v>153.941</v>
      </c>
      <c r="G50" s="12" t="s">
        <v>43</v>
      </c>
    </row>
    <row r="51" spans="1:7" x14ac:dyDescent="0.3">
      <c r="A51" s="11" t="s">
        <v>219</v>
      </c>
      <c r="B51" s="11" t="s">
        <v>220</v>
      </c>
      <c r="C51" s="12">
        <v>1.0449999999999999</v>
      </c>
      <c r="D51" s="12">
        <v>0.58099999999999996</v>
      </c>
      <c r="E51" s="12">
        <v>4.7779999999999996</v>
      </c>
      <c r="F51" s="12">
        <v>-1.3049999999999999</v>
      </c>
      <c r="G51" s="12" t="s">
        <v>43</v>
      </c>
    </row>
    <row r="52" spans="1:7" x14ac:dyDescent="0.3">
      <c r="A52" s="11" t="s">
        <v>221</v>
      </c>
      <c r="B52" s="11" t="s">
        <v>222</v>
      </c>
      <c r="C52" s="12">
        <v>-1624.1569999999999</v>
      </c>
      <c r="D52" s="12">
        <v>-2043.03</v>
      </c>
      <c r="E52" s="12">
        <v>-1657.7719999999999</v>
      </c>
      <c r="F52" s="12">
        <v>162.68199999999999</v>
      </c>
      <c r="G52" s="12" t="s">
        <v>43</v>
      </c>
    </row>
    <row r="53" spans="1:7" x14ac:dyDescent="0.3">
      <c r="A53" s="11" t="s">
        <v>223</v>
      </c>
      <c r="B53" s="21"/>
      <c r="C53" s="21"/>
      <c r="D53" s="21"/>
      <c r="E53" s="21"/>
      <c r="F53" s="21"/>
      <c r="G53" s="21"/>
    </row>
    <row r="54" spans="1:7" x14ac:dyDescent="0.3">
      <c r="A54" s="11" t="s">
        <v>121</v>
      </c>
      <c r="B54" s="11" t="s">
        <v>224</v>
      </c>
      <c r="C54" s="12">
        <v>169.06700000000001</v>
      </c>
      <c r="D54" s="12">
        <v>260.68200000000002</v>
      </c>
      <c r="E54" s="12">
        <v>404.92700000000002</v>
      </c>
      <c r="F54" s="12">
        <v>412.23599999999999</v>
      </c>
      <c r="G54" s="12" t="s">
        <v>43</v>
      </c>
    </row>
    <row r="55" spans="1:7" x14ac:dyDescent="0.3">
      <c r="A55" s="11" t="s">
        <v>225</v>
      </c>
      <c r="B55" s="11" t="s">
        <v>226</v>
      </c>
      <c r="C55" s="12">
        <v>180.761</v>
      </c>
      <c r="D55" s="12">
        <v>279.03199999999998</v>
      </c>
      <c r="E55" s="12">
        <v>428.34399999999999</v>
      </c>
      <c r="F55" s="12">
        <v>440.84500000000003</v>
      </c>
      <c r="G55" s="12">
        <v>389.673</v>
      </c>
    </row>
    <row r="56" spans="1:7" x14ac:dyDescent="0.3">
      <c r="A56" s="11" t="s">
        <v>169</v>
      </c>
      <c r="B56" s="11" t="s">
        <v>227</v>
      </c>
      <c r="C56" s="12">
        <v>148.24299999999999</v>
      </c>
      <c r="D56" s="12">
        <v>136.876</v>
      </c>
      <c r="E56" s="12">
        <v>45.396000000000001</v>
      </c>
      <c r="F56" s="12">
        <v>41.075000000000003</v>
      </c>
      <c r="G56" s="12">
        <v>38.341000000000001</v>
      </c>
    </row>
    <row r="57" spans="1:7" x14ac:dyDescent="0.3">
      <c r="A57" s="11" t="s">
        <v>171</v>
      </c>
      <c r="B57" s="11" t="s">
        <v>228</v>
      </c>
      <c r="C57" s="12">
        <v>-38.567</v>
      </c>
      <c r="D57" s="12">
        <v>-14.241</v>
      </c>
      <c r="E57" s="12">
        <v>75.510000000000005</v>
      </c>
      <c r="F57" s="12">
        <v>-4.4870000000000001</v>
      </c>
      <c r="G57" s="12">
        <v>3.246</v>
      </c>
    </row>
    <row r="58" spans="1:7" x14ac:dyDescent="0.3">
      <c r="A58" s="11" t="s">
        <v>173</v>
      </c>
      <c r="B58" s="11" t="s">
        <v>229</v>
      </c>
      <c r="C58" s="12">
        <v>-24.803999999999998</v>
      </c>
      <c r="D58" s="12">
        <v>-36.082000000000001</v>
      </c>
      <c r="E58" s="12">
        <v>-115.515</v>
      </c>
      <c r="F58" s="12">
        <v>-331.31</v>
      </c>
      <c r="G58" s="12">
        <v>-365.81700000000001</v>
      </c>
    </row>
    <row r="59" spans="1:7" x14ac:dyDescent="0.3">
      <c r="A59" s="11" t="s">
        <v>230</v>
      </c>
      <c r="B59" s="11" t="s">
        <v>231</v>
      </c>
      <c r="C59" s="12" t="s">
        <v>43</v>
      </c>
      <c r="D59" s="12" t="s">
        <v>43</v>
      </c>
      <c r="E59" s="12" t="s">
        <v>43</v>
      </c>
      <c r="F59" s="12">
        <v>-125.65600000000001</v>
      </c>
      <c r="G59" s="12" t="s">
        <v>43</v>
      </c>
    </row>
    <row r="60" spans="1:7" x14ac:dyDescent="0.3">
      <c r="A60" s="11" t="s">
        <v>190</v>
      </c>
      <c r="B60" s="11" t="s">
        <v>232</v>
      </c>
      <c r="C60" s="23" t="s">
        <v>43</v>
      </c>
      <c r="D60" s="23" t="s">
        <v>43</v>
      </c>
      <c r="E60" s="23">
        <v>-2.96</v>
      </c>
      <c r="F60" s="23">
        <v>0.27</v>
      </c>
      <c r="G60" s="23">
        <v>0.77</v>
      </c>
    </row>
    <row r="61" spans="1:7" x14ac:dyDescent="0.3">
      <c r="A61" s="11" t="s">
        <v>192</v>
      </c>
      <c r="B61" s="11" t="s">
        <v>233</v>
      </c>
      <c r="C61" s="12">
        <v>477.26488799999998</v>
      </c>
      <c r="D61" s="12">
        <v>532.70579599999996</v>
      </c>
      <c r="E61" s="12">
        <v>558.11990000000003</v>
      </c>
      <c r="F61" s="12">
        <v>566.61279999999999</v>
      </c>
      <c r="G61" s="12">
        <v>574.96630000000005</v>
      </c>
    </row>
    <row r="62" spans="1:7" x14ac:dyDescent="0.3">
      <c r="A62" s="11" t="s">
        <v>194</v>
      </c>
      <c r="B62" s="11" t="s">
        <v>234</v>
      </c>
      <c r="C62" s="23" t="s">
        <v>43</v>
      </c>
      <c r="D62" s="23" t="s">
        <v>43</v>
      </c>
      <c r="E62" s="23">
        <v>-2.96</v>
      </c>
      <c r="F62" s="23">
        <v>0.25</v>
      </c>
      <c r="G62" s="23">
        <v>0.74</v>
      </c>
    </row>
    <row r="63" spans="1:7" x14ac:dyDescent="0.3">
      <c r="A63" s="11" t="s">
        <v>196</v>
      </c>
      <c r="B63" s="11" t="s">
        <v>235</v>
      </c>
      <c r="C63" s="12">
        <v>477.26488799999998</v>
      </c>
      <c r="D63" s="12">
        <v>532.70579599999996</v>
      </c>
      <c r="E63" s="12">
        <v>558.11990000000003</v>
      </c>
      <c r="F63" s="12">
        <v>594.40560000000005</v>
      </c>
      <c r="G63" s="12">
        <v>604.71400000000006</v>
      </c>
    </row>
    <row r="64" spans="1:7" x14ac:dyDescent="0.3">
      <c r="A64" s="11" t="s">
        <v>236</v>
      </c>
      <c r="B64" s="11" t="s">
        <v>237</v>
      </c>
      <c r="C64" s="12">
        <v>79.724000000000004</v>
      </c>
      <c r="D64" s="12">
        <v>153.59700000000001</v>
      </c>
      <c r="E64" s="12">
        <v>281.86599999999999</v>
      </c>
      <c r="F64" s="12">
        <v>318.673</v>
      </c>
      <c r="G64" s="12" t="s">
        <v>43</v>
      </c>
    </row>
    <row r="65" spans="1:7" x14ac:dyDescent="0.3">
      <c r="A65" s="11" t="s">
        <v>238</v>
      </c>
      <c r="B65" s="11" t="s">
        <v>239</v>
      </c>
      <c r="C65" s="12">
        <v>277.88200000000001</v>
      </c>
      <c r="D65" s="12">
        <v>470.32400000000001</v>
      </c>
      <c r="E65" s="12">
        <v>705.89599999999996</v>
      </c>
      <c r="F65" s="12">
        <v>685.03</v>
      </c>
      <c r="G65" s="12">
        <v>715.83900000000006</v>
      </c>
    </row>
    <row r="66" spans="1:7" x14ac:dyDescent="0.3">
      <c r="A66" s="11" t="s">
        <v>198</v>
      </c>
      <c r="B66" s="11" t="s">
        <v>240</v>
      </c>
      <c r="C66" s="23">
        <v>-3.39</v>
      </c>
      <c r="D66" s="23">
        <v>-3.84</v>
      </c>
      <c r="E66" s="23" t="s">
        <v>43</v>
      </c>
      <c r="F66" s="23" t="s">
        <v>43</v>
      </c>
      <c r="G66" s="23" t="s">
        <v>43</v>
      </c>
    </row>
    <row r="67" spans="1:7" x14ac:dyDescent="0.3">
      <c r="A67" s="11" t="s">
        <v>200</v>
      </c>
      <c r="B67" s="11" t="s">
        <v>241</v>
      </c>
      <c r="C67" s="12">
        <v>477.26490000000001</v>
      </c>
      <c r="D67" s="12">
        <v>532.70579999999995</v>
      </c>
      <c r="E67" s="12" t="s">
        <v>43</v>
      </c>
      <c r="F67" s="12" t="s">
        <v>43</v>
      </c>
      <c r="G67" s="12" t="s">
        <v>43</v>
      </c>
    </row>
    <row r="68" spans="1:7" x14ac:dyDescent="0.3">
      <c r="A68" s="11" t="s">
        <v>242</v>
      </c>
      <c r="B68" s="11" t="s">
        <v>243</v>
      </c>
      <c r="C68" s="12">
        <v>11.694000000000001</v>
      </c>
      <c r="D68" s="12">
        <v>18.350000000000001</v>
      </c>
      <c r="E68" s="12">
        <v>23.417000000000002</v>
      </c>
      <c r="F68" s="12">
        <v>28.609000000000002</v>
      </c>
      <c r="G68" s="12" t="s">
        <v>43</v>
      </c>
    </row>
    <row r="69" spans="1:7" x14ac:dyDescent="0.3">
      <c r="A69" s="11" t="s">
        <v>179</v>
      </c>
      <c r="B69" s="11" t="s">
        <v>244</v>
      </c>
      <c r="C69" s="12">
        <v>24.4</v>
      </c>
      <c r="D69" s="12">
        <v>2.069</v>
      </c>
      <c r="E69" s="12">
        <v>-199.697</v>
      </c>
      <c r="F69" s="12">
        <v>-38.549999999999997</v>
      </c>
      <c r="G69" s="12">
        <v>-42.621000000000002</v>
      </c>
    </row>
    <row r="70" spans="1:7" x14ac:dyDescent="0.3">
      <c r="A70" s="11" t="s">
        <v>158</v>
      </c>
      <c r="B70" s="11" t="s">
        <v>245</v>
      </c>
      <c r="C70" s="12" t="s">
        <v>43</v>
      </c>
      <c r="D70" s="12" t="s">
        <v>43</v>
      </c>
      <c r="E70" s="12">
        <v>354.94299999999998</v>
      </c>
      <c r="F70" s="12">
        <v>42.695999999999998</v>
      </c>
      <c r="G70" s="12" t="s">
        <v>43</v>
      </c>
    </row>
    <row r="71" spans="1:7" x14ac:dyDescent="0.3">
      <c r="A71" s="11" t="s">
        <v>181</v>
      </c>
      <c r="B71" s="11" t="s">
        <v>246</v>
      </c>
      <c r="C71" s="12">
        <v>17.82</v>
      </c>
      <c r="D71" s="12">
        <v>43.502000000000002</v>
      </c>
      <c r="E71" s="12">
        <v>207.33099999999999</v>
      </c>
      <c r="F71" s="12">
        <v>125.65600000000001</v>
      </c>
      <c r="G71" s="12">
        <v>250.22</v>
      </c>
    </row>
    <row r="72" spans="1:7" x14ac:dyDescent="0.3">
      <c r="A72" s="11" t="s">
        <v>247</v>
      </c>
      <c r="B72" s="11" t="s">
        <v>248</v>
      </c>
      <c r="C72" s="12">
        <v>-62.115000000000002</v>
      </c>
      <c r="D72" s="12" t="s">
        <v>43</v>
      </c>
      <c r="E72" s="12" t="s">
        <v>43</v>
      </c>
      <c r="F72" s="12" t="s">
        <v>43</v>
      </c>
      <c r="G72" s="12" t="s">
        <v>43</v>
      </c>
    </row>
    <row r="73" spans="1:7" x14ac:dyDescent="0.3">
      <c r="A73" s="11" t="s">
        <v>249</v>
      </c>
      <c r="B73" s="11" t="s">
        <v>250</v>
      </c>
      <c r="C73" s="12">
        <v>169.09100000000001</v>
      </c>
      <c r="D73" s="12">
        <v>333.84</v>
      </c>
      <c r="E73" s="12">
        <v>308.94799999999998</v>
      </c>
      <c r="F73" s="12">
        <v>357.23099999999999</v>
      </c>
      <c r="G73" s="12">
        <v>321.2</v>
      </c>
    </row>
    <row r="74" spans="1:7" x14ac:dyDescent="0.3">
      <c r="A74" s="11" t="s">
        <v>251</v>
      </c>
      <c r="B74" s="11" t="s">
        <v>252</v>
      </c>
      <c r="C74" s="12">
        <v>-27.451000000000001</v>
      </c>
      <c r="D74" s="12">
        <v>-0.97499999999999998</v>
      </c>
      <c r="E74" s="12">
        <v>-140.553</v>
      </c>
      <c r="F74" s="12">
        <v>-94.551000000000002</v>
      </c>
      <c r="G74" s="12">
        <v>0</v>
      </c>
    </row>
    <row r="75" spans="1:7" x14ac:dyDescent="0.3">
      <c r="A75" s="11" t="s">
        <v>253</v>
      </c>
      <c r="B75" s="11" t="s">
        <v>254</v>
      </c>
      <c r="C75" s="12">
        <v>-1618.056</v>
      </c>
      <c r="D75" s="12">
        <v>-1462.799</v>
      </c>
      <c r="E75" s="12" t="s">
        <v>43</v>
      </c>
      <c r="F75" s="12" t="s">
        <v>43</v>
      </c>
      <c r="G75" s="12" t="s">
        <v>43</v>
      </c>
    </row>
    <row r="76" spans="1:7" x14ac:dyDescent="0.3">
      <c r="A76" s="11" t="s">
        <v>183</v>
      </c>
      <c r="B76" s="11" t="s">
        <v>255</v>
      </c>
      <c r="C76" s="12">
        <v>-8.6999999999999994E-2</v>
      </c>
      <c r="D76" s="12" t="s">
        <v>43</v>
      </c>
      <c r="E76" s="12" t="s">
        <v>43</v>
      </c>
      <c r="F76" s="12" t="s">
        <v>43</v>
      </c>
      <c r="G76" s="12" t="s">
        <v>43</v>
      </c>
    </row>
    <row r="77" spans="1:7" x14ac:dyDescent="0.3">
      <c r="A77" s="11" t="s">
        <v>256</v>
      </c>
      <c r="B77" s="11" t="s">
        <v>257</v>
      </c>
      <c r="C77" s="12">
        <v>-1333.8240000000001</v>
      </c>
      <c r="D77" s="12" t="s">
        <v>43</v>
      </c>
      <c r="E77" s="12" t="s">
        <v>43</v>
      </c>
      <c r="F77" s="12" t="s">
        <v>43</v>
      </c>
      <c r="G77" s="12" t="s">
        <v>43</v>
      </c>
    </row>
    <row r="78" spans="1:7" x14ac:dyDescent="0.3">
      <c r="A78" s="11" t="s">
        <v>258</v>
      </c>
      <c r="B78" s="11" t="s">
        <v>259</v>
      </c>
      <c r="C78" s="12" t="s">
        <v>43</v>
      </c>
      <c r="D78" s="12" t="s">
        <v>43</v>
      </c>
      <c r="E78" s="12" t="s">
        <v>43</v>
      </c>
      <c r="F78" s="12" t="s">
        <v>43</v>
      </c>
      <c r="G78" s="12" t="s">
        <v>43</v>
      </c>
    </row>
    <row r="79" spans="1:7" x14ac:dyDescent="0.3">
      <c r="A79" s="11" t="s">
        <v>260</v>
      </c>
      <c r="B79" s="11" t="s">
        <v>261</v>
      </c>
      <c r="C79" s="12">
        <v>3.1240000000000001</v>
      </c>
      <c r="D79" s="12">
        <v>5.1879999999999997</v>
      </c>
      <c r="E79" s="12">
        <v>6.008</v>
      </c>
      <c r="F79" s="12">
        <v>6.9009999999999998</v>
      </c>
      <c r="G79" s="12" t="s">
        <v>43</v>
      </c>
    </row>
    <row r="80" spans="1:7" x14ac:dyDescent="0.3">
      <c r="A80" s="11" t="s">
        <v>262</v>
      </c>
      <c r="B80" s="11" t="s">
        <v>263</v>
      </c>
      <c r="C80" s="12">
        <v>3.55</v>
      </c>
      <c r="D80" s="12" t="s">
        <v>43</v>
      </c>
      <c r="E80" s="12" t="s">
        <v>43</v>
      </c>
      <c r="F80" s="12" t="s">
        <v>43</v>
      </c>
      <c r="G80" s="12" t="s">
        <v>43</v>
      </c>
    </row>
    <row r="81" spans="1:7" x14ac:dyDescent="0.3">
      <c r="A81" s="11" t="s">
        <v>264</v>
      </c>
      <c r="B81" s="11" t="s">
        <v>265</v>
      </c>
      <c r="C81" s="12" t="s">
        <v>43</v>
      </c>
      <c r="D81" s="12" t="s">
        <v>43</v>
      </c>
      <c r="E81" s="12" t="s">
        <v>43</v>
      </c>
      <c r="F81" s="12" t="s">
        <v>43</v>
      </c>
      <c r="G81" s="12" t="s">
        <v>43</v>
      </c>
    </row>
    <row r="82" spans="1:7" x14ac:dyDescent="0.3">
      <c r="A82" s="11" t="s">
        <v>266</v>
      </c>
      <c r="B82" s="11" t="s">
        <v>267</v>
      </c>
      <c r="C82" s="12">
        <v>2.7</v>
      </c>
      <c r="D82" s="12">
        <v>4.5049999999999999</v>
      </c>
      <c r="E82" s="12">
        <v>4.4139999999999997</v>
      </c>
      <c r="F82" s="12">
        <v>5</v>
      </c>
      <c r="G82" s="12" t="s">
        <v>43</v>
      </c>
    </row>
    <row r="83" spans="1:7" x14ac:dyDescent="0.3">
      <c r="A83" s="11" t="s">
        <v>268</v>
      </c>
      <c r="B83" s="11" t="s">
        <v>269</v>
      </c>
      <c r="C83" s="12">
        <v>0.42399999999999999</v>
      </c>
      <c r="D83" s="12">
        <v>0.68300000000000005</v>
      </c>
      <c r="E83" s="12">
        <v>1.5940000000000001</v>
      </c>
      <c r="F83" s="12">
        <v>1.901</v>
      </c>
      <c r="G83" s="12" t="s">
        <v>43</v>
      </c>
    </row>
    <row r="84" spans="1:7" x14ac:dyDescent="0.3">
      <c r="A84" s="11" t="s">
        <v>270</v>
      </c>
      <c r="B84" s="11" t="s">
        <v>271</v>
      </c>
      <c r="C84" s="12">
        <v>5.7130000000000001</v>
      </c>
      <c r="D84" s="12" t="s">
        <v>43</v>
      </c>
      <c r="E84" s="12" t="s">
        <v>43</v>
      </c>
      <c r="F84" s="12" t="s">
        <v>43</v>
      </c>
      <c r="G84" s="12" t="s">
        <v>43</v>
      </c>
    </row>
    <row r="85" spans="1:7" x14ac:dyDescent="0.3">
      <c r="A85" s="11" t="s">
        <v>272</v>
      </c>
      <c r="B85" s="11" t="s">
        <v>273</v>
      </c>
      <c r="C85" s="23" t="s">
        <v>43</v>
      </c>
      <c r="D85" s="23" t="s">
        <v>43</v>
      </c>
      <c r="E85" s="23" t="s">
        <v>43</v>
      </c>
      <c r="F85" s="23" t="s">
        <v>43</v>
      </c>
      <c r="G85" s="23" t="s">
        <v>43</v>
      </c>
    </row>
    <row r="86" spans="1:7" x14ac:dyDescent="0.3">
      <c r="A86" s="11" t="s">
        <v>274</v>
      </c>
      <c r="B86" s="11" t="s">
        <v>275</v>
      </c>
      <c r="C86" s="12" t="s">
        <v>43</v>
      </c>
      <c r="D86" s="12" t="s">
        <v>43</v>
      </c>
      <c r="E86" s="12">
        <v>354.94299999999998</v>
      </c>
      <c r="F86" s="12">
        <v>42.695999999999998</v>
      </c>
      <c r="G86" s="12" t="s">
        <v>43</v>
      </c>
    </row>
    <row r="87" spans="1:7" x14ac:dyDescent="0.3">
      <c r="A87" s="11" t="s">
        <v>276</v>
      </c>
      <c r="B87" s="11" t="s">
        <v>277</v>
      </c>
      <c r="C87" s="12">
        <v>46.220999999999997</v>
      </c>
      <c r="D87" s="12">
        <v>149.739</v>
      </c>
      <c r="E87" s="12">
        <v>283.358</v>
      </c>
      <c r="F87" s="12">
        <v>282.56599999999997</v>
      </c>
      <c r="G87" s="12" t="s">
        <v>43</v>
      </c>
    </row>
    <row r="88" spans="1:7" x14ac:dyDescent="0.3">
      <c r="A88" s="11" t="s">
        <v>278</v>
      </c>
      <c r="B88" s="11" t="s">
        <v>279</v>
      </c>
      <c r="C88" s="12">
        <v>4.5149999999999997</v>
      </c>
      <c r="D88" s="12">
        <v>12.097</v>
      </c>
      <c r="E88" s="12">
        <v>9.1760000000000002</v>
      </c>
      <c r="F88" s="12">
        <v>13.11</v>
      </c>
      <c r="G88" s="12" t="s">
        <v>43</v>
      </c>
    </row>
    <row r="89" spans="1:7" x14ac:dyDescent="0.3">
      <c r="A89" s="11" t="s">
        <v>280</v>
      </c>
      <c r="B89" s="11" t="s">
        <v>281</v>
      </c>
      <c r="C89" s="12" t="s">
        <v>43</v>
      </c>
      <c r="D89" s="12" t="s">
        <v>43</v>
      </c>
      <c r="E89" s="12" t="s">
        <v>43</v>
      </c>
      <c r="F89" s="12" t="s">
        <v>43</v>
      </c>
      <c r="G89" s="12" t="s">
        <v>43</v>
      </c>
    </row>
    <row r="90" spans="1:7" x14ac:dyDescent="0.3">
      <c r="A90" s="11" t="s">
        <v>282</v>
      </c>
      <c r="B90" s="11" t="s">
        <v>283</v>
      </c>
      <c r="C90" s="23">
        <v>101.1</v>
      </c>
      <c r="D90" s="23">
        <v>127.5</v>
      </c>
      <c r="E90" s="23">
        <v>25.1</v>
      </c>
      <c r="F90" s="23">
        <v>4.9000000000000004</v>
      </c>
      <c r="G90" s="23">
        <v>28.8</v>
      </c>
    </row>
    <row r="91" spans="1:7" x14ac:dyDescent="0.3">
      <c r="A91" s="11" t="s">
        <v>284</v>
      </c>
      <c r="B91" s="11" t="s">
        <v>285</v>
      </c>
      <c r="C91" s="12">
        <v>216.977</v>
      </c>
      <c r="D91" s="12">
        <v>278.28300000000002</v>
      </c>
      <c r="E91" s="12">
        <v>378.31200000000001</v>
      </c>
      <c r="F91" s="12">
        <v>352.65600000000001</v>
      </c>
      <c r="G91" s="12" t="s">
        <v>43</v>
      </c>
    </row>
    <row r="92" spans="1:7" x14ac:dyDescent="0.3">
      <c r="A92" s="11" t="s">
        <v>286</v>
      </c>
      <c r="B92" s="11" t="s">
        <v>287</v>
      </c>
      <c r="C92" s="12">
        <v>10.169</v>
      </c>
      <c r="D92" s="12">
        <v>30.204999999999998</v>
      </c>
      <c r="E92" s="12">
        <v>35.049999999999997</v>
      </c>
      <c r="F92" s="12">
        <v>36.698</v>
      </c>
      <c r="G92" s="12" t="s">
        <v>43</v>
      </c>
    </row>
    <row r="93" spans="1:7" x14ac:dyDescent="0.3">
      <c r="A93" s="11" t="s">
        <v>288</v>
      </c>
      <c r="B93" s="11" t="s">
        <v>289</v>
      </c>
      <c r="C93" s="12">
        <v>290.24599999999998</v>
      </c>
      <c r="D93" s="12">
        <v>470.32400000000001</v>
      </c>
      <c r="E93" s="12">
        <v>705.89599999999996</v>
      </c>
      <c r="F93" s="12">
        <v>685.03</v>
      </c>
      <c r="G93" s="12" t="s">
        <v>43</v>
      </c>
    </row>
    <row r="94" spans="1:7" x14ac:dyDescent="0.3">
      <c r="A94" s="11" t="s">
        <v>290</v>
      </c>
      <c r="B94" s="11" t="s">
        <v>291</v>
      </c>
      <c r="C94" s="12">
        <v>106.985</v>
      </c>
      <c r="D94" s="12">
        <v>-593.59500000000003</v>
      </c>
      <c r="E94" s="12">
        <v>-878.13400000000001</v>
      </c>
      <c r="F94" s="12">
        <v>1179.182</v>
      </c>
      <c r="G94" s="12">
        <v>1961.88</v>
      </c>
    </row>
    <row r="95" spans="1:7" x14ac:dyDescent="0.3">
      <c r="A95" s="25" t="s">
        <v>125</v>
      </c>
      <c r="B95" s="25"/>
      <c r="C95" s="25" t="s">
        <v>126</v>
      </c>
      <c r="D95" s="25"/>
      <c r="E95" s="25"/>
      <c r="F95" s="25"/>
      <c r="G95"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46DF-7E21-4A90-A29C-AACFFBAF887B}">
  <sheetPr>
    <pageSetUpPr autoPageBreaks="0"/>
  </sheetPr>
  <dimension ref="A1:G175"/>
  <sheetViews>
    <sheetView workbookViewId="0">
      <selection sqref="A1:XFD1"/>
    </sheetView>
  </sheetViews>
  <sheetFormatPr defaultRowHeight="14.4" x14ac:dyDescent="0.3"/>
  <cols>
    <col min="1" max="1" width="35.109375" customWidth="1"/>
    <col min="2" max="2" width="0" hidden="1" customWidth="1"/>
    <col min="3" max="7" width="11.88671875" customWidth="1"/>
  </cols>
  <sheetData>
    <row r="1" spans="1:7" ht="21" x14ac:dyDescent="0.3">
      <c r="A1" s="2" t="s">
        <v>128</v>
      </c>
      <c r="B1" s="2"/>
      <c r="C1" s="2"/>
      <c r="D1" s="2"/>
      <c r="E1" s="2"/>
      <c r="F1" s="2"/>
      <c r="G1" s="2"/>
    </row>
    <row r="2" spans="1:7" x14ac:dyDescent="0.3">
      <c r="A2" s="3"/>
      <c r="B2" s="3"/>
      <c r="C2" s="3"/>
      <c r="D2" s="3"/>
      <c r="E2" s="3"/>
      <c r="F2" s="3"/>
      <c r="G2" s="3"/>
    </row>
    <row r="3" spans="1:7" x14ac:dyDescent="0.3">
      <c r="A3" s="4" t="s">
        <v>0</v>
      </c>
      <c r="B3" s="4"/>
      <c r="C3" s="5" t="s">
        <v>129</v>
      </c>
      <c r="D3" s="5" t="s">
        <v>130</v>
      </c>
      <c r="E3" s="5" t="s">
        <v>127</v>
      </c>
      <c r="F3" s="5" t="s">
        <v>1</v>
      </c>
      <c r="G3" s="5" t="s">
        <v>2</v>
      </c>
    </row>
    <row r="4" spans="1:7" x14ac:dyDescent="0.3">
      <c r="A4" s="6" t="s">
        <v>6</v>
      </c>
      <c r="B4" s="6"/>
      <c r="C4" s="7" t="s">
        <v>131</v>
      </c>
      <c r="D4" s="7" t="s">
        <v>132</v>
      </c>
      <c r="E4" s="7" t="s">
        <v>133</v>
      </c>
      <c r="F4" s="7" t="s">
        <v>7</v>
      </c>
      <c r="G4" s="7" t="s">
        <v>8</v>
      </c>
    </row>
    <row r="5" spans="1:7" x14ac:dyDescent="0.3">
      <c r="A5" s="8" t="s">
        <v>295</v>
      </c>
      <c r="B5" s="17"/>
      <c r="C5" s="17"/>
      <c r="D5" s="17"/>
      <c r="E5" s="17"/>
      <c r="F5" s="17"/>
      <c r="G5" s="17"/>
    </row>
    <row r="6" spans="1:7" x14ac:dyDescent="0.3">
      <c r="A6" s="11" t="s">
        <v>296</v>
      </c>
      <c r="B6" s="21"/>
      <c r="C6" s="21"/>
      <c r="D6" s="21"/>
      <c r="E6" s="21"/>
      <c r="F6" s="21"/>
      <c r="G6" s="21"/>
    </row>
    <row r="7" spans="1:7" x14ac:dyDescent="0.3">
      <c r="A7" s="11" t="s">
        <v>297</v>
      </c>
      <c r="B7" s="11" t="s">
        <v>298</v>
      </c>
      <c r="C7" s="12">
        <v>6166.88</v>
      </c>
      <c r="D7" s="12">
        <v>9247.7620000000006</v>
      </c>
      <c r="E7" s="12">
        <v>6029.8590000000004</v>
      </c>
      <c r="F7" s="12">
        <v>2811.056</v>
      </c>
      <c r="G7" s="12">
        <v>2405.1529999999998</v>
      </c>
    </row>
    <row r="8" spans="1:7" x14ac:dyDescent="0.3">
      <c r="A8" s="11" t="s">
        <v>299</v>
      </c>
      <c r="B8" s="11" t="s">
        <v>300</v>
      </c>
      <c r="C8" s="12">
        <v>362.99900000000002</v>
      </c>
      <c r="D8" s="12">
        <v>388.30799999999999</v>
      </c>
      <c r="E8" s="12">
        <v>268.81400000000002</v>
      </c>
      <c r="F8" s="12">
        <v>262.71600000000001</v>
      </c>
      <c r="G8" s="12">
        <v>306.65699999999998</v>
      </c>
    </row>
    <row r="9" spans="1:7" x14ac:dyDescent="0.3">
      <c r="A9" s="11" t="s">
        <v>301</v>
      </c>
      <c r="B9" s="11" t="s">
        <v>302</v>
      </c>
      <c r="C9" s="12">
        <v>64.218999999999994</v>
      </c>
      <c r="D9" s="12">
        <v>117.499</v>
      </c>
      <c r="E9" s="12">
        <v>109.66800000000001</v>
      </c>
      <c r="F9" s="12">
        <v>125.395</v>
      </c>
      <c r="G9" s="12">
        <v>143.24600000000001</v>
      </c>
    </row>
    <row r="10" spans="1:7" x14ac:dyDescent="0.3">
      <c r="A10" s="11" t="s">
        <v>303</v>
      </c>
      <c r="B10" s="11" t="s">
        <v>304</v>
      </c>
      <c r="C10" s="12">
        <v>1054.229</v>
      </c>
      <c r="D10" s="12">
        <v>1401.8630000000001</v>
      </c>
      <c r="E10" s="12">
        <v>1798.6510000000001</v>
      </c>
      <c r="F10" s="12">
        <v>1861.8420000000001</v>
      </c>
      <c r="G10" s="12">
        <v>1661.373</v>
      </c>
    </row>
    <row r="11" spans="1:7" x14ac:dyDescent="0.3">
      <c r="A11" s="11" t="s">
        <v>305</v>
      </c>
      <c r="B11" s="11" t="s">
        <v>306</v>
      </c>
      <c r="C11" s="12">
        <v>859.19200000000001</v>
      </c>
      <c r="D11" s="12">
        <v>1551.635</v>
      </c>
      <c r="E11" s="12">
        <v>1549.5740000000001</v>
      </c>
      <c r="F11" s="12">
        <v>1410.365</v>
      </c>
      <c r="G11" s="12">
        <v>1655.171</v>
      </c>
    </row>
    <row r="12" spans="1:7" x14ac:dyDescent="0.3">
      <c r="A12" s="11" t="s">
        <v>307</v>
      </c>
      <c r="B12" s="11" t="s">
        <v>308</v>
      </c>
      <c r="C12" s="12" t="s">
        <v>43</v>
      </c>
      <c r="D12" s="12">
        <v>5.7720000000000002</v>
      </c>
      <c r="E12" s="12">
        <v>12.818</v>
      </c>
      <c r="F12" s="12">
        <v>28.053000000000001</v>
      </c>
      <c r="G12" s="12">
        <v>5.0890000000000004</v>
      </c>
    </row>
    <row r="13" spans="1:7" x14ac:dyDescent="0.3">
      <c r="A13" s="11" t="s">
        <v>309</v>
      </c>
      <c r="B13" s="11" t="s">
        <v>310</v>
      </c>
      <c r="C13" s="12">
        <v>126.099</v>
      </c>
      <c r="D13" s="12">
        <v>911.28099999999995</v>
      </c>
      <c r="E13" s="12">
        <v>864.25800000000004</v>
      </c>
      <c r="F13" s="12">
        <v>2547.6439999999998</v>
      </c>
      <c r="G13" s="12">
        <v>6215.4229999999998</v>
      </c>
    </row>
    <row r="14" spans="1:7" x14ac:dyDescent="0.3">
      <c r="A14" s="11" t="s">
        <v>311</v>
      </c>
      <c r="B14" s="11" t="s">
        <v>312</v>
      </c>
      <c r="C14" s="12">
        <v>19.449000000000002</v>
      </c>
      <c r="D14" s="12">
        <v>16.094999999999999</v>
      </c>
      <c r="E14" s="12">
        <v>13.420999999999999</v>
      </c>
      <c r="F14" s="12">
        <v>290.25400000000002</v>
      </c>
      <c r="G14" s="12">
        <v>418.43</v>
      </c>
    </row>
    <row r="15" spans="1:7" x14ac:dyDescent="0.3">
      <c r="A15" s="11" t="s">
        <v>313</v>
      </c>
      <c r="B15" s="11" t="s">
        <v>314</v>
      </c>
      <c r="C15" s="12">
        <v>285.93700000000001</v>
      </c>
      <c r="D15" s="12">
        <v>1500.954</v>
      </c>
      <c r="E15" s="12">
        <v>2053.7669999999998</v>
      </c>
      <c r="F15" s="12">
        <v>2464.6619999999998</v>
      </c>
      <c r="G15" s="12">
        <v>4052.2150000000001</v>
      </c>
    </row>
    <row r="16" spans="1:7" x14ac:dyDescent="0.3">
      <c r="A16" s="8" t="s">
        <v>315</v>
      </c>
      <c r="B16" s="8" t="s">
        <v>316</v>
      </c>
      <c r="C16" s="9">
        <v>8939.0040000000008</v>
      </c>
      <c r="D16" s="9">
        <v>15135.397000000001</v>
      </c>
      <c r="E16" s="9">
        <v>12688.012000000001</v>
      </c>
      <c r="F16" s="9">
        <v>11773.933999999999</v>
      </c>
      <c r="G16" s="9">
        <v>16857.668000000001</v>
      </c>
    </row>
    <row r="17" spans="1:7" x14ac:dyDescent="0.3">
      <c r="A17" s="11" t="s">
        <v>317</v>
      </c>
      <c r="B17" s="21"/>
      <c r="C17" s="21"/>
      <c r="D17" s="21"/>
      <c r="E17" s="21"/>
      <c r="F17" s="21"/>
      <c r="G17" s="21"/>
    </row>
    <row r="18" spans="1:7" x14ac:dyDescent="0.3">
      <c r="A18" s="11" t="s">
        <v>318</v>
      </c>
      <c r="B18" s="11" t="s">
        <v>319</v>
      </c>
      <c r="C18" s="12">
        <v>190.482</v>
      </c>
      <c r="D18" s="12">
        <v>1052.8610000000001</v>
      </c>
      <c r="E18" s="12">
        <v>1253.5930000000001</v>
      </c>
      <c r="F18" s="12">
        <v>4262.5619999999999</v>
      </c>
      <c r="G18" s="12">
        <v>2694.3049999999998</v>
      </c>
    </row>
    <row r="19" spans="1:7" x14ac:dyDescent="0.3">
      <c r="A19" s="11" t="s">
        <v>320</v>
      </c>
      <c r="B19" s="11" t="s">
        <v>321</v>
      </c>
      <c r="C19" s="12">
        <v>386.40100000000001</v>
      </c>
      <c r="D19" s="12">
        <v>1029.963</v>
      </c>
      <c r="E19" s="12">
        <v>1387.895</v>
      </c>
      <c r="F19" s="12">
        <v>1207.6980000000001</v>
      </c>
      <c r="G19" s="12">
        <v>1097.6990000000001</v>
      </c>
    </row>
    <row r="20" spans="1:7" x14ac:dyDescent="0.3">
      <c r="A20" s="11" t="s">
        <v>870</v>
      </c>
      <c r="B20" s="11"/>
      <c r="C20" s="12">
        <v>234.55500000000001</v>
      </c>
      <c r="D20" s="12">
        <v>649.67999999999995</v>
      </c>
      <c r="E20" s="12">
        <v>957.84</v>
      </c>
      <c r="F20" s="12">
        <v>1015.982</v>
      </c>
      <c r="G20" s="12">
        <v>1054.7850000000001</v>
      </c>
    </row>
    <row r="21" spans="1:7" x14ac:dyDescent="0.3">
      <c r="A21" s="11" t="s">
        <v>322</v>
      </c>
      <c r="B21" s="11" t="s">
        <v>323</v>
      </c>
      <c r="C21" s="12">
        <v>99.903999999999996</v>
      </c>
      <c r="D21" s="12">
        <v>103.755</v>
      </c>
      <c r="E21" s="12">
        <v>245.226</v>
      </c>
      <c r="F21" s="12">
        <v>328.96100000000001</v>
      </c>
      <c r="G21" s="12">
        <v>517.38300000000004</v>
      </c>
    </row>
    <row r="22" spans="1:7" x14ac:dyDescent="0.3">
      <c r="A22" s="11" t="s">
        <v>324</v>
      </c>
      <c r="B22" s="11" t="s">
        <v>325</v>
      </c>
      <c r="C22" s="12">
        <v>39.773000000000003</v>
      </c>
      <c r="D22" s="12">
        <v>52.517000000000003</v>
      </c>
      <c r="E22" s="12">
        <v>65.019000000000005</v>
      </c>
      <c r="F22" s="12">
        <v>50.820999999999998</v>
      </c>
      <c r="G22" s="12">
        <v>27.31</v>
      </c>
    </row>
    <row r="23" spans="1:7" x14ac:dyDescent="0.3">
      <c r="A23" s="11" t="s">
        <v>326</v>
      </c>
      <c r="B23" s="11" t="s">
        <v>327</v>
      </c>
      <c r="C23" s="12">
        <v>216.27799999999999</v>
      </c>
      <c r="D23" s="12">
        <v>539.62400000000002</v>
      </c>
      <c r="E23" s="12">
        <v>230.208</v>
      </c>
      <c r="F23" s="12">
        <v>112.782</v>
      </c>
      <c r="G23" s="12">
        <v>107.625</v>
      </c>
    </row>
    <row r="24" spans="1:7" x14ac:dyDescent="0.3">
      <c r="A24" s="11" t="s">
        <v>328</v>
      </c>
      <c r="B24" s="11" t="s">
        <v>329</v>
      </c>
      <c r="C24" s="12">
        <v>27.321000000000002</v>
      </c>
      <c r="D24" s="12">
        <v>38.743000000000002</v>
      </c>
      <c r="E24" s="12">
        <v>17.724</v>
      </c>
      <c r="F24" s="12">
        <v>22.236000000000001</v>
      </c>
      <c r="G24" s="12">
        <v>21.260999999999999</v>
      </c>
    </row>
    <row r="25" spans="1:7" x14ac:dyDescent="0.3">
      <c r="A25" s="11" t="s">
        <v>330</v>
      </c>
      <c r="B25" s="11" t="s">
        <v>331</v>
      </c>
      <c r="C25" s="12">
        <v>117.149</v>
      </c>
      <c r="D25" s="12">
        <v>28.963999999999999</v>
      </c>
      <c r="E25" s="12">
        <v>21.663</v>
      </c>
      <c r="F25" s="12">
        <v>20.550999999999998</v>
      </c>
      <c r="G25" s="12">
        <v>108.59399999999999</v>
      </c>
    </row>
    <row r="26" spans="1:7" x14ac:dyDescent="0.3">
      <c r="A26" s="11" t="s">
        <v>332</v>
      </c>
      <c r="B26" s="11" t="s">
        <v>333</v>
      </c>
      <c r="C26" s="12">
        <v>204.804</v>
      </c>
      <c r="D26" s="12">
        <v>124.521</v>
      </c>
      <c r="E26" s="12">
        <v>135.61600000000001</v>
      </c>
      <c r="F26" s="12">
        <v>87.704999999999998</v>
      </c>
      <c r="G26" s="12">
        <v>138.839</v>
      </c>
    </row>
    <row r="27" spans="1:7" x14ac:dyDescent="0.3">
      <c r="A27" s="11" t="s">
        <v>334</v>
      </c>
      <c r="B27" s="11" t="s">
        <v>335</v>
      </c>
      <c r="C27" s="12">
        <v>1516.6669999999999</v>
      </c>
      <c r="D27" s="12">
        <v>3620.6280000000002</v>
      </c>
      <c r="E27" s="12">
        <v>4314.7839999999997</v>
      </c>
      <c r="F27" s="12">
        <v>7109.2979999999998</v>
      </c>
      <c r="G27" s="12">
        <v>5767.8010000000004</v>
      </c>
    </row>
    <row r="28" spans="1:7" x14ac:dyDescent="0.3">
      <c r="A28" s="8" t="s">
        <v>336</v>
      </c>
      <c r="B28" s="8" t="s">
        <v>337</v>
      </c>
      <c r="C28" s="9">
        <v>10455.671</v>
      </c>
      <c r="D28" s="9">
        <v>18756.025000000001</v>
      </c>
      <c r="E28" s="9">
        <v>17002.795999999998</v>
      </c>
      <c r="F28" s="9">
        <v>18883.232</v>
      </c>
      <c r="G28" s="9">
        <v>22625.469000000001</v>
      </c>
    </row>
    <row r="29" spans="1:7" x14ac:dyDescent="0.3">
      <c r="A29" s="11" t="s">
        <v>338</v>
      </c>
      <c r="B29" s="21"/>
      <c r="C29" s="21"/>
      <c r="D29" s="21"/>
      <c r="E29" s="21"/>
      <c r="F29" s="21"/>
      <c r="G29" s="21"/>
    </row>
    <row r="30" spans="1:7" x14ac:dyDescent="0.3">
      <c r="A30" s="11" t="s">
        <v>339</v>
      </c>
      <c r="B30" s="11" t="s">
        <v>340</v>
      </c>
      <c r="C30" s="12">
        <v>121.637</v>
      </c>
      <c r="D30" s="12">
        <v>213.58</v>
      </c>
      <c r="E30" s="12">
        <v>258.64800000000002</v>
      </c>
      <c r="F30" s="12">
        <v>342.54700000000003</v>
      </c>
      <c r="G30" s="12">
        <v>350.02100000000002</v>
      </c>
    </row>
    <row r="31" spans="1:7" x14ac:dyDescent="0.3">
      <c r="A31" s="11" t="s">
        <v>341</v>
      </c>
      <c r="B31" s="11" t="s">
        <v>342</v>
      </c>
      <c r="C31" s="12">
        <v>2033.461</v>
      </c>
      <c r="D31" s="12">
        <v>1519.9380000000001</v>
      </c>
      <c r="E31" s="12">
        <v>1396.6130000000001</v>
      </c>
      <c r="F31" s="12">
        <v>1834.807</v>
      </c>
      <c r="G31" s="12">
        <v>2380.3710000000001</v>
      </c>
    </row>
    <row r="32" spans="1:7" x14ac:dyDescent="0.3">
      <c r="A32" s="11" t="s">
        <v>343</v>
      </c>
      <c r="B32" s="11" t="s">
        <v>344</v>
      </c>
      <c r="C32" s="12">
        <v>2150.165</v>
      </c>
      <c r="D32" s="12">
        <v>2644.4630000000002</v>
      </c>
      <c r="E32" s="12">
        <v>1535.0830000000001</v>
      </c>
      <c r="F32" s="12">
        <v>1208.8920000000001</v>
      </c>
      <c r="G32" s="12">
        <v>1405.7850000000001</v>
      </c>
    </row>
    <row r="33" spans="1:7" x14ac:dyDescent="0.3">
      <c r="A33" s="11" t="s">
        <v>345</v>
      </c>
      <c r="B33" s="11" t="s">
        <v>346</v>
      </c>
      <c r="C33" s="12">
        <v>161.37899999999999</v>
      </c>
      <c r="D33" s="12">
        <v>2255.8229999999999</v>
      </c>
      <c r="E33" s="12">
        <v>3178.72</v>
      </c>
      <c r="F33" s="12">
        <v>3905.7629999999999</v>
      </c>
      <c r="G33" s="12">
        <v>5209.7870000000003</v>
      </c>
    </row>
    <row r="34" spans="1:7" x14ac:dyDescent="0.3">
      <c r="A34" s="11" t="s">
        <v>347</v>
      </c>
      <c r="B34" s="11" t="s">
        <v>348</v>
      </c>
      <c r="C34" s="12">
        <v>52.305999999999997</v>
      </c>
      <c r="D34" s="12">
        <v>181.4</v>
      </c>
      <c r="E34" s="12">
        <v>176.59800000000001</v>
      </c>
      <c r="F34" s="12">
        <v>223.63800000000001</v>
      </c>
      <c r="G34" s="12">
        <v>115.419</v>
      </c>
    </row>
    <row r="35" spans="1:7" x14ac:dyDescent="0.3">
      <c r="A35" s="11" t="s">
        <v>349</v>
      </c>
      <c r="B35" s="11" t="s">
        <v>350</v>
      </c>
      <c r="C35" s="12">
        <v>74.506</v>
      </c>
      <c r="D35" s="12">
        <v>186.494</v>
      </c>
      <c r="E35" s="12">
        <v>269.96800000000002</v>
      </c>
      <c r="F35" s="12">
        <v>290.78800000000001</v>
      </c>
      <c r="G35" s="12">
        <v>300.274</v>
      </c>
    </row>
    <row r="36" spans="1:7" x14ac:dyDescent="0.3">
      <c r="A36" s="11" t="s">
        <v>351</v>
      </c>
      <c r="B36" s="11" t="s">
        <v>352</v>
      </c>
      <c r="C36" s="12">
        <v>42.613</v>
      </c>
      <c r="D36" s="12">
        <v>74.738</v>
      </c>
      <c r="E36" s="12">
        <v>0.41499999999999998</v>
      </c>
      <c r="F36" s="12">
        <v>64.081000000000003</v>
      </c>
      <c r="G36" s="12">
        <v>255.89599999999999</v>
      </c>
    </row>
    <row r="37" spans="1:7" x14ac:dyDescent="0.3">
      <c r="A37" s="11" t="s">
        <v>353</v>
      </c>
      <c r="B37" s="11" t="s">
        <v>354</v>
      </c>
      <c r="C37" s="12">
        <v>0</v>
      </c>
      <c r="D37" s="12">
        <v>100</v>
      </c>
      <c r="E37" s="12">
        <v>88.41</v>
      </c>
      <c r="F37" s="12">
        <v>146.661</v>
      </c>
      <c r="G37" s="12">
        <v>130.61500000000001</v>
      </c>
    </row>
    <row r="38" spans="1:7" x14ac:dyDescent="0.3">
      <c r="A38" s="11" t="s">
        <v>355</v>
      </c>
      <c r="B38" s="11" t="s">
        <v>356</v>
      </c>
      <c r="C38" s="12">
        <v>0</v>
      </c>
      <c r="D38" s="12" t="s">
        <v>43</v>
      </c>
      <c r="E38" s="12" t="s">
        <v>43</v>
      </c>
      <c r="F38" s="12" t="s">
        <v>43</v>
      </c>
      <c r="G38" s="12" t="s">
        <v>43</v>
      </c>
    </row>
    <row r="39" spans="1:7" x14ac:dyDescent="0.3">
      <c r="A39" s="11" t="s">
        <v>357</v>
      </c>
      <c r="B39" s="11" t="s">
        <v>358</v>
      </c>
      <c r="C39" s="12">
        <v>0</v>
      </c>
      <c r="D39" s="12">
        <v>0</v>
      </c>
      <c r="E39" s="12">
        <v>31.236999999999998</v>
      </c>
      <c r="F39" s="12">
        <v>151.76400000000001</v>
      </c>
      <c r="G39" s="12">
        <v>1147.9839999999999</v>
      </c>
    </row>
    <row r="40" spans="1:7" x14ac:dyDescent="0.3">
      <c r="A40" s="8" t="s">
        <v>359</v>
      </c>
      <c r="B40" s="8" t="s">
        <v>360</v>
      </c>
      <c r="C40" s="9">
        <v>4636.067</v>
      </c>
      <c r="D40" s="9">
        <v>7176.4359999999997</v>
      </c>
      <c r="E40" s="9">
        <v>6935.692</v>
      </c>
      <c r="F40" s="9">
        <v>8168.9409999999998</v>
      </c>
      <c r="G40" s="9">
        <v>11296.152</v>
      </c>
    </row>
    <row r="41" spans="1:7" x14ac:dyDescent="0.3">
      <c r="A41" s="11" t="s">
        <v>361</v>
      </c>
      <c r="B41" s="21"/>
      <c r="C41" s="21"/>
      <c r="D41" s="21"/>
      <c r="E41" s="21"/>
      <c r="F41" s="21"/>
      <c r="G41" s="21"/>
    </row>
    <row r="42" spans="1:7" x14ac:dyDescent="0.3">
      <c r="A42" s="11" t="s">
        <v>362</v>
      </c>
      <c r="B42" s="11" t="s">
        <v>363</v>
      </c>
      <c r="C42" s="12">
        <v>2399.3649999999998</v>
      </c>
      <c r="D42" s="12">
        <v>4155.18</v>
      </c>
      <c r="E42" s="12">
        <v>4256.28</v>
      </c>
      <c r="F42" s="12">
        <v>4016.7060000000001</v>
      </c>
      <c r="G42" s="12">
        <v>2851.741</v>
      </c>
    </row>
    <row r="43" spans="1:7" x14ac:dyDescent="0.3">
      <c r="A43" s="11" t="s">
        <v>364</v>
      </c>
      <c r="B43" s="11" t="s">
        <v>365</v>
      </c>
      <c r="C43" s="12">
        <v>1840.4059999999999</v>
      </c>
      <c r="D43" s="12">
        <v>3475.7080000000001</v>
      </c>
      <c r="E43" s="12">
        <v>3338.75</v>
      </c>
      <c r="F43" s="12">
        <v>2949.7849999999999</v>
      </c>
      <c r="G43" s="12">
        <v>1478.7840000000001</v>
      </c>
    </row>
    <row r="44" spans="1:7" x14ac:dyDescent="0.3">
      <c r="A44" s="11" t="s">
        <v>366</v>
      </c>
      <c r="B44" s="11" t="s">
        <v>367</v>
      </c>
      <c r="C44" s="12">
        <v>0</v>
      </c>
      <c r="D44" s="12">
        <v>0</v>
      </c>
      <c r="E44" s="12">
        <v>0</v>
      </c>
      <c r="F44" s="12">
        <v>119.32299999999999</v>
      </c>
      <c r="G44" s="12">
        <v>249.47399999999999</v>
      </c>
    </row>
    <row r="45" spans="1:7" x14ac:dyDescent="0.3">
      <c r="A45" s="11" t="s">
        <v>368</v>
      </c>
      <c r="B45" s="11" t="s">
        <v>369</v>
      </c>
      <c r="C45" s="12" t="s">
        <v>43</v>
      </c>
      <c r="D45" s="12" t="s">
        <v>43</v>
      </c>
      <c r="E45" s="12" t="s">
        <v>43</v>
      </c>
      <c r="F45" s="12" t="s">
        <v>43</v>
      </c>
      <c r="G45" s="12" t="s">
        <v>43</v>
      </c>
    </row>
    <row r="46" spans="1:7" x14ac:dyDescent="0.3">
      <c r="A46" s="11" t="s">
        <v>370</v>
      </c>
      <c r="B46" s="11" t="s">
        <v>371</v>
      </c>
      <c r="C46" s="12">
        <v>1.526</v>
      </c>
      <c r="D46" s="12">
        <v>6.992</v>
      </c>
      <c r="E46" s="12">
        <v>9.9670000000000005</v>
      </c>
      <c r="F46" s="12">
        <v>0.13300000000000001</v>
      </c>
      <c r="G46" s="12">
        <v>0.40799999999999997</v>
      </c>
    </row>
    <row r="47" spans="1:7" x14ac:dyDescent="0.3">
      <c r="A47" s="11" t="s">
        <v>372</v>
      </c>
      <c r="B47" s="11" t="s">
        <v>373</v>
      </c>
      <c r="C47" s="12">
        <v>343.29700000000003</v>
      </c>
      <c r="D47" s="12">
        <v>104.82599999999999</v>
      </c>
      <c r="E47" s="12">
        <v>63.566000000000003</v>
      </c>
      <c r="F47" s="12">
        <v>72.587000000000003</v>
      </c>
      <c r="G47" s="12">
        <v>109.895</v>
      </c>
    </row>
    <row r="48" spans="1:7" x14ac:dyDescent="0.3">
      <c r="A48" s="11" t="s">
        <v>374</v>
      </c>
      <c r="B48" s="11" t="s">
        <v>375</v>
      </c>
      <c r="C48" s="12">
        <v>0.107</v>
      </c>
      <c r="D48" s="12">
        <v>0.107</v>
      </c>
      <c r="E48" s="12">
        <v>0.107</v>
      </c>
      <c r="F48" s="12">
        <v>6.1070000000000002</v>
      </c>
      <c r="G48" s="12">
        <v>138</v>
      </c>
    </row>
    <row r="49" spans="1:7" x14ac:dyDescent="0.3">
      <c r="A49" s="11" t="s">
        <v>376</v>
      </c>
      <c r="B49" s="11" t="s">
        <v>377</v>
      </c>
      <c r="C49" s="12">
        <v>177.87</v>
      </c>
      <c r="D49" s="12">
        <v>491.31299999999999</v>
      </c>
      <c r="E49" s="12">
        <v>756.81799999999998</v>
      </c>
      <c r="F49" s="12">
        <v>789.51400000000001</v>
      </c>
      <c r="G49" s="12">
        <v>803.50199999999995</v>
      </c>
    </row>
    <row r="50" spans="1:7" x14ac:dyDescent="0.3">
      <c r="A50" s="11" t="s">
        <v>378</v>
      </c>
      <c r="B50" s="11" t="s">
        <v>379</v>
      </c>
      <c r="C50" s="12">
        <v>36.158999999999999</v>
      </c>
      <c r="D50" s="12">
        <v>76.233999999999995</v>
      </c>
      <c r="E50" s="12">
        <v>87.072000000000003</v>
      </c>
      <c r="F50" s="12">
        <v>79.257000000000005</v>
      </c>
      <c r="G50" s="12">
        <v>71.677999999999997</v>
      </c>
    </row>
    <row r="51" spans="1:7" x14ac:dyDescent="0.3">
      <c r="A51" s="8" t="s">
        <v>380</v>
      </c>
      <c r="B51" s="8" t="s">
        <v>381</v>
      </c>
      <c r="C51" s="9">
        <v>7035.4319999999998</v>
      </c>
      <c r="D51" s="9">
        <v>11331.616</v>
      </c>
      <c r="E51" s="9">
        <v>11191.972</v>
      </c>
      <c r="F51" s="9">
        <v>12185.647000000001</v>
      </c>
      <c r="G51" s="9">
        <v>14147.893</v>
      </c>
    </row>
    <row r="52" spans="1:7" x14ac:dyDescent="0.3">
      <c r="A52" s="11" t="s">
        <v>382</v>
      </c>
      <c r="B52" s="21"/>
      <c r="C52" s="21"/>
      <c r="D52" s="21"/>
      <c r="E52" s="21"/>
      <c r="F52" s="21"/>
      <c r="G52" s="21"/>
    </row>
    <row r="53" spans="1:7" x14ac:dyDescent="0.3">
      <c r="A53" s="11" t="s">
        <v>383</v>
      </c>
      <c r="B53" s="11" t="s">
        <v>384</v>
      </c>
      <c r="C53" s="12">
        <v>37.326999999999998</v>
      </c>
      <c r="D53" s="12">
        <v>25.712</v>
      </c>
      <c r="E53" s="12">
        <v>95.119</v>
      </c>
      <c r="F53" s="12">
        <v>103.755</v>
      </c>
      <c r="G53" s="12">
        <v>105.241</v>
      </c>
    </row>
    <row r="54" spans="1:7" x14ac:dyDescent="0.3">
      <c r="A54" s="11" t="s">
        <v>385</v>
      </c>
      <c r="B54" s="11" t="s">
        <v>386</v>
      </c>
      <c r="C54" s="12">
        <v>0.255</v>
      </c>
      <c r="D54" s="12">
        <v>0.27800000000000002</v>
      </c>
      <c r="E54" s="12">
        <v>0.28100000000000003</v>
      </c>
      <c r="F54" s="12">
        <v>0.28499999999999998</v>
      </c>
      <c r="G54" s="12">
        <v>0.29499999999999998</v>
      </c>
    </row>
    <row r="55" spans="1:7" x14ac:dyDescent="0.3">
      <c r="A55" s="11" t="s">
        <v>387</v>
      </c>
      <c r="B55" s="11" t="s">
        <v>388</v>
      </c>
      <c r="C55" s="12">
        <v>8526.5709999999999</v>
      </c>
      <c r="D55" s="12">
        <v>14622.291999999999</v>
      </c>
      <c r="E55" s="12">
        <v>14559.69</v>
      </c>
      <c r="F55" s="12">
        <v>15283.87</v>
      </c>
      <c r="G55" s="12">
        <v>16703.191999999999</v>
      </c>
    </row>
    <row r="56" spans="1:7" x14ac:dyDescent="0.3">
      <c r="A56" s="11" t="s">
        <v>389</v>
      </c>
      <c r="B56" s="11" t="s">
        <v>390</v>
      </c>
      <c r="C56" s="12">
        <v>4.681</v>
      </c>
      <c r="D56" s="12">
        <v>-28.518999999999998</v>
      </c>
      <c r="E56" s="12">
        <v>-111.215</v>
      </c>
      <c r="F56" s="12">
        <v>-108</v>
      </c>
      <c r="G56" s="12">
        <v>-193.148</v>
      </c>
    </row>
    <row r="57" spans="1:7" x14ac:dyDescent="0.3">
      <c r="A57" s="11" t="s">
        <v>391</v>
      </c>
      <c r="B57" s="11" t="s">
        <v>392</v>
      </c>
      <c r="C57" s="12">
        <v>-5150.9579999999996</v>
      </c>
      <c r="D57" s="12">
        <v>-7201.4979999999996</v>
      </c>
      <c r="E57" s="12">
        <v>-8745.5409999999993</v>
      </c>
      <c r="F57" s="12">
        <v>-8599.3060000000005</v>
      </c>
      <c r="G57" s="12">
        <v>-8155.2640000000001</v>
      </c>
    </row>
    <row r="58" spans="1:7" x14ac:dyDescent="0.3">
      <c r="A58" s="11" t="s">
        <v>393</v>
      </c>
      <c r="B58" s="11" t="s">
        <v>394</v>
      </c>
      <c r="C58" s="12">
        <v>511.93150000000003</v>
      </c>
      <c r="D58" s="12">
        <v>557.73800000000006</v>
      </c>
      <c r="E58" s="12">
        <v>564.75879999999995</v>
      </c>
      <c r="F58" s="12">
        <v>572.34</v>
      </c>
      <c r="G58" s="12" t="s">
        <v>43</v>
      </c>
    </row>
    <row r="59" spans="1:7" x14ac:dyDescent="0.3">
      <c r="A59" s="11" t="s">
        <v>395</v>
      </c>
      <c r="B59" s="11" t="s">
        <v>396</v>
      </c>
      <c r="C59" s="23">
        <v>5.0000000000000001E-4</v>
      </c>
      <c r="D59" s="23">
        <v>5.0000000000000001E-4</v>
      </c>
      <c r="E59" s="23">
        <v>5.0000000000000001E-4</v>
      </c>
      <c r="F59" s="23">
        <v>5.0000000000000001E-4</v>
      </c>
      <c r="G59" s="23" t="s">
        <v>43</v>
      </c>
    </row>
    <row r="60" spans="1:7" x14ac:dyDescent="0.3">
      <c r="A60" s="11" t="s">
        <v>397</v>
      </c>
      <c r="B60" s="11" t="s">
        <v>398</v>
      </c>
      <c r="C60" s="12">
        <v>3420.239</v>
      </c>
      <c r="D60" s="12">
        <v>7424.4089999999997</v>
      </c>
      <c r="E60" s="12">
        <v>5810.8239999999996</v>
      </c>
      <c r="F60" s="12">
        <v>6697.585</v>
      </c>
      <c r="G60" s="12">
        <v>8477.5759999999991</v>
      </c>
    </row>
    <row r="61" spans="1:7" x14ac:dyDescent="0.3">
      <c r="A61" s="11" t="s">
        <v>399</v>
      </c>
      <c r="B61" s="11" t="s">
        <v>400</v>
      </c>
      <c r="C61" s="12">
        <v>2.363</v>
      </c>
      <c r="D61" s="12">
        <v>6.1440000000000001</v>
      </c>
      <c r="E61" s="12">
        <v>12.49</v>
      </c>
      <c r="F61" s="12">
        <v>16.981000000000002</v>
      </c>
      <c r="G61" s="12">
        <v>17.260000000000002</v>
      </c>
    </row>
    <row r="62" spans="1:7" x14ac:dyDescent="0.3">
      <c r="A62" s="11" t="s">
        <v>401</v>
      </c>
      <c r="B62" s="11" t="s">
        <v>402</v>
      </c>
      <c r="C62" s="12">
        <v>15000</v>
      </c>
      <c r="D62" s="12">
        <v>15000</v>
      </c>
      <c r="E62" s="12">
        <v>15000</v>
      </c>
      <c r="F62" s="12">
        <v>15000</v>
      </c>
      <c r="G62" s="12" t="s">
        <v>43</v>
      </c>
    </row>
    <row r="63" spans="1:7" x14ac:dyDescent="0.3">
      <c r="A63" s="11" t="s">
        <v>403</v>
      </c>
      <c r="B63" s="11" t="s">
        <v>404</v>
      </c>
      <c r="C63" s="12">
        <v>3382.9119999999998</v>
      </c>
      <c r="D63" s="12">
        <v>7398.6970000000001</v>
      </c>
      <c r="E63" s="12">
        <v>5715.7049999999999</v>
      </c>
      <c r="F63" s="12">
        <v>6593.83</v>
      </c>
      <c r="G63" s="12">
        <v>8372.3349999999991</v>
      </c>
    </row>
    <row r="64" spans="1:7" x14ac:dyDescent="0.3">
      <c r="A64" s="8" t="s">
        <v>405</v>
      </c>
      <c r="B64" s="8" t="s">
        <v>406</v>
      </c>
      <c r="C64" s="9">
        <v>10455.671</v>
      </c>
      <c r="D64" s="9">
        <v>18756.025000000001</v>
      </c>
      <c r="E64" s="9">
        <v>17002.795999999998</v>
      </c>
      <c r="F64" s="9">
        <v>18883.232</v>
      </c>
      <c r="G64" s="9">
        <v>22625.469000000001</v>
      </c>
    </row>
    <row r="65" spans="1:7" x14ac:dyDescent="0.3">
      <c r="A65" s="11" t="s">
        <v>407</v>
      </c>
      <c r="B65" s="21"/>
      <c r="C65" s="21"/>
      <c r="D65" s="21"/>
      <c r="E65" s="21"/>
      <c r="F65" s="21"/>
      <c r="G65" s="21"/>
    </row>
    <row r="66" spans="1:7" x14ac:dyDescent="0.3">
      <c r="A66" s="11" t="s">
        <v>223</v>
      </c>
      <c r="B66" s="21"/>
      <c r="C66" s="21"/>
      <c r="D66" s="21"/>
      <c r="E66" s="21"/>
      <c r="F66" s="21"/>
      <c r="G66" s="21"/>
    </row>
    <row r="67" spans="1:7" x14ac:dyDescent="0.3">
      <c r="A67" s="11" t="s">
        <v>408</v>
      </c>
      <c r="B67" s="11" t="s">
        <v>409</v>
      </c>
      <c r="C67" s="12" t="s">
        <v>43</v>
      </c>
      <c r="D67" s="12">
        <v>9.3419000000000008</v>
      </c>
      <c r="E67" s="12">
        <v>8.1292000000000009</v>
      </c>
      <c r="F67" s="12">
        <v>9.6522000000000006</v>
      </c>
      <c r="G67" s="12" t="s">
        <v>43</v>
      </c>
    </row>
    <row r="68" spans="1:7" x14ac:dyDescent="0.3">
      <c r="A68" s="11" t="s">
        <v>410</v>
      </c>
      <c r="B68" s="11" t="s">
        <v>411</v>
      </c>
      <c r="C68" s="12" t="s">
        <v>43</v>
      </c>
      <c r="D68" s="12">
        <v>3.5514999999999999</v>
      </c>
      <c r="E68" s="12">
        <v>7.3204000000000002</v>
      </c>
      <c r="F68" s="12">
        <v>7.1195000000000004</v>
      </c>
      <c r="G68" s="12" t="s">
        <v>43</v>
      </c>
    </row>
    <row r="69" spans="1:7" x14ac:dyDescent="0.3">
      <c r="A69" s="11" t="s">
        <v>412</v>
      </c>
      <c r="B69" s="11" t="s">
        <v>413</v>
      </c>
      <c r="C69" s="12" t="s">
        <v>43</v>
      </c>
      <c r="D69" s="12">
        <v>4.1269999999999998</v>
      </c>
      <c r="E69" s="12">
        <v>3.8643000000000001</v>
      </c>
      <c r="F69" s="12">
        <v>4.1306000000000003</v>
      </c>
      <c r="G69" s="12" t="s">
        <v>43</v>
      </c>
    </row>
    <row r="70" spans="1:7" x14ac:dyDescent="0.3">
      <c r="A70" s="11" t="s">
        <v>414</v>
      </c>
      <c r="B70" s="11" t="s">
        <v>415</v>
      </c>
      <c r="C70" s="12" t="s">
        <v>43</v>
      </c>
      <c r="D70" s="12">
        <v>0.63719999999999999</v>
      </c>
      <c r="E70" s="12">
        <v>1.9332</v>
      </c>
      <c r="F70" s="12">
        <v>1.7868999999999999</v>
      </c>
      <c r="G70" s="12" t="s">
        <v>43</v>
      </c>
    </row>
    <row r="71" spans="1:7" x14ac:dyDescent="0.3">
      <c r="A71" s="11" t="s">
        <v>416</v>
      </c>
      <c r="B71" s="11" t="s">
        <v>417</v>
      </c>
      <c r="C71" s="12">
        <v>1054.229</v>
      </c>
      <c r="D71" s="12">
        <v>1401.8630000000001</v>
      </c>
      <c r="E71" s="12">
        <v>1798.6510000000001</v>
      </c>
      <c r="F71" s="12">
        <v>1861.8420000000001</v>
      </c>
      <c r="G71" s="12" t="s">
        <v>43</v>
      </c>
    </row>
    <row r="72" spans="1:7" x14ac:dyDescent="0.3">
      <c r="A72" s="11" t="s">
        <v>418</v>
      </c>
      <c r="B72" s="11" t="s">
        <v>419</v>
      </c>
      <c r="C72" s="12">
        <v>22.707999999999998</v>
      </c>
      <c r="D72" s="12">
        <v>196.42099999999999</v>
      </c>
      <c r="E72" s="12">
        <v>272.04199999999997</v>
      </c>
      <c r="F72" s="12">
        <v>278.75599999999997</v>
      </c>
      <c r="G72" s="12" t="s">
        <v>43</v>
      </c>
    </row>
    <row r="73" spans="1:7" x14ac:dyDescent="0.3">
      <c r="A73" s="11" t="s">
        <v>420</v>
      </c>
      <c r="B73" s="11" t="s">
        <v>421</v>
      </c>
      <c r="C73" s="12">
        <v>2.093</v>
      </c>
      <c r="D73" s="12">
        <v>1.956</v>
      </c>
      <c r="E73" s="12">
        <v>14.702</v>
      </c>
      <c r="F73" s="12">
        <v>40.83</v>
      </c>
      <c r="G73" s="12" t="s">
        <v>43</v>
      </c>
    </row>
    <row r="74" spans="1:7" x14ac:dyDescent="0.3">
      <c r="A74" s="11" t="s">
        <v>422</v>
      </c>
      <c r="B74" s="11" t="s">
        <v>423</v>
      </c>
      <c r="C74" s="12">
        <v>162.03200000000001</v>
      </c>
      <c r="D74" s="12">
        <v>252.77799999999999</v>
      </c>
      <c r="E74" s="12">
        <v>381.44299999999998</v>
      </c>
      <c r="F74" s="12">
        <v>350.19400000000002</v>
      </c>
      <c r="G74" s="12" t="s">
        <v>43</v>
      </c>
    </row>
    <row r="75" spans="1:7" x14ac:dyDescent="0.3">
      <c r="A75" s="11" t="s">
        <v>424</v>
      </c>
      <c r="B75" s="11" t="s">
        <v>425</v>
      </c>
      <c r="C75" s="12">
        <v>0.97299999999999998</v>
      </c>
      <c r="D75" s="12">
        <v>22.952000000000002</v>
      </c>
      <c r="E75" s="12">
        <v>51.575000000000003</v>
      </c>
      <c r="F75" s="12">
        <v>44.884</v>
      </c>
      <c r="G75" s="12" t="s">
        <v>43</v>
      </c>
    </row>
    <row r="76" spans="1:7" x14ac:dyDescent="0.3">
      <c r="A76" s="11" t="s">
        <v>426</v>
      </c>
      <c r="B76" s="11" t="s">
        <v>427</v>
      </c>
      <c r="C76" s="12">
        <v>31.613</v>
      </c>
      <c r="D76" s="12">
        <v>43.06</v>
      </c>
      <c r="E76" s="12">
        <v>62.262</v>
      </c>
      <c r="F76" s="12">
        <v>65.355000000000004</v>
      </c>
      <c r="G76" s="12" t="s">
        <v>43</v>
      </c>
    </row>
    <row r="77" spans="1:7" x14ac:dyDescent="0.3">
      <c r="A77" s="11" t="s">
        <v>428</v>
      </c>
      <c r="B77" s="11" t="s">
        <v>429</v>
      </c>
      <c r="C77" s="12">
        <v>755.00699999999995</v>
      </c>
      <c r="D77" s="12">
        <v>1629.913</v>
      </c>
      <c r="E77" s="12">
        <v>2323.6790000000001</v>
      </c>
      <c r="F77" s="12">
        <v>2457.069</v>
      </c>
      <c r="G77" s="12" t="s">
        <v>43</v>
      </c>
    </row>
    <row r="78" spans="1:7" x14ac:dyDescent="0.3">
      <c r="A78" s="11" t="s">
        <v>430</v>
      </c>
      <c r="B78" s="11" t="s">
        <v>431</v>
      </c>
      <c r="C78" s="12">
        <v>368.60599999999999</v>
      </c>
      <c r="D78" s="12">
        <v>599.95000000000005</v>
      </c>
      <c r="E78" s="12">
        <v>935.78399999999999</v>
      </c>
      <c r="F78" s="12">
        <v>1249.3710000000001</v>
      </c>
      <c r="G78" s="12" t="s">
        <v>43</v>
      </c>
    </row>
    <row r="79" spans="1:7" x14ac:dyDescent="0.3">
      <c r="A79" s="11" t="s">
        <v>320</v>
      </c>
      <c r="B79" s="11" t="s">
        <v>432</v>
      </c>
      <c r="C79" s="12">
        <v>386.40100000000001</v>
      </c>
      <c r="D79" s="12">
        <v>1029.963</v>
      </c>
      <c r="E79" s="12">
        <v>1387.895</v>
      </c>
      <c r="F79" s="12">
        <v>1207.6980000000001</v>
      </c>
      <c r="G79" s="12" t="s">
        <v>43</v>
      </c>
    </row>
    <row r="80" spans="1:7" x14ac:dyDescent="0.3">
      <c r="A80" s="11" t="s">
        <v>433</v>
      </c>
      <c r="B80" s="11" t="s">
        <v>434</v>
      </c>
      <c r="C80" s="12">
        <v>39.773000000000003</v>
      </c>
      <c r="D80" s="12">
        <v>52.517000000000003</v>
      </c>
      <c r="E80" s="12">
        <v>65.019000000000005</v>
      </c>
      <c r="F80" s="12">
        <v>50.820999999999998</v>
      </c>
      <c r="G80" s="12" t="s">
        <v>43</v>
      </c>
    </row>
    <row r="81" spans="1:7" x14ac:dyDescent="0.3">
      <c r="A81" s="11" t="s">
        <v>324</v>
      </c>
      <c r="B81" s="11" t="s">
        <v>435</v>
      </c>
      <c r="C81" s="12">
        <v>6.8659999999999997</v>
      </c>
      <c r="D81" s="12">
        <v>26.789000000000001</v>
      </c>
      <c r="E81" s="12">
        <v>51.892000000000003</v>
      </c>
      <c r="F81" s="12">
        <v>37.366</v>
      </c>
      <c r="G81" s="12" t="s">
        <v>43</v>
      </c>
    </row>
    <row r="82" spans="1:7" x14ac:dyDescent="0.3">
      <c r="A82" s="11" t="s">
        <v>436</v>
      </c>
      <c r="B82" s="11" t="s">
        <v>437</v>
      </c>
      <c r="C82" s="12">
        <v>16.082999999999998</v>
      </c>
      <c r="D82" s="12">
        <v>12.433999999999999</v>
      </c>
      <c r="E82" s="12">
        <v>10.211</v>
      </c>
      <c r="F82" s="12">
        <v>7.9329999999999998</v>
      </c>
      <c r="G82" s="12" t="s">
        <v>43</v>
      </c>
    </row>
    <row r="83" spans="1:7" x14ac:dyDescent="0.3">
      <c r="A83" s="11" t="s">
        <v>438</v>
      </c>
      <c r="B83" s="11" t="s">
        <v>439</v>
      </c>
      <c r="C83" s="12">
        <v>37.326999999999998</v>
      </c>
      <c r="D83" s="12">
        <v>25.712</v>
      </c>
      <c r="E83" s="12">
        <v>95.119</v>
      </c>
      <c r="F83" s="12">
        <v>103.755</v>
      </c>
      <c r="G83" s="12" t="s">
        <v>43</v>
      </c>
    </row>
    <row r="84" spans="1:7" x14ac:dyDescent="0.3">
      <c r="A84" s="11" t="s">
        <v>385</v>
      </c>
      <c r="B84" s="11" t="s">
        <v>440</v>
      </c>
      <c r="C84" s="12">
        <v>0.255</v>
      </c>
      <c r="D84" s="12">
        <v>0.27800000000000002</v>
      </c>
      <c r="E84" s="12">
        <v>0.28100000000000003</v>
      </c>
      <c r="F84" s="12">
        <v>0.28499999999999998</v>
      </c>
      <c r="G84" s="12" t="s">
        <v>43</v>
      </c>
    </row>
    <row r="85" spans="1:7" x14ac:dyDescent="0.3">
      <c r="A85" s="11" t="s">
        <v>387</v>
      </c>
      <c r="B85" s="11" t="s">
        <v>441</v>
      </c>
      <c r="C85" s="12">
        <v>8526.5709999999999</v>
      </c>
      <c r="D85" s="12">
        <v>14622.291999999999</v>
      </c>
      <c r="E85" s="12">
        <v>14559.69</v>
      </c>
      <c r="F85" s="12">
        <v>15283.87</v>
      </c>
      <c r="G85" s="12" t="s">
        <v>43</v>
      </c>
    </row>
    <row r="86" spans="1:7" x14ac:dyDescent="0.3">
      <c r="A86" s="11" t="s">
        <v>389</v>
      </c>
      <c r="B86" s="11" t="s">
        <v>442</v>
      </c>
      <c r="C86" s="12">
        <v>4.681</v>
      </c>
      <c r="D86" s="12">
        <v>-28.518999999999998</v>
      </c>
      <c r="E86" s="12">
        <v>-111.215</v>
      </c>
      <c r="F86" s="12">
        <v>-108</v>
      </c>
      <c r="G86" s="12" t="s">
        <v>43</v>
      </c>
    </row>
    <row r="87" spans="1:7" x14ac:dyDescent="0.3">
      <c r="A87" s="11" t="s">
        <v>391</v>
      </c>
      <c r="B87" s="11" t="s">
        <v>443</v>
      </c>
      <c r="C87" s="12">
        <v>-5150.9579999999996</v>
      </c>
      <c r="D87" s="12">
        <v>-7201.4979999999996</v>
      </c>
      <c r="E87" s="12">
        <v>-8745.5409999999993</v>
      </c>
      <c r="F87" s="12">
        <v>-8599.3060000000005</v>
      </c>
      <c r="G87" s="12" t="s">
        <v>43</v>
      </c>
    </row>
    <row r="88" spans="1:7" x14ac:dyDescent="0.3">
      <c r="A88" s="11" t="s">
        <v>393</v>
      </c>
      <c r="B88" s="11" t="s">
        <v>444</v>
      </c>
      <c r="C88" s="12">
        <v>511.93150000000003</v>
      </c>
      <c r="D88" s="12">
        <v>557.73800000000006</v>
      </c>
      <c r="E88" s="12">
        <v>564.75879999999995</v>
      </c>
      <c r="F88" s="12">
        <v>572.34</v>
      </c>
      <c r="G88" s="12" t="s">
        <v>43</v>
      </c>
    </row>
    <row r="89" spans="1:7" x14ac:dyDescent="0.3">
      <c r="A89" s="11" t="s">
        <v>395</v>
      </c>
      <c r="B89" s="11" t="s">
        <v>445</v>
      </c>
      <c r="C89" s="23">
        <v>5.0000000000000001E-4</v>
      </c>
      <c r="D89" s="23">
        <v>5.0000000000000001E-4</v>
      </c>
      <c r="E89" s="23">
        <v>5.0000000000000001E-4</v>
      </c>
      <c r="F89" s="23">
        <v>5.0000000000000001E-4</v>
      </c>
      <c r="G89" s="23" t="s">
        <v>43</v>
      </c>
    </row>
    <row r="90" spans="1:7" x14ac:dyDescent="0.3">
      <c r="A90" s="11" t="s">
        <v>446</v>
      </c>
      <c r="B90" s="11" t="s">
        <v>447</v>
      </c>
      <c r="C90" s="12">
        <v>535.58799999999997</v>
      </c>
      <c r="D90" s="12">
        <v>1112.7460000000001</v>
      </c>
      <c r="E90" s="12">
        <v>1541.655</v>
      </c>
      <c r="F90" s="12">
        <v>1677.05</v>
      </c>
      <c r="G90" s="12" t="s">
        <v>43</v>
      </c>
    </row>
    <row r="91" spans="1:7" x14ac:dyDescent="0.3">
      <c r="A91" s="11" t="s">
        <v>448</v>
      </c>
      <c r="B91" s="11" t="s">
        <v>449</v>
      </c>
      <c r="C91" s="12">
        <v>299.17099999999999</v>
      </c>
      <c r="D91" s="12">
        <v>822.327</v>
      </c>
      <c r="E91" s="12">
        <v>1306.252</v>
      </c>
      <c r="F91" s="12">
        <v>1403.9449999999999</v>
      </c>
      <c r="G91" s="12" t="s">
        <v>43</v>
      </c>
    </row>
    <row r="92" spans="1:7" x14ac:dyDescent="0.3">
      <c r="A92" s="11" t="s">
        <v>450</v>
      </c>
      <c r="B92" s="11" t="s">
        <v>451</v>
      </c>
      <c r="C92" s="12">
        <v>77.894999999999996</v>
      </c>
      <c r="D92" s="12">
        <v>193.322</v>
      </c>
      <c r="E92" s="12">
        <v>281.666</v>
      </c>
      <c r="F92" s="12">
        <v>298.07</v>
      </c>
      <c r="G92" s="12" t="s">
        <v>43</v>
      </c>
    </row>
    <row r="93" spans="1:7" x14ac:dyDescent="0.3">
      <c r="A93" s="11" t="s">
        <v>452</v>
      </c>
      <c r="B93" s="11" t="s">
        <v>453</v>
      </c>
      <c r="C93" s="12">
        <v>80.850999999999999</v>
      </c>
      <c r="D93" s="12">
        <v>190.81399999999999</v>
      </c>
      <c r="E93" s="12">
        <v>243.62299999999999</v>
      </c>
      <c r="F93" s="12">
        <v>250.36500000000001</v>
      </c>
      <c r="G93" s="12" t="s">
        <v>43</v>
      </c>
    </row>
    <row r="94" spans="1:7" x14ac:dyDescent="0.3">
      <c r="A94" s="11" t="s">
        <v>454</v>
      </c>
      <c r="B94" s="11" t="s">
        <v>455</v>
      </c>
      <c r="C94" s="12">
        <v>72.352000000000004</v>
      </c>
      <c r="D94" s="12">
        <v>140.91800000000001</v>
      </c>
      <c r="E94" s="12">
        <v>214.524</v>
      </c>
      <c r="F94" s="12">
        <v>215.00800000000001</v>
      </c>
      <c r="G94" s="12" t="s">
        <v>43</v>
      </c>
    </row>
    <row r="95" spans="1:7" x14ac:dyDescent="0.3">
      <c r="A95" s="11" t="s">
        <v>456</v>
      </c>
      <c r="B95" s="11" t="s">
        <v>457</v>
      </c>
      <c r="C95" s="12">
        <v>34.526000000000003</v>
      </c>
      <c r="D95" s="12">
        <v>112.416</v>
      </c>
      <c r="E95" s="12">
        <v>178.37899999999999</v>
      </c>
      <c r="F95" s="12">
        <v>156.21700000000001</v>
      </c>
      <c r="G95" s="12" t="s">
        <v>43</v>
      </c>
    </row>
    <row r="96" spans="1:7" x14ac:dyDescent="0.3">
      <c r="A96" s="11" t="s">
        <v>458</v>
      </c>
      <c r="B96" s="11" t="s">
        <v>459</v>
      </c>
      <c r="C96" s="12">
        <v>23.712</v>
      </c>
      <c r="D96" s="12">
        <v>78.516000000000005</v>
      </c>
      <c r="E96" s="12">
        <v>121.458</v>
      </c>
      <c r="F96" s="12">
        <v>119.121</v>
      </c>
      <c r="G96" s="12" t="s">
        <v>43</v>
      </c>
    </row>
    <row r="97" spans="1:7" x14ac:dyDescent="0.3">
      <c r="A97" s="11" t="s">
        <v>460</v>
      </c>
      <c r="B97" s="11" t="s">
        <v>461</v>
      </c>
      <c r="C97" s="12">
        <v>9.8350000000000009</v>
      </c>
      <c r="D97" s="12">
        <v>106.34099999999999</v>
      </c>
      <c r="E97" s="12">
        <v>266.60199999999998</v>
      </c>
      <c r="F97" s="12">
        <v>365.16399999999999</v>
      </c>
      <c r="G97" s="12" t="s">
        <v>43</v>
      </c>
    </row>
    <row r="98" spans="1:7" x14ac:dyDescent="0.3">
      <c r="A98" s="11" t="s">
        <v>462</v>
      </c>
      <c r="B98" s="11" t="s">
        <v>463</v>
      </c>
      <c r="C98" s="12">
        <v>98.378</v>
      </c>
      <c r="D98" s="12">
        <v>96.763000000000005</v>
      </c>
      <c r="E98" s="12">
        <v>235.25899999999999</v>
      </c>
      <c r="F98" s="12">
        <v>328.82799999999997</v>
      </c>
      <c r="G98" s="12" t="s">
        <v>43</v>
      </c>
    </row>
    <row r="99" spans="1:7" x14ac:dyDescent="0.3">
      <c r="A99" s="11" t="s">
        <v>307</v>
      </c>
      <c r="B99" s="11" t="s">
        <v>464</v>
      </c>
      <c r="C99" s="12">
        <v>7.9779999999999998</v>
      </c>
      <c r="D99" s="12">
        <v>5.7720000000000002</v>
      </c>
      <c r="E99" s="12">
        <v>12.818</v>
      </c>
      <c r="F99" s="12">
        <v>9.3510000000000009</v>
      </c>
      <c r="G99" s="12" t="s">
        <v>43</v>
      </c>
    </row>
    <row r="100" spans="1:7" x14ac:dyDescent="0.3">
      <c r="A100" s="11" t="s">
        <v>465</v>
      </c>
      <c r="B100" s="11" t="s">
        <v>466</v>
      </c>
      <c r="C100" s="12">
        <v>12.878</v>
      </c>
      <c r="D100" s="12">
        <v>10.343999999999999</v>
      </c>
      <c r="E100" s="12">
        <v>0</v>
      </c>
      <c r="F100" s="12" t="s">
        <v>43</v>
      </c>
      <c r="G100" s="12" t="s">
        <v>43</v>
      </c>
    </row>
    <row r="101" spans="1:7" x14ac:dyDescent="0.3">
      <c r="A101" s="11" t="s">
        <v>397</v>
      </c>
      <c r="B101" s="11" t="s">
        <v>467</v>
      </c>
      <c r="C101" s="12">
        <v>3420.239</v>
      </c>
      <c r="D101" s="12">
        <v>7424.4089999999997</v>
      </c>
      <c r="E101" s="12">
        <v>5810.8239999999996</v>
      </c>
      <c r="F101" s="12">
        <v>6697.585</v>
      </c>
      <c r="G101" s="12" t="s">
        <v>43</v>
      </c>
    </row>
    <row r="102" spans="1:7" x14ac:dyDescent="0.3">
      <c r="A102" s="11" t="s">
        <v>468</v>
      </c>
      <c r="B102" s="11" t="s">
        <v>469</v>
      </c>
      <c r="C102" s="12">
        <v>204.804</v>
      </c>
      <c r="D102" s="12">
        <v>124.521</v>
      </c>
      <c r="E102" s="12">
        <v>135.61600000000001</v>
      </c>
      <c r="F102" s="12">
        <v>87.704999999999998</v>
      </c>
      <c r="G102" s="12" t="s">
        <v>43</v>
      </c>
    </row>
    <row r="103" spans="1:7" x14ac:dyDescent="0.3">
      <c r="A103" s="11" t="s">
        <v>470</v>
      </c>
      <c r="B103" s="11" t="s">
        <v>471</v>
      </c>
      <c r="C103" s="23">
        <v>33800</v>
      </c>
      <c r="D103" s="23">
        <v>67300</v>
      </c>
      <c r="E103" s="23">
        <v>63800</v>
      </c>
      <c r="F103" s="23">
        <v>62700</v>
      </c>
      <c r="G103" s="23" t="s">
        <v>43</v>
      </c>
    </row>
    <row r="104" spans="1:7" x14ac:dyDescent="0.3">
      <c r="A104" s="11" t="s">
        <v>472</v>
      </c>
      <c r="B104" s="11" t="s">
        <v>473</v>
      </c>
      <c r="C104" s="12">
        <v>36.158999999999999</v>
      </c>
      <c r="D104" s="12">
        <v>76.233999999999995</v>
      </c>
      <c r="E104" s="12">
        <v>87.072000000000003</v>
      </c>
      <c r="F104" s="12">
        <v>79.257000000000005</v>
      </c>
      <c r="G104" s="12" t="s">
        <v>43</v>
      </c>
    </row>
    <row r="105" spans="1:7" x14ac:dyDescent="0.3">
      <c r="A105" s="11" t="s">
        <v>474</v>
      </c>
      <c r="B105" s="11" t="s">
        <v>475</v>
      </c>
      <c r="C105" s="12">
        <v>511.93150000000003</v>
      </c>
      <c r="D105" s="12">
        <v>557.73800000000006</v>
      </c>
      <c r="E105" s="12">
        <v>564.75879999999995</v>
      </c>
      <c r="F105" s="12">
        <v>572.34</v>
      </c>
      <c r="G105" s="12" t="s">
        <v>43</v>
      </c>
    </row>
    <row r="106" spans="1:7" x14ac:dyDescent="0.3">
      <c r="A106" s="11" t="s">
        <v>476</v>
      </c>
      <c r="B106" s="11" t="s">
        <v>477</v>
      </c>
      <c r="C106" s="12">
        <v>3.9460000000000002</v>
      </c>
      <c r="D106" s="12">
        <v>2.95</v>
      </c>
      <c r="E106" s="12">
        <v>2.9159999999999999</v>
      </c>
      <c r="F106" s="12">
        <v>5.5220000000000002</v>
      </c>
      <c r="G106" s="12" t="s">
        <v>43</v>
      </c>
    </row>
    <row r="107" spans="1:7" x14ac:dyDescent="0.3">
      <c r="A107" s="11" t="s">
        <v>478</v>
      </c>
      <c r="B107" s="11" t="s">
        <v>479</v>
      </c>
      <c r="C107" s="12">
        <v>5.8090000000000002</v>
      </c>
      <c r="D107" s="12">
        <v>4.1620999999999997</v>
      </c>
      <c r="E107" s="12">
        <v>30</v>
      </c>
      <c r="F107" s="12">
        <v>1.925</v>
      </c>
      <c r="G107" s="12" t="s">
        <v>43</v>
      </c>
    </row>
    <row r="108" spans="1:7" x14ac:dyDescent="0.3">
      <c r="A108" s="11" t="s">
        <v>480</v>
      </c>
      <c r="B108" s="11" t="s">
        <v>481</v>
      </c>
      <c r="C108" s="12">
        <v>47.465699999999998</v>
      </c>
      <c r="D108" s="12">
        <v>46.2226</v>
      </c>
      <c r="E108" s="12">
        <v>68.533199999999994</v>
      </c>
      <c r="F108" s="12">
        <v>59.828899999999997</v>
      </c>
      <c r="G108" s="12" t="s">
        <v>43</v>
      </c>
    </row>
    <row r="109" spans="1:7" x14ac:dyDescent="0.3">
      <c r="A109" s="11" t="s">
        <v>399</v>
      </c>
      <c r="B109" s="11" t="s">
        <v>482</v>
      </c>
      <c r="C109" s="12">
        <v>2.363</v>
      </c>
      <c r="D109" s="12">
        <v>6.1440000000000001</v>
      </c>
      <c r="E109" s="12">
        <v>12.49</v>
      </c>
      <c r="F109" s="12">
        <v>16.981000000000002</v>
      </c>
      <c r="G109" s="12" t="s">
        <v>43</v>
      </c>
    </row>
    <row r="110" spans="1:7" x14ac:dyDescent="0.3">
      <c r="A110" s="11" t="s">
        <v>483</v>
      </c>
      <c r="B110" s="11" t="s">
        <v>484</v>
      </c>
      <c r="C110" s="12">
        <v>3382.9119999999998</v>
      </c>
      <c r="D110" s="12">
        <v>7398.6970000000001</v>
      </c>
      <c r="E110" s="12">
        <v>5715.7049999999999</v>
      </c>
      <c r="F110" s="12">
        <v>6593.83</v>
      </c>
      <c r="G110" s="12" t="s">
        <v>43</v>
      </c>
    </row>
    <row r="111" spans="1:7" x14ac:dyDescent="0.3">
      <c r="A111" s="11" t="s">
        <v>485</v>
      </c>
      <c r="B111" s="11" t="s">
        <v>486</v>
      </c>
      <c r="C111" s="12">
        <v>5.4862000000000002</v>
      </c>
      <c r="D111" s="12">
        <v>5.4051999999999998</v>
      </c>
      <c r="E111" s="12">
        <v>3.6768999999999998</v>
      </c>
      <c r="F111" s="12">
        <v>1.337</v>
      </c>
      <c r="G111" s="12" t="s">
        <v>43</v>
      </c>
    </row>
    <row r="112" spans="1:7" x14ac:dyDescent="0.3">
      <c r="A112" s="11" t="s">
        <v>487</v>
      </c>
      <c r="B112" s="11" t="s">
        <v>488</v>
      </c>
      <c r="C112" s="12">
        <v>198.65199999999999</v>
      </c>
      <c r="D112" s="12">
        <v>559.82500000000005</v>
      </c>
      <c r="E112" s="12" t="s">
        <v>43</v>
      </c>
      <c r="F112" s="12" t="s">
        <v>43</v>
      </c>
      <c r="G112" s="12" t="s">
        <v>43</v>
      </c>
    </row>
    <row r="113" spans="1:7" x14ac:dyDescent="0.3">
      <c r="A113" s="11" t="s">
        <v>489</v>
      </c>
      <c r="B113" s="11" t="s">
        <v>490</v>
      </c>
      <c r="C113" s="12">
        <v>256.03100000000001</v>
      </c>
      <c r="D113" s="12">
        <v>1136.854</v>
      </c>
      <c r="E113" s="12">
        <v>1185.405</v>
      </c>
      <c r="F113" s="12">
        <v>5981.9570000000003</v>
      </c>
      <c r="G113" s="12" t="s">
        <v>43</v>
      </c>
    </row>
    <row r="114" spans="1:7" x14ac:dyDescent="0.3">
      <c r="A114" s="11" t="s">
        <v>491</v>
      </c>
      <c r="B114" s="11" t="s">
        <v>492</v>
      </c>
      <c r="C114" s="12">
        <v>0</v>
      </c>
      <c r="D114" s="12">
        <v>0.69399999999999995</v>
      </c>
      <c r="E114" s="12">
        <v>0.55100000000000005</v>
      </c>
      <c r="F114" s="12">
        <v>0.1</v>
      </c>
      <c r="G114" s="12" t="s">
        <v>43</v>
      </c>
    </row>
    <row r="115" spans="1:7" x14ac:dyDescent="0.3">
      <c r="A115" s="11" t="s">
        <v>493</v>
      </c>
      <c r="B115" s="11" t="s">
        <v>494</v>
      </c>
      <c r="C115" s="12">
        <v>40.667000000000002</v>
      </c>
      <c r="D115" s="12">
        <v>224.83500000000001</v>
      </c>
      <c r="E115" s="12">
        <v>223.517</v>
      </c>
      <c r="F115" s="12">
        <v>30.314</v>
      </c>
      <c r="G115" s="12" t="s">
        <v>43</v>
      </c>
    </row>
    <row r="116" spans="1:7" x14ac:dyDescent="0.3">
      <c r="A116" s="11" t="s">
        <v>495</v>
      </c>
      <c r="B116" s="11" t="s">
        <v>496</v>
      </c>
      <c r="C116" s="12">
        <v>296.69799999999998</v>
      </c>
      <c r="D116" s="12">
        <v>1362.383</v>
      </c>
      <c r="E116" s="12">
        <v>1409.473</v>
      </c>
      <c r="F116" s="12">
        <v>6012.3710000000001</v>
      </c>
      <c r="G116" s="12" t="s">
        <v>43</v>
      </c>
    </row>
    <row r="117" spans="1:7" x14ac:dyDescent="0.3">
      <c r="A117" s="11" t="s">
        <v>497</v>
      </c>
      <c r="B117" s="11" t="s">
        <v>498</v>
      </c>
      <c r="C117" s="12">
        <v>11.64</v>
      </c>
      <c r="D117" s="12">
        <v>15.401</v>
      </c>
      <c r="E117" s="12">
        <v>5.42</v>
      </c>
      <c r="F117" s="12">
        <v>5.5220000000000002</v>
      </c>
      <c r="G117" s="12" t="s">
        <v>43</v>
      </c>
    </row>
    <row r="118" spans="1:7" x14ac:dyDescent="0.3">
      <c r="A118" s="11" t="s">
        <v>499</v>
      </c>
      <c r="B118" s="11" t="s">
        <v>500</v>
      </c>
      <c r="C118" s="12" t="s">
        <v>43</v>
      </c>
      <c r="D118" s="12">
        <v>0</v>
      </c>
      <c r="E118" s="12">
        <v>2.2770000000000001</v>
      </c>
      <c r="F118" s="12">
        <v>2.8180000000000001</v>
      </c>
      <c r="G118" s="12" t="s">
        <v>43</v>
      </c>
    </row>
    <row r="119" spans="1:7" x14ac:dyDescent="0.3">
      <c r="A119" s="11" t="s">
        <v>501</v>
      </c>
      <c r="B119" s="11" t="s">
        <v>502</v>
      </c>
      <c r="C119" s="12" t="s">
        <v>43</v>
      </c>
      <c r="D119" s="12">
        <v>0</v>
      </c>
      <c r="E119" s="12">
        <v>0</v>
      </c>
      <c r="F119" s="12">
        <v>0</v>
      </c>
      <c r="G119" s="12" t="s">
        <v>43</v>
      </c>
    </row>
    <row r="120" spans="1:7" x14ac:dyDescent="0.3">
      <c r="A120" s="11" t="s">
        <v>503</v>
      </c>
      <c r="B120" s="11" t="s">
        <v>504</v>
      </c>
      <c r="C120" s="12">
        <v>11.64</v>
      </c>
      <c r="D120" s="12">
        <v>15.401</v>
      </c>
      <c r="E120" s="12">
        <v>7.6970000000000001</v>
      </c>
      <c r="F120" s="12">
        <v>8.34</v>
      </c>
      <c r="G120" s="12" t="s">
        <v>43</v>
      </c>
    </row>
    <row r="121" spans="1:7" x14ac:dyDescent="0.3">
      <c r="A121" s="11" t="s">
        <v>505</v>
      </c>
      <c r="B121" s="11" t="s">
        <v>506</v>
      </c>
      <c r="C121" s="12">
        <v>330.54399999999998</v>
      </c>
      <c r="D121" s="12">
        <v>799.625</v>
      </c>
      <c r="E121" s="12" t="s">
        <v>43</v>
      </c>
      <c r="F121" s="12" t="s">
        <v>43</v>
      </c>
      <c r="G121" s="12" t="s">
        <v>43</v>
      </c>
    </row>
    <row r="122" spans="1:7" x14ac:dyDescent="0.3">
      <c r="A122" s="11" t="s">
        <v>507</v>
      </c>
      <c r="B122" s="11" t="s">
        <v>508</v>
      </c>
      <c r="C122" s="12">
        <v>306.45800000000003</v>
      </c>
      <c r="D122" s="12">
        <v>830.53399999999999</v>
      </c>
      <c r="E122" s="12" t="s">
        <v>43</v>
      </c>
      <c r="F122" s="12" t="s">
        <v>43</v>
      </c>
      <c r="G122" s="12" t="s">
        <v>43</v>
      </c>
    </row>
    <row r="123" spans="1:7" x14ac:dyDescent="0.3">
      <c r="A123" s="11" t="s">
        <v>509</v>
      </c>
      <c r="B123" s="11" t="s">
        <v>510</v>
      </c>
      <c r="C123" s="12">
        <v>2398.3429999999998</v>
      </c>
      <c r="D123" s="12">
        <v>4469.2089999999998</v>
      </c>
      <c r="E123" s="12" t="s">
        <v>43</v>
      </c>
      <c r="F123" s="12" t="s">
        <v>43</v>
      </c>
      <c r="G123" s="12" t="s">
        <v>43</v>
      </c>
    </row>
    <row r="124" spans="1:7" x14ac:dyDescent="0.3">
      <c r="A124" s="11" t="s">
        <v>511</v>
      </c>
      <c r="B124" s="11" t="s">
        <v>512</v>
      </c>
      <c r="C124" s="12">
        <v>12.634</v>
      </c>
      <c r="D124" s="12">
        <v>517.33399999999995</v>
      </c>
      <c r="E124" s="12" t="s">
        <v>43</v>
      </c>
      <c r="F124" s="12" t="s">
        <v>43</v>
      </c>
      <c r="G124" s="12" t="s">
        <v>43</v>
      </c>
    </row>
    <row r="125" spans="1:7" x14ac:dyDescent="0.3">
      <c r="A125" s="11" t="s">
        <v>513</v>
      </c>
      <c r="B125" s="11" t="s">
        <v>514</v>
      </c>
      <c r="C125" s="12">
        <v>3047.9789999999998</v>
      </c>
      <c r="D125" s="12">
        <v>6612.7020000000002</v>
      </c>
      <c r="E125" s="12" t="s">
        <v>43</v>
      </c>
      <c r="F125" s="12" t="s">
        <v>43</v>
      </c>
      <c r="G125" s="12" t="s">
        <v>43</v>
      </c>
    </row>
    <row r="126" spans="1:7" x14ac:dyDescent="0.3">
      <c r="A126" s="11" t="s">
        <v>515</v>
      </c>
      <c r="B126" s="11" t="s">
        <v>516</v>
      </c>
      <c r="C126" s="12">
        <v>6.3E-2</v>
      </c>
      <c r="D126" s="12">
        <v>1.851</v>
      </c>
      <c r="E126" s="12" t="s">
        <v>43</v>
      </c>
      <c r="F126" s="12" t="s">
        <v>43</v>
      </c>
      <c r="G126" s="12" t="s">
        <v>43</v>
      </c>
    </row>
    <row r="127" spans="1:7" x14ac:dyDescent="0.3">
      <c r="A127" s="11" t="s">
        <v>517</v>
      </c>
      <c r="B127" s="11" t="s">
        <v>518</v>
      </c>
      <c r="C127" s="12">
        <v>9.2999999999999999E-2</v>
      </c>
      <c r="D127" s="12">
        <v>3.665</v>
      </c>
      <c r="E127" s="12" t="s">
        <v>43</v>
      </c>
      <c r="F127" s="12" t="s">
        <v>43</v>
      </c>
      <c r="G127" s="12" t="s">
        <v>43</v>
      </c>
    </row>
    <row r="128" spans="1:7" x14ac:dyDescent="0.3">
      <c r="A128" s="11" t="s">
        <v>519</v>
      </c>
      <c r="B128" s="11" t="s">
        <v>520</v>
      </c>
      <c r="C128" s="12">
        <v>0</v>
      </c>
      <c r="D128" s="12">
        <v>2.9239999999999999</v>
      </c>
      <c r="E128" s="12" t="s">
        <v>43</v>
      </c>
      <c r="F128" s="12" t="s">
        <v>43</v>
      </c>
      <c r="G128" s="12" t="s">
        <v>43</v>
      </c>
    </row>
    <row r="129" spans="1:7" x14ac:dyDescent="0.3">
      <c r="A129" s="11" t="s">
        <v>521</v>
      </c>
      <c r="B129" s="11" t="s">
        <v>522</v>
      </c>
      <c r="C129" s="12" t="s">
        <v>43</v>
      </c>
      <c r="D129" s="12" t="s">
        <v>43</v>
      </c>
      <c r="E129" s="12" t="s">
        <v>43</v>
      </c>
      <c r="F129" s="12" t="s">
        <v>43</v>
      </c>
      <c r="G129" s="12" t="s">
        <v>43</v>
      </c>
    </row>
    <row r="130" spans="1:7" x14ac:dyDescent="0.3">
      <c r="A130" s="11" t="s">
        <v>523</v>
      </c>
      <c r="B130" s="11" t="s">
        <v>524</v>
      </c>
      <c r="C130" s="12" t="s">
        <v>43</v>
      </c>
      <c r="D130" s="12" t="s">
        <v>43</v>
      </c>
      <c r="E130" s="12" t="s">
        <v>43</v>
      </c>
      <c r="F130" s="12" t="s">
        <v>43</v>
      </c>
      <c r="G130" s="12" t="s">
        <v>43</v>
      </c>
    </row>
    <row r="131" spans="1:7" x14ac:dyDescent="0.3">
      <c r="A131" s="11" t="s">
        <v>525</v>
      </c>
      <c r="B131" s="11" t="s">
        <v>526</v>
      </c>
      <c r="C131" s="12">
        <v>0</v>
      </c>
      <c r="D131" s="12">
        <v>1.056</v>
      </c>
      <c r="E131" s="12" t="s">
        <v>43</v>
      </c>
      <c r="F131" s="12" t="s">
        <v>43</v>
      </c>
      <c r="G131" s="12" t="s">
        <v>43</v>
      </c>
    </row>
    <row r="132" spans="1:7" x14ac:dyDescent="0.3">
      <c r="A132" s="11" t="s">
        <v>527</v>
      </c>
      <c r="B132" s="11" t="s">
        <v>528</v>
      </c>
      <c r="C132" s="12" t="s">
        <v>43</v>
      </c>
      <c r="D132" s="12" t="s">
        <v>43</v>
      </c>
      <c r="E132" s="12" t="s">
        <v>43</v>
      </c>
      <c r="F132" s="12" t="s">
        <v>43</v>
      </c>
      <c r="G132" s="12" t="s">
        <v>43</v>
      </c>
    </row>
    <row r="133" spans="1:7" x14ac:dyDescent="0.3">
      <c r="A133" s="11" t="s">
        <v>529</v>
      </c>
      <c r="B133" s="11" t="s">
        <v>530</v>
      </c>
      <c r="C133" s="12" t="s">
        <v>43</v>
      </c>
      <c r="D133" s="12" t="s">
        <v>43</v>
      </c>
      <c r="E133" s="12" t="s">
        <v>43</v>
      </c>
      <c r="F133" s="12" t="s">
        <v>43</v>
      </c>
      <c r="G133" s="12" t="s">
        <v>43</v>
      </c>
    </row>
    <row r="134" spans="1:7" x14ac:dyDescent="0.3">
      <c r="A134" s="11" t="s">
        <v>531</v>
      </c>
      <c r="B134" s="11" t="s">
        <v>532</v>
      </c>
      <c r="C134" s="12" t="s">
        <v>43</v>
      </c>
      <c r="D134" s="12" t="s">
        <v>43</v>
      </c>
      <c r="E134" s="12" t="s">
        <v>43</v>
      </c>
      <c r="F134" s="12" t="s">
        <v>43</v>
      </c>
      <c r="G134" s="12" t="s">
        <v>43</v>
      </c>
    </row>
    <row r="135" spans="1:7" x14ac:dyDescent="0.3">
      <c r="A135" s="11" t="s">
        <v>533</v>
      </c>
      <c r="B135" s="11" t="s">
        <v>534</v>
      </c>
      <c r="C135" s="12">
        <v>252.376</v>
      </c>
      <c r="D135" s="12">
        <v>677.80700000000002</v>
      </c>
      <c r="E135" s="12">
        <v>1026.7860000000001</v>
      </c>
      <c r="F135" s="12">
        <v>1080.3019999999999</v>
      </c>
      <c r="G135" s="12" t="s">
        <v>43</v>
      </c>
    </row>
    <row r="136" spans="1:7" x14ac:dyDescent="0.3">
      <c r="A136" s="11" t="s">
        <v>535</v>
      </c>
      <c r="B136" s="11" t="s">
        <v>536</v>
      </c>
      <c r="C136" s="23">
        <v>0</v>
      </c>
      <c r="D136" s="23">
        <v>0</v>
      </c>
      <c r="E136" s="23">
        <v>0</v>
      </c>
      <c r="F136" s="23" t="s">
        <v>43</v>
      </c>
      <c r="G136" s="23" t="s">
        <v>43</v>
      </c>
    </row>
    <row r="137" spans="1:7" x14ac:dyDescent="0.3">
      <c r="A137" s="11" t="s">
        <v>537</v>
      </c>
      <c r="B137" s="11" t="s">
        <v>538</v>
      </c>
      <c r="C137" s="23">
        <v>13.73</v>
      </c>
      <c r="D137" s="23">
        <v>14.13</v>
      </c>
      <c r="E137" s="23">
        <v>22.99</v>
      </c>
      <c r="F137" s="23">
        <v>35.29</v>
      </c>
      <c r="G137" s="23" t="s">
        <v>43</v>
      </c>
    </row>
    <row r="138" spans="1:7" x14ac:dyDescent="0.3">
      <c r="A138" s="11" t="s">
        <v>539</v>
      </c>
      <c r="B138" s="11" t="s">
        <v>540</v>
      </c>
      <c r="C138" s="23">
        <v>14.76</v>
      </c>
      <c r="D138" s="23">
        <v>37.700000000000003</v>
      </c>
      <c r="E138" s="23">
        <v>60.87</v>
      </c>
      <c r="F138" s="23">
        <v>55.34</v>
      </c>
      <c r="G138" s="23" t="s">
        <v>43</v>
      </c>
    </row>
    <row r="139" spans="1:7" x14ac:dyDescent="0.3">
      <c r="A139" s="11" t="s">
        <v>541</v>
      </c>
      <c r="B139" s="11" t="s">
        <v>542</v>
      </c>
      <c r="C139" s="12">
        <v>25.298400000000001</v>
      </c>
      <c r="D139" s="12">
        <v>30.7072</v>
      </c>
      <c r="E139" s="12">
        <v>36.880499999999998</v>
      </c>
      <c r="F139" s="12">
        <v>42.877400000000002</v>
      </c>
      <c r="G139" s="12" t="s">
        <v>43</v>
      </c>
    </row>
    <row r="140" spans="1:7" x14ac:dyDescent="0.3">
      <c r="A140" s="11" t="s">
        <v>543</v>
      </c>
      <c r="B140" s="11" t="s">
        <v>544</v>
      </c>
      <c r="C140" s="12" t="s">
        <v>43</v>
      </c>
      <c r="D140" s="12" t="s">
        <v>43</v>
      </c>
      <c r="E140" s="12" t="s">
        <v>43</v>
      </c>
      <c r="F140" s="12" t="s">
        <v>43</v>
      </c>
      <c r="G140" s="12" t="s">
        <v>43</v>
      </c>
    </row>
    <row r="141" spans="1:7" x14ac:dyDescent="0.3">
      <c r="A141" s="11" t="s">
        <v>545</v>
      </c>
      <c r="B141" s="11" t="s">
        <v>546</v>
      </c>
      <c r="C141" s="12">
        <v>74.272000000000006</v>
      </c>
      <c r="D141" s="12" t="s">
        <v>43</v>
      </c>
      <c r="E141" s="12" t="s">
        <v>43</v>
      </c>
      <c r="F141" s="12" t="s">
        <v>43</v>
      </c>
      <c r="G141" s="12" t="s">
        <v>43</v>
      </c>
    </row>
    <row r="142" spans="1:7" x14ac:dyDescent="0.3">
      <c r="A142" s="11" t="s">
        <v>547</v>
      </c>
      <c r="B142" s="11" t="s">
        <v>548</v>
      </c>
      <c r="C142" s="12">
        <v>100.071</v>
      </c>
      <c r="D142" s="12">
        <v>937.74099999999999</v>
      </c>
      <c r="E142" s="12">
        <v>621.346</v>
      </c>
      <c r="F142" s="12">
        <v>1780.8979999999999</v>
      </c>
      <c r="G142" s="12" t="s">
        <v>43</v>
      </c>
    </row>
    <row r="143" spans="1:7" x14ac:dyDescent="0.3">
      <c r="A143" s="11" t="s">
        <v>549</v>
      </c>
      <c r="B143" s="11" t="s">
        <v>550</v>
      </c>
      <c r="C143" s="12" t="s">
        <v>43</v>
      </c>
      <c r="D143" s="12">
        <v>0</v>
      </c>
      <c r="E143" s="12">
        <v>0</v>
      </c>
      <c r="F143" s="12">
        <v>0</v>
      </c>
      <c r="G143" s="12" t="s">
        <v>43</v>
      </c>
    </row>
    <row r="144" spans="1:7" x14ac:dyDescent="0.3">
      <c r="A144" s="11" t="s">
        <v>551</v>
      </c>
      <c r="B144" s="11" t="s">
        <v>552</v>
      </c>
      <c r="C144" s="12">
        <v>81.688000000000002</v>
      </c>
      <c r="D144" s="12">
        <v>199.113</v>
      </c>
      <c r="E144" s="12">
        <v>564.05899999999997</v>
      </c>
      <c r="F144" s="12">
        <v>4201.0590000000002</v>
      </c>
      <c r="G144" s="12" t="s">
        <v>43</v>
      </c>
    </row>
    <row r="145" spans="1:7" x14ac:dyDescent="0.3">
      <c r="A145" s="11" t="s">
        <v>553</v>
      </c>
      <c r="B145" s="11" t="s">
        <v>554</v>
      </c>
      <c r="C145" s="12">
        <v>0</v>
      </c>
      <c r="D145" s="12" t="s">
        <v>43</v>
      </c>
      <c r="E145" s="12" t="s">
        <v>43</v>
      </c>
      <c r="F145" s="12" t="s">
        <v>43</v>
      </c>
      <c r="G145" s="12" t="s">
        <v>43</v>
      </c>
    </row>
    <row r="146" spans="1:7" x14ac:dyDescent="0.3">
      <c r="A146" s="11" t="s">
        <v>555</v>
      </c>
      <c r="B146" s="11" t="s">
        <v>556</v>
      </c>
      <c r="C146" s="12">
        <v>0</v>
      </c>
      <c r="D146" s="12">
        <v>0</v>
      </c>
      <c r="E146" s="12">
        <v>0</v>
      </c>
      <c r="F146" s="12" t="s">
        <v>43</v>
      </c>
      <c r="G146" s="12" t="s">
        <v>43</v>
      </c>
    </row>
    <row r="147" spans="1:7" x14ac:dyDescent="0.3">
      <c r="A147" s="11" t="s">
        <v>557</v>
      </c>
      <c r="B147" s="11" t="s">
        <v>558</v>
      </c>
      <c r="C147" s="12" t="s">
        <v>43</v>
      </c>
      <c r="D147" s="12">
        <v>0.69399999999999995</v>
      </c>
      <c r="E147" s="12">
        <v>3.0000000000000001E-3</v>
      </c>
      <c r="F147" s="12">
        <v>1.2999999999999999E-2</v>
      </c>
      <c r="G147" s="12" t="s">
        <v>43</v>
      </c>
    </row>
    <row r="148" spans="1:7" x14ac:dyDescent="0.3">
      <c r="A148" s="11" t="s">
        <v>559</v>
      </c>
      <c r="B148" s="11" t="s">
        <v>560</v>
      </c>
      <c r="C148" s="12">
        <v>0</v>
      </c>
      <c r="D148" s="12">
        <v>0</v>
      </c>
      <c r="E148" s="12">
        <v>0.54800000000000004</v>
      </c>
      <c r="F148" s="12">
        <v>8.6999999999999994E-2</v>
      </c>
      <c r="G148" s="12" t="s">
        <v>43</v>
      </c>
    </row>
    <row r="149" spans="1:7" x14ac:dyDescent="0.3">
      <c r="A149" s="11" t="s">
        <v>561</v>
      </c>
      <c r="B149" s="11" t="s">
        <v>562</v>
      </c>
      <c r="C149" s="12">
        <v>0</v>
      </c>
      <c r="D149" s="12" t="s">
        <v>43</v>
      </c>
      <c r="E149" s="12" t="s">
        <v>43</v>
      </c>
      <c r="F149" s="12" t="s">
        <v>43</v>
      </c>
      <c r="G149" s="12" t="s">
        <v>43</v>
      </c>
    </row>
    <row r="150" spans="1:7" x14ac:dyDescent="0.3">
      <c r="A150" s="11" t="s">
        <v>563</v>
      </c>
      <c r="B150" s="11" t="s">
        <v>564</v>
      </c>
      <c r="C150" s="12">
        <v>0.28599999999999998</v>
      </c>
      <c r="D150" s="12">
        <v>0.45</v>
      </c>
      <c r="E150" s="12">
        <v>0.49</v>
      </c>
      <c r="F150" s="12">
        <v>0.40699999999999997</v>
      </c>
      <c r="G150" s="12" t="s">
        <v>43</v>
      </c>
    </row>
    <row r="151" spans="1:7" x14ac:dyDescent="0.3">
      <c r="A151" s="11" t="s">
        <v>565</v>
      </c>
      <c r="B151" s="11" t="s">
        <v>566</v>
      </c>
      <c r="C151" s="12" t="s">
        <v>43</v>
      </c>
      <c r="D151" s="12">
        <v>0</v>
      </c>
      <c r="E151" s="12">
        <v>0</v>
      </c>
      <c r="F151" s="12">
        <v>0</v>
      </c>
      <c r="G151" s="12" t="s">
        <v>43</v>
      </c>
    </row>
    <row r="152" spans="1:7" x14ac:dyDescent="0.3">
      <c r="A152" s="11" t="s">
        <v>567</v>
      </c>
      <c r="B152" s="11" t="s">
        <v>568</v>
      </c>
      <c r="C152" s="12">
        <v>40.381</v>
      </c>
      <c r="D152" s="12">
        <v>224.38499999999999</v>
      </c>
      <c r="E152" s="12">
        <v>223.02699999999999</v>
      </c>
      <c r="F152" s="12">
        <v>29.907</v>
      </c>
      <c r="G152" s="12" t="s">
        <v>43</v>
      </c>
    </row>
    <row r="153" spans="1:7" x14ac:dyDescent="0.3">
      <c r="A153" s="11" t="s">
        <v>569</v>
      </c>
      <c r="B153" s="11" t="s">
        <v>570</v>
      </c>
      <c r="C153" s="12" t="s">
        <v>43</v>
      </c>
      <c r="D153" s="12">
        <v>938.19100000000003</v>
      </c>
      <c r="E153" s="12">
        <v>621.83600000000001</v>
      </c>
      <c r="F153" s="12">
        <v>1781.3050000000001</v>
      </c>
      <c r="G153" s="12" t="s">
        <v>43</v>
      </c>
    </row>
    <row r="154" spans="1:7" x14ac:dyDescent="0.3">
      <c r="A154" s="11" t="s">
        <v>571</v>
      </c>
      <c r="B154" s="11" t="s">
        <v>572</v>
      </c>
      <c r="C154" s="12" t="s">
        <v>43</v>
      </c>
      <c r="D154" s="12">
        <v>0.69399999999999995</v>
      </c>
      <c r="E154" s="12">
        <v>3.0000000000000001E-3</v>
      </c>
      <c r="F154" s="12">
        <v>1.2999999999999999E-2</v>
      </c>
      <c r="G154" s="12" t="s">
        <v>43</v>
      </c>
    </row>
    <row r="155" spans="1:7" x14ac:dyDescent="0.3">
      <c r="A155" s="11" t="s">
        <v>573</v>
      </c>
      <c r="B155" s="11" t="s">
        <v>574</v>
      </c>
      <c r="C155" s="12" t="s">
        <v>43</v>
      </c>
      <c r="D155" s="12">
        <v>423.49799999999999</v>
      </c>
      <c r="E155" s="12">
        <v>787.63400000000001</v>
      </c>
      <c r="F155" s="12">
        <v>4231.0529999999999</v>
      </c>
      <c r="G155" s="12" t="s">
        <v>43</v>
      </c>
    </row>
    <row r="156" spans="1:7" x14ac:dyDescent="0.3">
      <c r="A156" s="11" t="s">
        <v>575</v>
      </c>
      <c r="B156" s="11" t="s">
        <v>576</v>
      </c>
      <c r="C156" s="12" t="s">
        <v>43</v>
      </c>
      <c r="D156" s="12" t="s">
        <v>43</v>
      </c>
      <c r="E156" s="12">
        <v>0</v>
      </c>
      <c r="F156" s="12">
        <v>0</v>
      </c>
      <c r="G156" s="12" t="s">
        <v>43</v>
      </c>
    </row>
    <row r="157" spans="1:7" x14ac:dyDescent="0.3">
      <c r="A157" s="11" t="s">
        <v>577</v>
      </c>
      <c r="B157" s="11" t="s">
        <v>578</v>
      </c>
      <c r="C157" s="12">
        <v>11.64</v>
      </c>
      <c r="D157" s="12">
        <v>15.401</v>
      </c>
      <c r="E157" s="12">
        <v>5.42</v>
      </c>
      <c r="F157" s="12">
        <v>5.5220000000000002</v>
      </c>
      <c r="G157" s="12" t="s">
        <v>43</v>
      </c>
    </row>
    <row r="158" spans="1:7" x14ac:dyDescent="0.3">
      <c r="A158" s="11" t="s">
        <v>579</v>
      </c>
      <c r="B158" s="11" t="s">
        <v>580</v>
      </c>
      <c r="C158" s="12" t="s">
        <v>43</v>
      </c>
      <c r="D158" s="12">
        <v>0</v>
      </c>
      <c r="E158" s="12">
        <v>2.2770000000000001</v>
      </c>
      <c r="F158" s="12">
        <v>2.8180000000000001</v>
      </c>
      <c r="G158" s="12" t="s">
        <v>43</v>
      </c>
    </row>
    <row r="159" spans="1:7" x14ac:dyDescent="0.3">
      <c r="A159" s="11" t="s">
        <v>581</v>
      </c>
      <c r="B159" s="11" t="s">
        <v>582</v>
      </c>
      <c r="C159" s="12" t="s">
        <v>43</v>
      </c>
      <c r="D159" s="12">
        <v>0</v>
      </c>
      <c r="E159" s="12">
        <v>0</v>
      </c>
      <c r="F159" s="12">
        <v>0</v>
      </c>
      <c r="G159" s="12" t="s">
        <v>43</v>
      </c>
    </row>
    <row r="160" spans="1:7" x14ac:dyDescent="0.3">
      <c r="A160" s="11" t="s">
        <v>583</v>
      </c>
      <c r="B160" s="11" t="s">
        <v>584</v>
      </c>
      <c r="C160" s="12" t="s">
        <v>43</v>
      </c>
      <c r="D160" s="12">
        <v>0</v>
      </c>
      <c r="E160" s="12">
        <v>0</v>
      </c>
      <c r="F160" s="12">
        <v>0</v>
      </c>
      <c r="G160" s="12" t="s">
        <v>43</v>
      </c>
    </row>
    <row r="161" spans="1:7" x14ac:dyDescent="0.3">
      <c r="A161" s="11" t="s">
        <v>585</v>
      </c>
      <c r="B161" s="11" t="s">
        <v>586</v>
      </c>
      <c r="C161" s="12" t="s">
        <v>43</v>
      </c>
      <c r="D161" s="12">
        <v>0</v>
      </c>
      <c r="E161" s="12">
        <v>0</v>
      </c>
      <c r="F161" s="12">
        <v>0</v>
      </c>
      <c r="G161" s="12" t="s">
        <v>43</v>
      </c>
    </row>
    <row r="162" spans="1:7" x14ac:dyDescent="0.3">
      <c r="A162" s="11" t="s">
        <v>587</v>
      </c>
      <c r="B162" s="11" t="s">
        <v>588</v>
      </c>
      <c r="C162" s="12" t="s">
        <v>43</v>
      </c>
      <c r="D162" s="12">
        <v>0</v>
      </c>
      <c r="E162" s="12">
        <v>2.2770000000000001</v>
      </c>
      <c r="F162" s="12">
        <v>2.8180000000000001</v>
      </c>
      <c r="G162" s="12" t="s">
        <v>43</v>
      </c>
    </row>
    <row r="163" spans="1:7" x14ac:dyDescent="0.3">
      <c r="A163" s="11" t="s">
        <v>589</v>
      </c>
      <c r="B163" s="11" t="s">
        <v>590</v>
      </c>
      <c r="C163" s="12" t="s">
        <v>43</v>
      </c>
      <c r="D163" s="12">
        <v>0</v>
      </c>
      <c r="E163" s="12">
        <v>5.42</v>
      </c>
      <c r="F163" s="12">
        <v>5.5220000000000002</v>
      </c>
      <c r="G163" s="12" t="s">
        <v>43</v>
      </c>
    </row>
    <row r="164" spans="1:7" x14ac:dyDescent="0.3">
      <c r="A164" s="11" t="s">
        <v>591</v>
      </c>
      <c r="B164" s="11" t="s">
        <v>592</v>
      </c>
      <c r="C164" s="12">
        <v>47.188600000000001</v>
      </c>
      <c r="D164" s="12">
        <v>47.465699999999998</v>
      </c>
      <c r="E164" s="12">
        <v>46.2226</v>
      </c>
      <c r="F164" s="12">
        <v>68.533199999999994</v>
      </c>
      <c r="G164" s="12" t="s">
        <v>43</v>
      </c>
    </row>
    <row r="165" spans="1:7" x14ac:dyDescent="0.3">
      <c r="A165" s="11" t="s">
        <v>593</v>
      </c>
      <c r="B165" s="11" t="s">
        <v>594</v>
      </c>
      <c r="C165" s="12">
        <v>4.5699999999999998E-2</v>
      </c>
      <c r="D165" s="12">
        <v>0</v>
      </c>
      <c r="E165" s="12">
        <v>4.0125000000000002</v>
      </c>
      <c r="F165" s="12">
        <v>9.2922999999999991</v>
      </c>
      <c r="G165" s="12" t="s">
        <v>43</v>
      </c>
    </row>
    <row r="166" spans="1:7" x14ac:dyDescent="0.3">
      <c r="A166" s="11" t="s">
        <v>595</v>
      </c>
      <c r="B166" s="11" t="s">
        <v>596</v>
      </c>
      <c r="C166" s="12">
        <v>9.3419000000000008</v>
      </c>
      <c r="D166" s="12">
        <v>8.1292000000000009</v>
      </c>
      <c r="E166" s="12">
        <v>9.6522000000000006</v>
      </c>
      <c r="F166" s="12">
        <v>10.854200000000001</v>
      </c>
      <c r="G166" s="12" t="s">
        <v>43</v>
      </c>
    </row>
    <row r="167" spans="1:7" x14ac:dyDescent="0.3">
      <c r="A167" s="11" t="s">
        <v>597</v>
      </c>
      <c r="B167" s="11" t="s">
        <v>598</v>
      </c>
      <c r="C167" s="23">
        <v>46.36</v>
      </c>
      <c r="D167" s="23">
        <v>137.76</v>
      </c>
      <c r="E167" s="23">
        <v>120.48</v>
      </c>
      <c r="F167" s="23">
        <v>90.02</v>
      </c>
      <c r="G167" s="23" t="s">
        <v>43</v>
      </c>
    </row>
    <row r="168" spans="1:7" x14ac:dyDescent="0.3">
      <c r="A168" s="11" t="s">
        <v>599</v>
      </c>
      <c r="B168" s="11" t="s">
        <v>600</v>
      </c>
      <c r="C168" s="12">
        <v>1172.652</v>
      </c>
      <c r="D168" s="12">
        <v>3420.239</v>
      </c>
      <c r="E168" s="12">
        <v>7424.4089999999997</v>
      </c>
      <c r="F168" s="12">
        <v>5810.8239999999996</v>
      </c>
      <c r="G168" s="12" t="s">
        <v>43</v>
      </c>
    </row>
    <row r="169" spans="1:7" x14ac:dyDescent="0.3">
      <c r="A169" s="11" t="s">
        <v>601</v>
      </c>
      <c r="B169" s="11" t="s">
        <v>602</v>
      </c>
      <c r="C169" s="23">
        <v>0.39</v>
      </c>
      <c r="D169" s="23">
        <v>0.74</v>
      </c>
      <c r="E169" s="23">
        <v>2.79</v>
      </c>
      <c r="F169" s="23">
        <v>3.6</v>
      </c>
      <c r="G169" s="23" t="s">
        <v>43</v>
      </c>
    </row>
    <row r="170" spans="1:7" x14ac:dyDescent="0.3">
      <c r="A170" s="11" t="s">
        <v>603</v>
      </c>
      <c r="B170" s="11" t="s">
        <v>604</v>
      </c>
      <c r="C170" s="23">
        <v>1.66</v>
      </c>
      <c r="D170" s="23">
        <v>1.07</v>
      </c>
      <c r="E170" s="23">
        <v>2.84</v>
      </c>
      <c r="F170" s="23">
        <v>4.0999999999999996</v>
      </c>
      <c r="G170" s="23" t="s">
        <v>43</v>
      </c>
    </row>
    <row r="171" spans="1:7" x14ac:dyDescent="0.3">
      <c r="A171" s="11" t="s">
        <v>605</v>
      </c>
      <c r="B171" s="11" t="s">
        <v>606</v>
      </c>
      <c r="C171" s="23">
        <v>5.5</v>
      </c>
      <c r="D171" s="23">
        <v>5.6</v>
      </c>
      <c r="E171" s="23">
        <v>5.0999999999999996</v>
      </c>
      <c r="F171" s="23">
        <v>6.5</v>
      </c>
      <c r="G171" s="23" t="s">
        <v>43</v>
      </c>
    </row>
    <row r="172" spans="1:7" x14ac:dyDescent="0.3">
      <c r="A172" s="11" t="s">
        <v>607</v>
      </c>
      <c r="B172" s="11" t="s">
        <v>608</v>
      </c>
      <c r="C172" s="23">
        <v>7.5</v>
      </c>
      <c r="D172" s="23">
        <v>7.5</v>
      </c>
      <c r="E172" s="23">
        <v>7.5</v>
      </c>
      <c r="F172" s="23">
        <v>7</v>
      </c>
      <c r="G172" s="23" t="s">
        <v>43</v>
      </c>
    </row>
    <row r="173" spans="1:7" x14ac:dyDescent="0.3">
      <c r="A173" s="11" t="s">
        <v>609</v>
      </c>
      <c r="B173" s="11" t="s">
        <v>610</v>
      </c>
      <c r="C173" s="23">
        <v>32.4</v>
      </c>
      <c r="D173" s="23">
        <v>32.1</v>
      </c>
      <c r="E173" s="23">
        <v>48.7</v>
      </c>
      <c r="F173" s="23">
        <v>60.2</v>
      </c>
      <c r="G173" s="23" t="s">
        <v>43</v>
      </c>
    </row>
    <row r="174" spans="1:7" x14ac:dyDescent="0.3">
      <c r="A174" s="11" t="s">
        <v>611</v>
      </c>
      <c r="B174" s="11" t="s">
        <v>612</v>
      </c>
      <c r="C174" s="23">
        <v>33.700000000000003</v>
      </c>
      <c r="D174" s="23">
        <v>33</v>
      </c>
      <c r="E174" s="23">
        <v>55.9</v>
      </c>
      <c r="F174" s="23">
        <v>62</v>
      </c>
      <c r="G174" s="23" t="s">
        <v>43</v>
      </c>
    </row>
    <row r="175" spans="1:7" x14ac:dyDescent="0.3">
      <c r="A175" s="25" t="s">
        <v>125</v>
      </c>
      <c r="B175" s="25"/>
      <c r="C175" s="25" t="s">
        <v>126</v>
      </c>
      <c r="D175" s="25"/>
      <c r="E175" s="25"/>
      <c r="F175" s="25"/>
      <c r="G175"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8B1E-F9D5-4602-B28A-374FAA46A6F8}">
  <sheetPr>
    <pageSetUpPr autoPageBreaks="0"/>
  </sheetPr>
  <dimension ref="A1:O71"/>
  <sheetViews>
    <sheetView workbookViewId="0">
      <selection activeCell="F12" sqref="F12"/>
    </sheetView>
  </sheetViews>
  <sheetFormatPr defaultRowHeight="14.4" x14ac:dyDescent="0.3"/>
  <cols>
    <col min="1" max="1" width="35.109375" customWidth="1"/>
    <col min="2" max="2" width="0" hidden="1" customWidth="1"/>
    <col min="3" max="15" width="11.88671875" customWidth="1"/>
  </cols>
  <sheetData>
    <row r="1" spans="1:15" x14ac:dyDescent="0.3">
      <c r="A1" s="1"/>
      <c r="B1" s="1"/>
      <c r="C1" s="1"/>
      <c r="D1" s="1"/>
      <c r="E1" s="1"/>
      <c r="F1" s="1"/>
      <c r="G1" s="1"/>
    </row>
    <row r="2" spans="1:15" ht="21" x14ac:dyDescent="0.3">
      <c r="A2" s="2" t="s">
        <v>613</v>
      </c>
      <c r="B2" s="2"/>
      <c r="C2" s="2"/>
      <c r="D2" s="2"/>
      <c r="E2" s="2"/>
      <c r="F2" s="2"/>
      <c r="G2" s="2"/>
    </row>
    <row r="3" spans="1:15" x14ac:dyDescent="0.3">
      <c r="A3" s="3"/>
      <c r="B3" s="3"/>
      <c r="C3" s="3"/>
      <c r="D3" s="3"/>
      <c r="E3" s="3"/>
      <c r="F3" s="3"/>
      <c r="G3" s="3"/>
    </row>
    <row r="4" spans="1:15" x14ac:dyDescent="0.3">
      <c r="A4" s="4" t="s">
        <v>0</v>
      </c>
      <c r="B4" s="4"/>
      <c r="C4" s="5" t="s">
        <v>129</v>
      </c>
      <c r="D4" s="5" t="s">
        <v>130</v>
      </c>
      <c r="E4" s="5" t="s">
        <v>127</v>
      </c>
      <c r="F4" s="5" t="s">
        <v>1</v>
      </c>
      <c r="G4" s="5" t="s">
        <v>2</v>
      </c>
      <c r="H4" s="47">
        <v>2025</v>
      </c>
      <c r="I4" s="47">
        <f>H4+1</f>
        <v>2026</v>
      </c>
      <c r="J4" s="47">
        <f t="shared" ref="J4:O4" si="0">I4+1</f>
        <v>2027</v>
      </c>
      <c r="K4" s="47">
        <f t="shared" si="0"/>
        <v>2028</v>
      </c>
      <c r="L4" s="47">
        <f t="shared" si="0"/>
        <v>2029</v>
      </c>
      <c r="M4" s="47">
        <f t="shared" si="0"/>
        <v>2030</v>
      </c>
      <c r="N4" s="47">
        <f t="shared" si="0"/>
        <v>2031</v>
      </c>
      <c r="O4" s="47">
        <f t="shared" si="0"/>
        <v>2032</v>
      </c>
    </row>
    <row r="5" spans="1:15" x14ac:dyDescent="0.3">
      <c r="A5" s="6" t="s">
        <v>6</v>
      </c>
      <c r="B5" s="6"/>
      <c r="C5" s="26">
        <v>44196</v>
      </c>
      <c r="D5" s="7" t="s">
        <v>132</v>
      </c>
      <c r="E5" s="7" t="s">
        <v>133</v>
      </c>
      <c r="F5" s="7" t="s">
        <v>7</v>
      </c>
      <c r="G5" s="7" t="s">
        <v>8</v>
      </c>
      <c r="H5" s="7" t="s">
        <v>9</v>
      </c>
      <c r="I5" s="7" t="s">
        <v>10</v>
      </c>
      <c r="J5" s="26">
        <v>46752</v>
      </c>
      <c r="K5" s="26">
        <v>47118</v>
      </c>
      <c r="L5" s="26">
        <v>47483</v>
      </c>
      <c r="M5" s="26">
        <v>47848</v>
      </c>
      <c r="N5" s="26">
        <v>48213</v>
      </c>
      <c r="O5" s="26">
        <v>48579</v>
      </c>
    </row>
    <row r="6" spans="1:15" x14ac:dyDescent="0.3">
      <c r="A6" s="8" t="s">
        <v>753</v>
      </c>
      <c r="B6" s="17"/>
      <c r="C6" s="17"/>
      <c r="D6" s="17"/>
      <c r="E6" s="17"/>
      <c r="F6" s="17"/>
      <c r="G6" s="17"/>
      <c r="H6" s="17"/>
      <c r="I6" s="17"/>
      <c r="J6" s="17"/>
      <c r="K6" s="17"/>
      <c r="L6" s="17"/>
      <c r="M6" s="17"/>
      <c r="N6" s="17"/>
      <c r="O6" s="17"/>
    </row>
    <row r="7" spans="1:15" x14ac:dyDescent="0.3">
      <c r="A7" s="11" t="s">
        <v>754</v>
      </c>
      <c r="B7" s="11" t="s">
        <v>755</v>
      </c>
      <c r="C7" s="12">
        <f>'IS Model'!C66</f>
        <v>-1618.0560000000003</v>
      </c>
      <c r="D7" s="12">
        <f>'IS Model'!D66</f>
        <v>-2046.7589999999996</v>
      </c>
      <c r="E7" s="12">
        <f>'IS Model'!E66</f>
        <v>-1651.4209999999998</v>
      </c>
      <c r="F7" s="12">
        <f>'IS Model'!F66</f>
        <v>150.72599999999932</v>
      </c>
      <c r="G7" s="12">
        <f>'IS Model'!G66</f>
        <v>444.28900000000186</v>
      </c>
      <c r="H7" s="12">
        <f ca="1">'IS Model'!H66</f>
        <v>535.49392277523884</v>
      </c>
      <c r="I7" s="12">
        <f ca="1">'IS Model'!I66</f>
        <v>934.27295227515242</v>
      </c>
      <c r="J7" s="12">
        <f ca="1">'IS Model'!J66</f>
        <v>1283.0461584196619</v>
      </c>
      <c r="K7" s="12">
        <f ca="1">'IS Model'!K66</f>
        <v>2104.2621628651445</v>
      </c>
      <c r="L7" s="12">
        <f ca="1">'IS Model'!L66</f>
        <v>2697.1628106004018</v>
      </c>
      <c r="M7" s="12">
        <f ca="1">'IS Model'!M66</f>
        <v>3989.1992483356162</v>
      </c>
      <c r="N7" s="12">
        <f ca="1">'IS Model'!N66</f>
        <v>4705.2075320064287</v>
      </c>
      <c r="O7" s="12">
        <f ca="1">'IS Model'!O66</f>
        <v>5598.4813143413567</v>
      </c>
    </row>
    <row r="8" spans="1:15" x14ac:dyDescent="0.3">
      <c r="A8" s="11" t="s">
        <v>756</v>
      </c>
      <c r="B8" s="11" t="s">
        <v>757</v>
      </c>
      <c r="C8" s="12">
        <f>'IS Model'!C85</f>
        <v>180.761</v>
      </c>
      <c r="D8" s="12">
        <f>'IS Model'!D85</f>
        <v>279.03199999999998</v>
      </c>
      <c r="E8" s="12">
        <f>'IS Model'!E85</f>
        <v>428.34399999999999</v>
      </c>
      <c r="F8" s="12">
        <f>'IS Model'!F85</f>
        <v>440.84500000000003</v>
      </c>
      <c r="G8" s="12">
        <f>'IS Model'!G85</f>
        <v>389.673</v>
      </c>
      <c r="H8" s="12">
        <f>'BS Model'!H34</f>
        <v>393.75315000000001</v>
      </c>
      <c r="I8" s="12">
        <f>'BS Model'!I34</f>
        <v>411.42568188560028</v>
      </c>
      <c r="J8" s="12">
        <f>'BS Model'!J34</f>
        <v>462.19038460236095</v>
      </c>
      <c r="K8" s="12">
        <f>'BS Model'!K34</f>
        <v>536.33268412900532</v>
      </c>
      <c r="L8" s="12">
        <f>'BS Model'!L34</f>
        <v>634.51712021724677</v>
      </c>
      <c r="M8" s="12">
        <f>'BS Model'!M34</f>
        <v>751.82532228561388</v>
      </c>
      <c r="N8" s="12">
        <f>'BS Model'!N34</f>
        <v>890.90640361987141</v>
      </c>
      <c r="O8" s="12">
        <f>'BS Model'!O34</f>
        <v>1045.4824872673773</v>
      </c>
    </row>
    <row r="9" spans="1:15" x14ac:dyDescent="0.3">
      <c r="A9" s="11" t="s">
        <v>758</v>
      </c>
      <c r="B9" s="11" t="s">
        <v>759</v>
      </c>
      <c r="C9" s="11"/>
      <c r="D9" s="12">
        <v>752.41800000000001</v>
      </c>
      <c r="E9" s="12">
        <v>1491.471</v>
      </c>
      <c r="F9" s="12">
        <v>1188.6199999999999</v>
      </c>
      <c r="G9" s="12"/>
      <c r="H9" s="12">
        <f>H10+H11+H12</f>
        <v>1099.5004294416492</v>
      </c>
      <c r="I9" s="12"/>
      <c r="J9" s="12"/>
      <c r="K9" s="12"/>
      <c r="L9" s="12"/>
      <c r="M9" s="12"/>
      <c r="N9" s="12"/>
      <c r="O9" s="12"/>
    </row>
    <row r="10" spans="1:15" x14ac:dyDescent="0.3">
      <c r="A10" s="11" t="s">
        <v>760</v>
      </c>
      <c r="B10" s="11" t="s">
        <v>761</v>
      </c>
      <c r="C10" s="11"/>
      <c r="D10" s="41">
        <v>470.32400000000001</v>
      </c>
      <c r="E10" s="41">
        <v>705.89599999999996</v>
      </c>
      <c r="F10" s="41">
        <v>685.03</v>
      </c>
      <c r="G10" s="12" t="s">
        <v>43</v>
      </c>
      <c r="H10" s="124">
        <f>'BS Model'!H102</f>
        <v>929.53529442481613</v>
      </c>
      <c r="I10" s="124">
        <f>'BS Model'!I102</f>
        <v>1110.4790069554012</v>
      </c>
      <c r="J10" s="124">
        <f>'BS Model'!J102</f>
        <v>1314.3336804044718</v>
      </c>
      <c r="K10" s="124">
        <f>'BS Model'!K102</f>
        <v>1577.6905664353546</v>
      </c>
      <c r="L10" s="124">
        <f>'BS Model'!L102</f>
        <v>1838.9065600874465</v>
      </c>
      <c r="M10" s="124">
        <f>'BS Model'!M102</f>
        <v>2180.8807840391119</v>
      </c>
      <c r="N10" s="124">
        <f>'BS Model'!N102</f>
        <v>2533.2556337482151</v>
      </c>
      <c r="O10" s="124">
        <f>'BS Model'!O102</f>
        <v>2933.4134824310063</v>
      </c>
    </row>
    <row r="11" spans="1:15" x14ac:dyDescent="0.3">
      <c r="A11" s="11" t="s">
        <v>762</v>
      </c>
      <c r="B11" s="11" t="s">
        <v>763</v>
      </c>
      <c r="C11" s="11"/>
      <c r="D11" s="12">
        <v>-0.97499999999999998</v>
      </c>
      <c r="E11" s="12">
        <v>-140.553</v>
      </c>
      <c r="F11" s="12">
        <v>-94.551000000000002</v>
      </c>
      <c r="G11" s="12" t="s">
        <v>43</v>
      </c>
      <c r="H11" s="12">
        <f>('BS Model'!H91-'BS Model'!G91)-('BS Model'!H47-'BS Model'!G47)</f>
        <v>169.96513501683313</v>
      </c>
      <c r="I11" s="12">
        <f>('BS Model'!I91-'BS Model'!H91)-('BS Model'!I47-'BS Model'!H47)</f>
        <v>-87.607224140943202</v>
      </c>
      <c r="J11" s="12">
        <f>('BS Model'!J91-'BS Model'!I91)-('BS Model'!J47-'BS Model'!I47)</f>
        <v>-91.280004530420982</v>
      </c>
      <c r="K11" s="12">
        <f>('BS Model'!K91-'BS Model'!J91)-('BS Model'!K47-'BS Model'!J47)</f>
        <v>-86.648090047501952</v>
      </c>
      <c r="L11" s="12">
        <f>('BS Model'!L91-'BS Model'!K91)-('BS Model'!L47-'BS Model'!K47)</f>
        <v>-114.18605901499599</v>
      </c>
      <c r="M11" s="12">
        <f>('BS Model'!M91-'BS Model'!L91)-('BS Model'!M47-'BS Model'!L47)</f>
        <v>-97.521287953891076</v>
      </c>
      <c r="N11" s="12">
        <f>('BS Model'!N91-'BS Model'!M91)-('BS Model'!N47-'BS Model'!M47)</f>
        <v>-130.94087414530824</v>
      </c>
      <c r="O11" s="12">
        <f>('BS Model'!O91-'BS Model'!N91)-('BS Model'!O47-'BS Model'!N47)</f>
        <v>-151.25397948985605</v>
      </c>
    </row>
    <row r="12" spans="1:15" x14ac:dyDescent="0.3">
      <c r="A12" s="11" t="s">
        <v>764</v>
      </c>
      <c r="B12" s="11" t="s">
        <v>765</v>
      </c>
      <c r="C12" s="11"/>
      <c r="D12" s="12">
        <v>283.06900000000002</v>
      </c>
      <c r="E12" s="12">
        <v>926.12800000000004</v>
      </c>
      <c r="F12" s="12">
        <v>598.14099999999996</v>
      </c>
      <c r="G12" s="12" t="s">
        <v>43</v>
      </c>
      <c r="H12" s="12"/>
      <c r="I12" s="12"/>
      <c r="J12" s="12"/>
      <c r="K12" s="12"/>
      <c r="L12" s="12"/>
      <c r="M12" s="12"/>
      <c r="N12" s="12"/>
      <c r="O12" s="12"/>
    </row>
    <row r="13" spans="1:15" x14ac:dyDescent="0.3">
      <c r="A13" s="11" t="s">
        <v>766</v>
      </c>
      <c r="B13" s="11" t="s">
        <v>767</v>
      </c>
      <c r="C13" s="11"/>
      <c r="D13" s="12">
        <v>1223.9580000000001</v>
      </c>
      <c r="E13" s="12">
        <v>-1324.086</v>
      </c>
      <c r="F13" s="12">
        <v>299.49700000000001</v>
      </c>
      <c r="G13" s="12" t="s">
        <v>43</v>
      </c>
      <c r="H13" s="12"/>
      <c r="I13" s="12"/>
      <c r="J13" s="12"/>
      <c r="K13" s="12"/>
      <c r="L13" s="12"/>
      <c r="M13" s="12"/>
      <c r="N13" s="12"/>
      <c r="O13" s="12"/>
    </row>
    <row r="14" spans="1:15" x14ac:dyDescent="0.3">
      <c r="A14" s="11" t="s">
        <v>768</v>
      </c>
      <c r="B14" s="11" t="s">
        <v>769</v>
      </c>
      <c r="C14" s="11"/>
      <c r="D14" s="12">
        <v>-37.066000000000003</v>
      </c>
      <c r="E14" s="12">
        <v>98.980999999999995</v>
      </c>
      <c r="F14" s="12">
        <v>7.516</v>
      </c>
      <c r="G14" s="12" t="s">
        <v>43</v>
      </c>
      <c r="H14" s="12"/>
      <c r="I14" s="12"/>
      <c r="J14" s="12"/>
      <c r="K14" s="12"/>
      <c r="L14" s="12"/>
      <c r="M14" s="12"/>
      <c r="N14" s="12"/>
      <c r="O14" s="12"/>
    </row>
    <row r="15" spans="1:15" x14ac:dyDescent="0.3">
      <c r="A15" s="11" t="s">
        <v>770</v>
      </c>
      <c r="B15" s="11" t="s">
        <v>771</v>
      </c>
      <c r="C15" s="11"/>
      <c r="D15" s="12">
        <v>-62.734999999999999</v>
      </c>
      <c r="E15" s="12">
        <v>1.4410000000000001</v>
      </c>
      <c r="F15" s="12">
        <v>-14.837999999999999</v>
      </c>
      <c r="G15" s="12" t="s">
        <v>43</v>
      </c>
      <c r="H15" s="12"/>
      <c r="I15" s="12"/>
      <c r="J15" s="12"/>
      <c r="K15" s="12"/>
      <c r="L15" s="12"/>
      <c r="M15" s="12"/>
      <c r="N15" s="12"/>
      <c r="O15" s="12"/>
    </row>
    <row r="16" spans="1:15" x14ac:dyDescent="0.3">
      <c r="A16" s="11" t="s">
        <v>772</v>
      </c>
      <c r="B16" s="11" t="s">
        <v>773</v>
      </c>
      <c r="C16" s="11"/>
      <c r="D16" s="12">
        <v>99.638999999999996</v>
      </c>
      <c r="E16" s="12">
        <v>43.311</v>
      </c>
      <c r="F16" s="12">
        <v>81.381</v>
      </c>
      <c r="G16" s="12" t="s">
        <v>43</v>
      </c>
      <c r="H16" s="12"/>
      <c r="I16" s="12"/>
      <c r="J16" s="12"/>
      <c r="K16" s="12"/>
      <c r="L16" s="12"/>
      <c r="M16" s="12"/>
      <c r="N16" s="12"/>
      <c r="O16" s="12"/>
    </row>
    <row r="17" spans="1:15" x14ac:dyDescent="0.3">
      <c r="A17" s="11" t="s">
        <v>774</v>
      </c>
      <c r="B17" s="11" t="s">
        <v>775</v>
      </c>
      <c r="C17" s="11"/>
      <c r="D17" s="12">
        <v>1224.1199999999999</v>
      </c>
      <c r="E17" s="12">
        <v>-1467.819</v>
      </c>
      <c r="F17" s="12">
        <v>225.43799999999999</v>
      </c>
      <c r="G17" s="12" t="s">
        <v>43</v>
      </c>
      <c r="H17" s="12"/>
      <c r="I17" s="12"/>
      <c r="J17" s="12"/>
      <c r="K17" s="12"/>
      <c r="L17" s="12"/>
      <c r="M17" s="12"/>
      <c r="N17" s="12"/>
      <c r="O17" s="12"/>
    </row>
    <row r="18" spans="1:15" x14ac:dyDescent="0.3">
      <c r="A18" s="11" t="s">
        <v>776</v>
      </c>
      <c r="B18" s="11" t="s">
        <v>777</v>
      </c>
      <c r="C18" s="11"/>
      <c r="D18" s="12">
        <v>0</v>
      </c>
      <c r="E18" s="12">
        <v>0</v>
      </c>
      <c r="F18" s="12">
        <v>0</v>
      </c>
      <c r="G18" s="12" t="s">
        <v>43</v>
      </c>
      <c r="H18" s="12"/>
      <c r="I18" s="12"/>
      <c r="J18" s="12"/>
      <c r="K18" s="12"/>
      <c r="L18" s="12"/>
      <c r="M18" s="12"/>
      <c r="N18" s="12"/>
      <c r="O18" s="12"/>
    </row>
    <row r="19" spans="1:15" x14ac:dyDescent="0.3">
      <c r="A19" s="8" t="s">
        <v>753</v>
      </c>
      <c r="B19" s="8" t="s">
        <v>778</v>
      </c>
      <c r="C19" s="8"/>
      <c r="D19" s="9">
        <v>208.649</v>
      </c>
      <c r="E19" s="9">
        <v>-1055.692</v>
      </c>
      <c r="F19" s="9">
        <v>2079.6880000000001</v>
      </c>
      <c r="G19" s="9">
        <v>3277.42</v>
      </c>
      <c r="H19" s="9">
        <v>3277.42</v>
      </c>
      <c r="I19" s="9">
        <v>3277.42</v>
      </c>
      <c r="J19" s="9">
        <v>3277.42</v>
      </c>
      <c r="K19" s="9">
        <v>3277.42</v>
      </c>
      <c r="L19" s="9">
        <v>3277.42</v>
      </c>
      <c r="M19" s="9">
        <v>3277.42</v>
      </c>
      <c r="N19" s="9">
        <v>3277.42</v>
      </c>
      <c r="O19" s="9">
        <v>3277.42</v>
      </c>
    </row>
    <row r="20" spans="1:15" x14ac:dyDescent="0.3">
      <c r="A20" s="8"/>
      <c r="B20" s="17"/>
      <c r="C20" s="17"/>
      <c r="D20" s="17"/>
      <c r="E20" s="17"/>
      <c r="F20" s="17"/>
      <c r="G20" s="17"/>
      <c r="H20" s="17"/>
      <c r="I20" s="17"/>
      <c r="J20" s="17"/>
      <c r="K20" s="17"/>
      <c r="L20" s="17"/>
      <c r="M20" s="17"/>
      <c r="N20" s="17"/>
      <c r="O20" s="17"/>
    </row>
    <row r="21" spans="1:15" x14ac:dyDescent="0.3">
      <c r="A21" s="8" t="s">
        <v>779</v>
      </c>
      <c r="B21" s="17"/>
      <c r="C21" s="17"/>
      <c r="D21" s="17"/>
      <c r="E21" s="17"/>
      <c r="F21" s="17"/>
      <c r="G21" s="17"/>
      <c r="H21" s="17"/>
      <c r="I21" s="17"/>
      <c r="J21" s="17"/>
      <c r="K21" s="17"/>
      <c r="L21" s="17"/>
      <c r="M21" s="17"/>
      <c r="N21" s="17"/>
      <c r="O21" s="17"/>
    </row>
    <row r="22" spans="1:15" x14ac:dyDescent="0.3">
      <c r="A22" s="11" t="s">
        <v>780</v>
      </c>
      <c r="B22" s="11" t="s">
        <v>781</v>
      </c>
      <c r="C22" s="11"/>
      <c r="D22" s="12">
        <v>-804.92399999999998</v>
      </c>
      <c r="E22" s="12">
        <v>-851.61300000000006</v>
      </c>
      <c r="F22" s="12">
        <v>-195.476</v>
      </c>
      <c r="G22" s="12" t="s">
        <v>43</v>
      </c>
      <c r="H22" s="12" t="s">
        <v>43</v>
      </c>
      <c r="I22" s="12" t="s">
        <v>43</v>
      </c>
      <c r="J22" s="12" t="s">
        <v>43</v>
      </c>
      <c r="K22" s="12" t="s">
        <v>43</v>
      </c>
      <c r="L22" s="12" t="s">
        <v>43</v>
      </c>
      <c r="M22" s="12" t="s">
        <v>43</v>
      </c>
      <c r="N22" s="12" t="s">
        <v>43</v>
      </c>
      <c r="O22" s="12" t="s">
        <v>43</v>
      </c>
    </row>
    <row r="23" spans="1:15" x14ac:dyDescent="0.3">
      <c r="A23" s="11" t="s">
        <v>782</v>
      </c>
      <c r="B23" s="11" t="s">
        <v>783</v>
      </c>
      <c r="C23" s="11"/>
      <c r="D23" s="12">
        <v>2.2519999999999998</v>
      </c>
      <c r="E23" s="12">
        <v>124.67</v>
      </c>
      <c r="F23" s="12">
        <v>62.784999999999997</v>
      </c>
      <c r="G23" s="12" t="s">
        <v>43</v>
      </c>
      <c r="H23" s="12" t="s">
        <v>43</v>
      </c>
      <c r="I23" s="12" t="s">
        <v>43</v>
      </c>
      <c r="J23" s="12" t="s">
        <v>43</v>
      </c>
      <c r="K23" s="12" t="s">
        <v>43</v>
      </c>
      <c r="L23" s="12" t="s">
        <v>43</v>
      </c>
      <c r="M23" s="12" t="s">
        <v>43</v>
      </c>
      <c r="N23" s="12" t="s">
        <v>43</v>
      </c>
      <c r="O23" s="12" t="s">
        <v>43</v>
      </c>
    </row>
    <row r="24" spans="1:15" x14ac:dyDescent="0.3">
      <c r="A24" s="14" t="s">
        <v>784</v>
      </c>
      <c r="B24" s="14" t="s">
        <v>785</v>
      </c>
      <c r="C24" s="14"/>
      <c r="D24" s="15">
        <v>2.2519999999999998</v>
      </c>
      <c r="E24" s="15">
        <v>124.67</v>
      </c>
      <c r="F24" s="15">
        <v>62.784999999999997</v>
      </c>
      <c r="G24" s="15" t="s">
        <v>43</v>
      </c>
      <c r="H24" s="15" t="s">
        <v>43</v>
      </c>
      <c r="I24" s="15" t="s">
        <v>43</v>
      </c>
      <c r="J24" s="15" t="s">
        <v>43</v>
      </c>
      <c r="K24" s="15" t="s">
        <v>43</v>
      </c>
      <c r="L24" s="15" t="s">
        <v>43</v>
      </c>
      <c r="M24" s="15" t="s">
        <v>43</v>
      </c>
      <c r="N24" s="15" t="s">
        <v>43</v>
      </c>
      <c r="O24" s="15" t="s">
        <v>43</v>
      </c>
    </row>
    <row r="25" spans="1:15" x14ac:dyDescent="0.3">
      <c r="A25" s="14" t="s">
        <v>786</v>
      </c>
      <c r="B25" s="14" t="s">
        <v>787</v>
      </c>
      <c r="C25" s="14"/>
      <c r="D25" s="15">
        <v>0</v>
      </c>
      <c r="E25" s="15">
        <v>0</v>
      </c>
      <c r="F25" s="15">
        <v>0</v>
      </c>
      <c r="G25" s="15" t="s">
        <v>43</v>
      </c>
      <c r="H25" s="15" t="s">
        <v>43</v>
      </c>
      <c r="I25" s="15" t="s">
        <v>43</v>
      </c>
      <c r="J25" s="15" t="s">
        <v>43</v>
      </c>
      <c r="K25" s="15" t="s">
        <v>43</v>
      </c>
      <c r="L25" s="15" t="s">
        <v>43</v>
      </c>
      <c r="M25" s="15" t="s">
        <v>43</v>
      </c>
      <c r="N25" s="15" t="s">
        <v>43</v>
      </c>
      <c r="O25" s="15" t="s">
        <v>43</v>
      </c>
    </row>
    <row r="26" spans="1:15" x14ac:dyDescent="0.3">
      <c r="A26" s="11" t="s">
        <v>788</v>
      </c>
      <c r="B26" s="11" t="s">
        <v>789</v>
      </c>
      <c r="C26" s="11"/>
      <c r="D26" s="12">
        <v>-807.17600000000004</v>
      </c>
      <c r="E26" s="12">
        <v>-976.28300000000002</v>
      </c>
      <c r="F26" s="12">
        <v>-258.26100000000002</v>
      </c>
      <c r="G26" s="12" t="s">
        <v>43</v>
      </c>
      <c r="H26" s="12" t="s">
        <v>43</v>
      </c>
      <c r="I26" s="12" t="s">
        <v>43</v>
      </c>
      <c r="J26" s="12" t="s">
        <v>43</v>
      </c>
      <c r="K26" s="12" t="s">
        <v>43</v>
      </c>
      <c r="L26" s="12" t="s">
        <v>43</v>
      </c>
      <c r="M26" s="12" t="s">
        <v>43</v>
      </c>
      <c r="N26" s="12" t="s">
        <v>43</v>
      </c>
      <c r="O26" s="12" t="s">
        <v>43</v>
      </c>
    </row>
    <row r="27" spans="1:15" x14ac:dyDescent="0.3">
      <c r="A27" s="14" t="s">
        <v>790</v>
      </c>
      <c r="B27" s="14" t="s">
        <v>791</v>
      </c>
      <c r="C27" s="14"/>
      <c r="D27" s="15">
        <v>-772.17700000000002</v>
      </c>
      <c r="E27" s="15">
        <v>-924.178</v>
      </c>
      <c r="F27" s="15">
        <v>-241.60499999999999</v>
      </c>
      <c r="G27" s="15" t="s">
        <v>43</v>
      </c>
      <c r="H27" s="15" t="s">
        <v>43</v>
      </c>
      <c r="I27" s="15" t="s">
        <v>43</v>
      </c>
      <c r="J27" s="15" t="s">
        <v>43</v>
      </c>
      <c r="K27" s="15" t="s">
        <v>43</v>
      </c>
      <c r="L27" s="15" t="s">
        <v>43</v>
      </c>
      <c r="M27" s="15" t="s">
        <v>43</v>
      </c>
      <c r="N27" s="15" t="s">
        <v>43</v>
      </c>
      <c r="O27" s="15" t="s">
        <v>43</v>
      </c>
    </row>
    <row r="28" spans="1:15" x14ac:dyDescent="0.3">
      <c r="A28" s="14" t="s">
        <v>792</v>
      </c>
      <c r="B28" s="14" t="s">
        <v>793</v>
      </c>
      <c r="C28" s="14"/>
      <c r="D28" s="15">
        <v>-34.999000000000002</v>
      </c>
      <c r="E28" s="15">
        <v>-52.104999999999997</v>
      </c>
      <c r="F28" s="15">
        <v>-16.655999999999999</v>
      </c>
      <c r="G28" s="15" t="s">
        <v>43</v>
      </c>
      <c r="H28" s="15" t="s">
        <v>43</v>
      </c>
      <c r="I28" s="15" t="s">
        <v>43</v>
      </c>
      <c r="J28" s="15" t="s">
        <v>43</v>
      </c>
      <c r="K28" s="15" t="s">
        <v>43</v>
      </c>
      <c r="L28" s="15" t="s">
        <v>43</v>
      </c>
      <c r="M28" s="15" t="s">
        <v>43</v>
      </c>
      <c r="N28" s="15" t="s">
        <v>43</v>
      </c>
      <c r="O28" s="15" t="s">
        <v>43</v>
      </c>
    </row>
    <row r="29" spans="1:15" x14ac:dyDescent="0.3">
      <c r="A29" s="11" t="s">
        <v>794</v>
      </c>
      <c r="B29" s="11" t="s">
        <v>795</v>
      </c>
      <c r="C29" s="11"/>
      <c r="D29" s="12">
        <v>0</v>
      </c>
      <c r="E29" s="12">
        <v>0</v>
      </c>
      <c r="F29" s="12">
        <v>0</v>
      </c>
      <c r="G29" s="12" t="s">
        <v>43</v>
      </c>
      <c r="H29" s="12" t="s">
        <v>43</v>
      </c>
      <c r="I29" s="12" t="s">
        <v>43</v>
      </c>
      <c r="J29" s="12" t="s">
        <v>43</v>
      </c>
      <c r="K29" s="12" t="s">
        <v>43</v>
      </c>
      <c r="L29" s="12" t="s">
        <v>43</v>
      </c>
      <c r="M29" s="12" t="s">
        <v>43</v>
      </c>
      <c r="N29" s="12" t="s">
        <v>43</v>
      </c>
      <c r="O29" s="12" t="s">
        <v>43</v>
      </c>
    </row>
    <row r="30" spans="1:15" x14ac:dyDescent="0.3">
      <c r="A30" s="11" t="s">
        <v>796</v>
      </c>
      <c r="B30" s="11" t="s">
        <v>797</v>
      </c>
      <c r="C30" s="11"/>
      <c r="D30" s="12">
        <v>0</v>
      </c>
      <c r="E30" s="12">
        <v>0</v>
      </c>
      <c r="F30" s="12">
        <v>0</v>
      </c>
      <c r="G30" s="12" t="s">
        <v>43</v>
      </c>
      <c r="H30" s="12" t="s">
        <v>43</v>
      </c>
      <c r="I30" s="12" t="s">
        <v>43</v>
      </c>
      <c r="J30" s="12" t="s">
        <v>43</v>
      </c>
      <c r="K30" s="12" t="s">
        <v>43</v>
      </c>
      <c r="L30" s="12" t="s">
        <v>43</v>
      </c>
      <c r="M30" s="12" t="s">
        <v>43</v>
      </c>
      <c r="N30" s="12" t="s">
        <v>43</v>
      </c>
      <c r="O30" s="12" t="s">
        <v>43</v>
      </c>
    </row>
    <row r="31" spans="1:15" x14ac:dyDescent="0.3">
      <c r="A31" s="11" t="s">
        <v>798</v>
      </c>
      <c r="B31" s="11" t="s">
        <v>799</v>
      </c>
      <c r="C31" s="11"/>
      <c r="D31" s="12">
        <v>0</v>
      </c>
      <c r="E31" s="12">
        <v>0</v>
      </c>
      <c r="F31" s="12">
        <v>0</v>
      </c>
      <c r="G31" s="12" t="s">
        <v>43</v>
      </c>
      <c r="H31" s="12" t="s">
        <v>43</v>
      </c>
      <c r="I31" s="12" t="s">
        <v>43</v>
      </c>
      <c r="J31" s="12" t="s">
        <v>43</v>
      </c>
      <c r="K31" s="12" t="s">
        <v>43</v>
      </c>
      <c r="L31" s="12" t="s">
        <v>43</v>
      </c>
      <c r="M31" s="12" t="s">
        <v>43</v>
      </c>
      <c r="N31" s="12" t="s">
        <v>43</v>
      </c>
      <c r="O31" s="12" t="s">
        <v>43</v>
      </c>
    </row>
    <row r="32" spans="1:15" x14ac:dyDescent="0.3">
      <c r="A32" s="11" t="s">
        <v>800</v>
      </c>
      <c r="B32" s="11" t="s">
        <v>801</v>
      </c>
      <c r="C32" s="11"/>
      <c r="D32" s="12">
        <v>-34.537999999999997</v>
      </c>
      <c r="E32" s="12">
        <v>-60.942999999999998</v>
      </c>
      <c r="F32" s="12">
        <v>-43.784999999999997</v>
      </c>
      <c r="G32" s="12" t="s">
        <v>43</v>
      </c>
      <c r="H32" s="12" t="s">
        <v>43</v>
      </c>
      <c r="I32" s="12" t="s">
        <v>43</v>
      </c>
      <c r="J32" s="12" t="s">
        <v>43</v>
      </c>
      <c r="K32" s="12" t="s">
        <v>43</v>
      </c>
      <c r="L32" s="12" t="s">
        <v>43</v>
      </c>
      <c r="M32" s="12" t="s">
        <v>43</v>
      </c>
      <c r="N32" s="12" t="s">
        <v>43</v>
      </c>
      <c r="O32" s="12" t="s">
        <v>43</v>
      </c>
    </row>
    <row r="33" spans="1:15" x14ac:dyDescent="0.3">
      <c r="A33" s="11" t="s">
        <v>802</v>
      </c>
      <c r="B33" s="11" t="s">
        <v>803</v>
      </c>
      <c r="C33" s="11"/>
      <c r="D33" s="12">
        <v>-11.775</v>
      </c>
      <c r="E33" s="12">
        <v>-0.23</v>
      </c>
      <c r="F33" s="12">
        <v>-43.784999999999997</v>
      </c>
      <c r="G33" s="12" t="s">
        <v>43</v>
      </c>
      <c r="H33" s="12" t="s">
        <v>43</v>
      </c>
      <c r="I33" s="12" t="s">
        <v>43</v>
      </c>
      <c r="J33" s="12" t="s">
        <v>43</v>
      </c>
      <c r="K33" s="12" t="s">
        <v>43</v>
      </c>
      <c r="L33" s="12" t="s">
        <v>43</v>
      </c>
      <c r="M33" s="12" t="s">
        <v>43</v>
      </c>
      <c r="N33" s="12" t="s">
        <v>43</v>
      </c>
      <c r="O33" s="12" t="s">
        <v>43</v>
      </c>
    </row>
    <row r="34" spans="1:15" x14ac:dyDescent="0.3">
      <c r="A34" s="11" t="s">
        <v>804</v>
      </c>
      <c r="B34" s="11" t="s">
        <v>805</v>
      </c>
      <c r="C34" s="11"/>
      <c r="D34" s="12">
        <v>-22.763000000000002</v>
      </c>
      <c r="E34" s="12">
        <v>-60.713000000000001</v>
      </c>
      <c r="F34" s="12">
        <v>0</v>
      </c>
      <c r="G34" s="12" t="s">
        <v>43</v>
      </c>
      <c r="H34" s="12" t="s">
        <v>43</v>
      </c>
      <c r="I34" s="12" t="s">
        <v>43</v>
      </c>
      <c r="J34" s="12" t="s">
        <v>43</v>
      </c>
      <c r="K34" s="12" t="s">
        <v>43</v>
      </c>
      <c r="L34" s="12" t="s">
        <v>43</v>
      </c>
      <c r="M34" s="12" t="s">
        <v>43</v>
      </c>
      <c r="N34" s="12" t="s">
        <v>43</v>
      </c>
      <c r="O34" s="12" t="s">
        <v>43</v>
      </c>
    </row>
    <row r="35" spans="1:15" x14ac:dyDescent="0.3">
      <c r="A35" s="11" t="s">
        <v>806</v>
      </c>
      <c r="B35" s="11" t="s">
        <v>807</v>
      </c>
      <c r="C35" s="11"/>
      <c r="D35" s="12">
        <v>0</v>
      </c>
      <c r="E35" s="12">
        <v>0</v>
      </c>
      <c r="F35" s="12">
        <v>0</v>
      </c>
      <c r="G35" s="12" t="s">
        <v>43</v>
      </c>
      <c r="H35" s="12" t="s">
        <v>43</v>
      </c>
      <c r="I35" s="12" t="s">
        <v>43</v>
      </c>
      <c r="J35" s="12" t="s">
        <v>43</v>
      </c>
      <c r="K35" s="12" t="s">
        <v>43</v>
      </c>
      <c r="L35" s="12" t="s">
        <v>43</v>
      </c>
      <c r="M35" s="12" t="s">
        <v>43</v>
      </c>
      <c r="N35" s="12" t="s">
        <v>43</v>
      </c>
      <c r="O35" s="12" t="s">
        <v>43</v>
      </c>
    </row>
    <row r="36" spans="1:15" x14ac:dyDescent="0.3">
      <c r="A36" s="11" t="s">
        <v>808</v>
      </c>
      <c r="B36" s="11" t="s">
        <v>809</v>
      </c>
      <c r="C36" s="11"/>
      <c r="D36" s="12">
        <v>-2927.8110000000001</v>
      </c>
      <c r="E36" s="12">
        <v>-1516.2529999999999</v>
      </c>
      <c r="F36" s="12">
        <v>-5565.201</v>
      </c>
      <c r="G36" s="12" t="s">
        <v>43</v>
      </c>
      <c r="H36" s="12" t="s">
        <v>43</v>
      </c>
      <c r="I36" s="12" t="s">
        <v>43</v>
      </c>
      <c r="J36" s="12" t="s">
        <v>43</v>
      </c>
      <c r="K36" s="12" t="s">
        <v>43</v>
      </c>
      <c r="L36" s="12" t="s">
        <v>43</v>
      </c>
      <c r="M36" s="12" t="s">
        <v>43</v>
      </c>
      <c r="N36" s="12" t="s">
        <v>43</v>
      </c>
      <c r="O36" s="12" t="s">
        <v>43</v>
      </c>
    </row>
    <row r="37" spans="1:15" x14ac:dyDescent="0.3">
      <c r="A37" s="11" t="s">
        <v>776</v>
      </c>
      <c r="B37" s="11" t="s">
        <v>810</v>
      </c>
      <c r="C37" s="11"/>
      <c r="D37" s="12">
        <v>0</v>
      </c>
      <c r="E37" s="12">
        <v>0</v>
      </c>
      <c r="F37" s="12">
        <v>0</v>
      </c>
      <c r="G37" s="12" t="s">
        <v>43</v>
      </c>
      <c r="H37" s="12" t="s">
        <v>43</v>
      </c>
      <c r="I37" s="12" t="s">
        <v>43</v>
      </c>
      <c r="J37" s="12" t="s">
        <v>43</v>
      </c>
      <c r="K37" s="12" t="s">
        <v>43</v>
      </c>
      <c r="L37" s="12" t="s">
        <v>43</v>
      </c>
      <c r="M37" s="12" t="s">
        <v>43</v>
      </c>
      <c r="N37" s="12" t="s">
        <v>43</v>
      </c>
      <c r="O37" s="12" t="s">
        <v>43</v>
      </c>
    </row>
    <row r="38" spans="1:15" x14ac:dyDescent="0.3">
      <c r="A38" s="8" t="s">
        <v>779</v>
      </c>
      <c r="B38" s="8" t="s">
        <v>811</v>
      </c>
      <c r="C38" s="8"/>
      <c r="D38" s="9">
        <v>-3767.2730000000001</v>
      </c>
      <c r="E38" s="9">
        <v>-2428.8090000000002</v>
      </c>
      <c r="F38" s="9">
        <v>-5804.4620000000004</v>
      </c>
      <c r="G38" s="9">
        <v>-5040.8459999999995</v>
      </c>
      <c r="H38" s="9">
        <v>-5040.8459999999995</v>
      </c>
      <c r="I38" s="9">
        <v>-5040.8459999999995</v>
      </c>
      <c r="J38" s="9">
        <v>-5040.8459999999995</v>
      </c>
      <c r="K38" s="9">
        <v>-5040.8459999999995</v>
      </c>
      <c r="L38" s="9">
        <v>-5040.8459999999995</v>
      </c>
      <c r="M38" s="9">
        <v>-5040.8459999999995</v>
      </c>
      <c r="N38" s="9">
        <v>-5040.8459999999995</v>
      </c>
      <c r="O38" s="9">
        <v>-5040.8459999999995</v>
      </c>
    </row>
    <row r="39" spans="1:15" x14ac:dyDescent="0.3">
      <c r="A39" s="8"/>
      <c r="B39" s="17"/>
      <c r="C39" s="17"/>
      <c r="D39" s="17"/>
      <c r="E39" s="17"/>
      <c r="F39" s="17"/>
      <c r="G39" s="17"/>
      <c r="H39" s="17"/>
      <c r="I39" s="17"/>
      <c r="J39" s="17"/>
      <c r="K39" s="17"/>
      <c r="L39" s="17"/>
      <c r="M39" s="17"/>
      <c r="N39" s="17"/>
      <c r="O39" s="17"/>
    </row>
    <row r="40" spans="1:15" x14ac:dyDescent="0.3">
      <c r="A40" s="8" t="s">
        <v>812</v>
      </c>
      <c r="B40" s="17"/>
      <c r="C40" s="17"/>
      <c r="D40" s="17"/>
      <c r="E40" s="17"/>
      <c r="F40" s="17"/>
      <c r="G40" s="17"/>
      <c r="H40" s="17"/>
      <c r="I40" s="17"/>
      <c r="J40" s="17"/>
      <c r="K40" s="17"/>
      <c r="L40" s="17"/>
      <c r="M40" s="17"/>
      <c r="N40" s="17"/>
      <c r="O40" s="17"/>
    </row>
    <row r="41" spans="1:15" x14ac:dyDescent="0.3">
      <c r="A41" s="11" t="s">
        <v>813</v>
      </c>
      <c r="B41" s="11" t="s">
        <v>814</v>
      </c>
      <c r="C41" s="11"/>
      <c r="D41" s="12">
        <v>0</v>
      </c>
      <c r="E41" s="12">
        <v>0</v>
      </c>
      <c r="F41" s="12">
        <v>0</v>
      </c>
      <c r="G41" s="12" t="s">
        <v>43</v>
      </c>
      <c r="H41" s="12" t="s">
        <v>43</v>
      </c>
      <c r="I41" s="12" t="s">
        <v>43</v>
      </c>
      <c r="J41" s="12" t="s">
        <v>43</v>
      </c>
      <c r="K41" s="12" t="s">
        <v>43</v>
      </c>
      <c r="L41" s="12" t="s">
        <v>43</v>
      </c>
      <c r="M41" s="12" t="s">
        <v>43</v>
      </c>
      <c r="N41" s="12" t="s">
        <v>43</v>
      </c>
      <c r="O41" s="12" t="s">
        <v>43</v>
      </c>
    </row>
    <row r="42" spans="1:15" x14ac:dyDescent="0.3">
      <c r="A42" s="11" t="s">
        <v>815</v>
      </c>
      <c r="B42" s="11" t="s">
        <v>816</v>
      </c>
      <c r="C42" s="11"/>
      <c r="D42" s="12">
        <v>2958.35</v>
      </c>
      <c r="E42" s="12">
        <v>-640.572</v>
      </c>
      <c r="F42" s="12">
        <v>-35.244</v>
      </c>
      <c r="G42" s="12" t="s">
        <v>43</v>
      </c>
      <c r="H42" s="12" t="s">
        <v>43</v>
      </c>
      <c r="I42" s="12" t="s">
        <v>43</v>
      </c>
      <c r="J42" s="12" t="s">
        <v>43</v>
      </c>
      <c r="K42" s="12" t="s">
        <v>43</v>
      </c>
      <c r="L42" s="12" t="s">
        <v>43</v>
      </c>
      <c r="M42" s="12" t="s">
        <v>43</v>
      </c>
      <c r="N42" s="12" t="s">
        <v>43</v>
      </c>
      <c r="O42" s="12" t="s">
        <v>43</v>
      </c>
    </row>
    <row r="43" spans="1:15" x14ac:dyDescent="0.3">
      <c r="A43" s="11" t="s">
        <v>817</v>
      </c>
      <c r="B43" s="11" t="s">
        <v>818</v>
      </c>
      <c r="C43" s="11"/>
      <c r="D43" s="12">
        <v>2958.35</v>
      </c>
      <c r="E43" s="12">
        <v>-640.572</v>
      </c>
      <c r="F43" s="12">
        <v>-35.244</v>
      </c>
      <c r="G43" s="12" t="s">
        <v>43</v>
      </c>
      <c r="H43" s="12" t="s">
        <v>43</v>
      </c>
      <c r="I43" s="12" t="s">
        <v>43</v>
      </c>
      <c r="J43" s="12" t="s">
        <v>43</v>
      </c>
      <c r="K43" s="12" t="s">
        <v>43</v>
      </c>
      <c r="L43" s="12" t="s">
        <v>43</v>
      </c>
      <c r="M43" s="12" t="s">
        <v>43</v>
      </c>
      <c r="N43" s="12" t="s">
        <v>43</v>
      </c>
      <c r="O43" s="12" t="s">
        <v>43</v>
      </c>
    </row>
    <row r="44" spans="1:15" x14ac:dyDescent="0.3">
      <c r="A44" s="11" t="s">
        <v>819</v>
      </c>
      <c r="B44" s="11" t="s">
        <v>820</v>
      </c>
      <c r="C44" s="11"/>
      <c r="D44" s="12">
        <v>0</v>
      </c>
      <c r="E44" s="12">
        <v>0</v>
      </c>
      <c r="F44" s="12">
        <v>0</v>
      </c>
      <c r="G44" s="12" t="s">
        <v>43</v>
      </c>
      <c r="H44" s="12" t="s">
        <v>43</v>
      </c>
      <c r="I44" s="12" t="s">
        <v>43</v>
      </c>
      <c r="J44" s="12" t="s">
        <v>43</v>
      </c>
      <c r="K44" s="12" t="s">
        <v>43</v>
      </c>
      <c r="L44" s="12" t="s">
        <v>43</v>
      </c>
      <c r="M44" s="12" t="s">
        <v>43</v>
      </c>
      <c r="N44" s="12" t="s">
        <v>43</v>
      </c>
      <c r="O44" s="12" t="s">
        <v>43</v>
      </c>
    </row>
    <row r="45" spans="1:15" x14ac:dyDescent="0.3">
      <c r="A45" s="11" t="s">
        <v>821</v>
      </c>
      <c r="B45" s="11" t="s">
        <v>822</v>
      </c>
      <c r="C45" s="11"/>
      <c r="D45" s="12">
        <v>0</v>
      </c>
      <c r="E45" s="12">
        <v>0</v>
      </c>
      <c r="F45" s="12">
        <v>0</v>
      </c>
      <c r="G45" s="12" t="s">
        <v>43</v>
      </c>
      <c r="H45" s="12" t="s">
        <v>43</v>
      </c>
      <c r="I45" s="12" t="s">
        <v>43</v>
      </c>
      <c r="J45" s="12" t="s">
        <v>43</v>
      </c>
      <c r="K45" s="12" t="s">
        <v>43</v>
      </c>
      <c r="L45" s="12" t="s">
        <v>43</v>
      </c>
      <c r="M45" s="12" t="s">
        <v>43</v>
      </c>
      <c r="N45" s="12" t="s">
        <v>43</v>
      </c>
      <c r="O45" s="12" t="s">
        <v>43</v>
      </c>
    </row>
    <row r="46" spans="1:15" x14ac:dyDescent="0.3">
      <c r="A46" s="11" t="s">
        <v>823</v>
      </c>
      <c r="B46" s="11" t="s">
        <v>824</v>
      </c>
      <c r="C46" s="11"/>
      <c r="D46" s="12">
        <v>4050.0549999999998</v>
      </c>
      <c r="E46" s="12">
        <v>50.210999999999999</v>
      </c>
      <c r="F46" s="12">
        <v>10.643000000000001</v>
      </c>
      <c r="G46" s="12" t="s">
        <v>43</v>
      </c>
      <c r="H46" s="12" t="s">
        <v>43</v>
      </c>
      <c r="I46" s="12" t="s">
        <v>43</v>
      </c>
      <c r="J46" s="12" t="s">
        <v>43</v>
      </c>
      <c r="K46" s="12" t="s">
        <v>43</v>
      </c>
      <c r="L46" s="12" t="s">
        <v>43</v>
      </c>
      <c r="M46" s="12" t="s">
        <v>43</v>
      </c>
      <c r="N46" s="12" t="s">
        <v>43</v>
      </c>
      <c r="O46" s="12" t="s">
        <v>43</v>
      </c>
    </row>
    <row r="47" spans="1:15" x14ac:dyDescent="0.3">
      <c r="A47" s="11" t="s">
        <v>825</v>
      </c>
      <c r="B47" s="11" t="s">
        <v>826</v>
      </c>
      <c r="C47" s="11"/>
      <c r="D47" s="12">
        <v>4050.0549999999998</v>
      </c>
      <c r="E47" s="12">
        <v>50.210999999999999</v>
      </c>
      <c r="F47" s="12">
        <v>10.643000000000001</v>
      </c>
      <c r="G47" s="12" t="s">
        <v>43</v>
      </c>
      <c r="H47" s="12" t="s">
        <v>43</v>
      </c>
      <c r="I47" s="12" t="s">
        <v>43</v>
      </c>
      <c r="J47" s="12" t="s">
        <v>43</v>
      </c>
      <c r="K47" s="12" t="s">
        <v>43</v>
      </c>
      <c r="L47" s="12" t="s">
        <v>43</v>
      </c>
      <c r="M47" s="12" t="s">
        <v>43</v>
      </c>
      <c r="N47" s="12" t="s">
        <v>43</v>
      </c>
      <c r="O47" s="12" t="s">
        <v>43</v>
      </c>
    </row>
    <row r="48" spans="1:15" x14ac:dyDescent="0.3">
      <c r="A48" s="11" t="s">
        <v>827</v>
      </c>
      <c r="B48" s="11" t="s">
        <v>828</v>
      </c>
      <c r="C48" s="11"/>
      <c r="D48" s="12">
        <v>0</v>
      </c>
      <c r="E48" s="12">
        <v>0</v>
      </c>
      <c r="F48" s="12">
        <v>0</v>
      </c>
      <c r="G48" s="12" t="s">
        <v>43</v>
      </c>
      <c r="H48" s="12" t="s">
        <v>43</v>
      </c>
      <c r="I48" s="12" t="s">
        <v>43</v>
      </c>
      <c r="J48" s="12" t="s">
        <v>43</v>
      </c>
      <c r="K48" s="12" t="s">
        <v>43</v>
      </c>
      <c r="L48" s="12" t="s">
        <v>43</v>
      </c>
      <c r="M48" s="12" t="s">
        <v>43</v>
      </c>
      <c r="N48" s="12" t="s">
        <v>43</v>
      </c>
      <c r="O48" s="12" t="s">
        <v>43</v>
      </c>
    </row>
    <row r="49" spans="1:15" x14ac:dyDescent="0.3">
      <c r="A49" s="11" t="s">
        <v>829</v>
      </c>
      <c r="B49" s="11" t="s">
        <v>830</v>
      </c>
      <c r="C49" s="11"/>
      <c r="D49" s="12">
        <v>393.18400000000003</v>
      </c>
      <c r="E49" s="12">
        <v>990.61699999999996</v>
      </c>
      <c r="F49" s="12">
        <v>390.61200000000002</v>
      </c>
      <c r="G49" s="12" t="s">
        <v>43</v>
      </c>
      <c r="H49" s="12" t="s">
        <v>43</v>
      </c>
      <c r="I49" s="12" t="s">
        <v>43</v>
      </c>
      <c r="J49" s="12" t="s">
        <v>43</v>
      </c>
      <c r="K49" s="12" t="s">
        <v>43</v>
      </c>
      <c r="L49" s="12" t="s">
        <v>43</v>
      </c>
      <c r="M49" s="12" t="s">
        <v>43</v>
      </c>
      <c r="N49" s="12" t="s">
        <v>43</v>
      </c>
      <c r="O49" s="12" t="s">
        <v>43</v>
      </c>
    </row>
    <row r="50" spans="1:15" x14ac:dyDescent="0.3">
      <c r="A50" s="11" t="s">
        <v>776</v>
      </c>
      <c r="B50" s="11" t="s">
        <v>831</v>
      </c>
      <c r="C50" s="11"/>
      <c r="D50" s="12">
        <v>0</v>
      </c>
      <c r="E50" s="12">
        <v>0</v>
      </c>
      <c r="F50" s="12">
        <v>0</v>
      </c>
      <c r="G50" s="12" t="s">
        <v>43</v>
      </c>
      <c r="H50" s="12" t="s">
        <v>43</v>
      </c>
      <c r="I50" s="12" t="s">
        <v>43</v>
      </c>
      <c r="J50" s="12" t="s">
        <v>43</v>
      </c>
      <c r="K50" s="12" t="s">
        <v>43</v>
      </c>
      <c r="L50" s="12" t="s">
        <v>43</v>
      </c>
      <c r="M50" s="12" t="s">
        <v>43</v>
      </c>
      <c r="N50" s="12" t="s">
        <v>43</v>
      </c>
      <c r="O50" s="12" t="s">
        <v>43</v>
      </c>
    </row>
    <row r="51" spans="1:15" x14ac:dyDescent="0.3">
      <c r="A51" s="8" t="s">
        <v>812</v>
      </c>
      <c r="B51" s="8" t="s">
        <v>832</v>
      </c>
      <c r="C51" s="8"/>
      <c r="D51" s="9">
        <v>7401.5889999999999</v>
      </c>
      <c r="E51" s="9">
        <v>400.25599999999997</v>
      </c>
      <c r="F51" s="9">
        <v>366.01100000000002</v>
      </c>
      <c r="G51" s="9">
        <v>1684.4929999999999</v>
      </c>
      <c r="H51" s="9">
        <v>1684.4929999999999</v>
      </c>
      <c r="I51" s="9">
        <v>1684.4929999999999</v>
      </c>
      <c r="J51" s="9">
        <v>1684.4929999999999</v>
      </c>
      <c r="K51" s="9">
        <v>1684.4929999999999</v>
      </c>
      <c r="L51" s="9">
        <v>1684.4929999999999</v>
      </c>
      <c r="M51" s="9">
        <v>1684.4929999999999</v>
      </c>
      <c r="N51" s="9">
        <v>1684.4929999999999</v>
      </c>
      <c r="O51" s="9">
        <v>1684.4929999999999</v>
      </c>
    </row>
    <row r="52" spans="1:15" x14ac:dyDescent="0.3">
      <c r="A52" s="8"/>
      <c r="B52" s="17"/>
      <c r="C52" s="17"/>
      <c r="D52" s="17"/>
      <c r="E52" s="17"/>
      <c r="F52" s="17"/>
      <c r="G52" s="17"/>
      <c r="H52" s="17"/>
      <c r="I52" s="17"/>
      <c r="J52" s="17"/>
      <c r="K52" s="17"/>
      <c r="L52" s="17"/>
      <c r="M52" s="17"/>
      <c r="N52" s="17"/>
      <c r="O52" s="17"/>
    </row>
    <row r="53" spans="1:15" x14ac:dyDescent="0.3">
      <c r="A53" s="11" t="s">
        <v>833</v>
      </c>
      <c r="B53" s="11" t="s">
        <v>834</v>
      </c>
      <c r="C53" s="11"/>
      <c r="D53" s="12">
        <v>-58.218000000000004</v>
      </c>
      <c r="E53" s="12">
        <v>-143.511</v>
      </c>
      <c r="F53" s="12">
        <v>-7.9640000000000004</v>
      </c>
      <c r="G53" s="12">
        <v>-83.138999999999996</v>
      </c>
      <c r="H53" s="12">
        <v>-83.138999999999996</v>
      </c>
      <c r="I53" s="12">
        <v>-83.138999999999996</v>
      </c>
      <c r="J53" s="12">
        <v>-83.138999999999996</v>
      </c>
      <c r="K53" s="12">
        <v>-83.138999999999996</v>
      </c>
      <c r="L53" s="12">
        <v>-83.138999999999996</v>
      </c>
      <c r="M53" s="12">
        <v>-83.138999999999996</v>
      </c>
      <c r="N53" s="12">
        <v>-83.138999999999996</v>
      </c>
      <c r="O53" s="12">
        <v>-83.138999999999996</v>
      </c>
    </row>
    <row r="54" spans="1:15" x14ac:dyDescent="0.3">
      <c r="A54" s="8"/>
      <c r="B54" s="17"/>
      <c r="C54" s="17"/>
      <c r="D54" s="17"/>
      <c r="E54" s="17"/>
      <c r="F54" s="17"/>
      <c r="G54" s="17"/>
      <c r="H54" s="17"/>
      <c r="I54" s="17"/>
      <c r="J54" s="17"/>
      <c r="K54" s="17"/>
      <c r="L54" s="17"/>
      <c r="M54" s="17"/>
      <c r="N54" s="17"/>
      <c r="O54" s="17"/>
    </row>
    <row r="55" spans="1:15" x14ac:dyDescent="0.3">
      <c r="A55" s="8" t="s">
        <v>835</v>
      </c>
      <c r="B55" s="8" t="s">
        <v>836</v>
      </c>
      <c r="C55" s="8"/>
      <c r="D55" s="9">
        <v>3784.7469999999998</v>
      </c>
      <c r="E55" s="9">
        <v>-3227.7559999999999</v>
      </c>
      <c r="F55" s="9">
        <v>-3366.7269999999999</v>
      </c>
      <c r="G55" s="9">
        <v>-162.072</v>
      </c>
      <c r="H55" s="9">
        <v>-162.072</v>
      </c>
      <c r="I55" s="9">
        <v>-162.072</v>
      </c>
      <c r="J55" s="9">
        <v>-162.072</v>
      </c>
      <c r="K55" s="9">
        <v>-162.072</v>
      </c>
      <c r="L55" s="9">
        <v>-162.072</v>
      </c>
      <c r="M55" s="9">
        <v>-162.072</v>
      </c>
      <c r="N55" s="9">
        <v>-162.072</v>
      </c>
      <c r="O55" s="9">
        <v>-162.072</v>
      </c>
    </row>
    <row r="56" spans="1:15" x14ac:dyDescent="0.3">
      <c r="A56" s="8"/>
      <c r="B56" s="17"/>
      <c r="C56" s="17"/>
      <c r="D56" s="17"/>
      <c r="E56" s="17"/>
      <c r="F56" s="17"/>
      <c r="G56" s="17"/>
      <c r="H56" s="17"/>
      <c r="I56" s="17"/>
      <c r="J56" s="17"/>
      <c r="K56" s="17"/>
      <c r="L56" s="17"/>
      <c r="M56" s="17"/>
      <c r="N56" s="17"/>
      <c r="O56" s="17"/>
    </row>
    <row r="57" spans="1:15" x14ac:dyDescent="0.3">
      <c r="A57" s="8" t="s">
        <v>837</v>
      </c>
      <c r="B57" s="8" t="s">
        <v>838</v>
      </c>
      <c r="C57" s="8"/>
      <c r="D57" s="9">
        <v>-207.381</v>
      </c>
      <c r="E57" s="9">
        <v>-313.755</v>
      </c>
      <c r="F57" s="9">
        <v>-318.92399999999998</v>
      </c>
      <c r="G57" s="9" t="s">
        <v>43</v>
      </c>
      <c r="H57" s="9" t="s">
        <v>43</v>
      </c>
      <c r="I57" s="9" t="s">
        <v>43</v>
      </c>
      <c r="J57" s="9" t="s">
        <v>43</v>
      </c>
      <c r="K57" s="9" t="s">
        <v>43</v>
      </c>
      <c r="L57" s="9" t="s">
        <v>43</v>
      </c>
      <c r="M57" s="9" t="s">
        <v>43</v>
      </c>
      <c r="N57" s="9" t="s">
        <v>43</v>
      </c>
      <c r="O57" s="9" t="s">
        <v>43</v>
      </c>
    </row>
    <row r="58" spans="1:15" x14ac:dyDescent="0.3">
      <c r="A58" s="8" t="s">
        <v>839</v>
      </c>
      <c r="B58" s="8" t="s">
        <v>840</v>
      </c>
      <c r="C58" s="8"/>
      <c r="D58" s="9">
        <v>34.999000000000002</v>
      </c>
      <c r="E58" s="9">
        <v>52.104999999999997</v>
      </c>
      <c r="F58" s="9">
        <v>16.655999999999999</v>
      </c>
      <c r="G58" s="9" t="s">
        <v>43</v>
      </c>
      <c r="H58" s="9" t="s">
        <v>43</v>
      </c>
      <c r="I58" s="9" t="s">
        <v>43</v>
      </c>
      <c r="J58" s="9" t="s">
        <v>43</v>
      </c>
      <c r="K58" s="9" t="s">
        <v>43</v>
      </c>
      <c r="L58" s="9" t="s">
        <v>43</v>
      </c>
      <c r="M58" s="9" t="s">
        <v>43</v>
      </c>
      <c r="N58" s="9" t="s">
        <v>43</v>
      </c>
      <c r="O58" s="9" t="s">
        <v>43</v>
      </c>
    </row>
    <row r="59" spans="1:15" x14ac:dyDescent="0.3">
      <c r="A59" s="8"/>
      <c r="B59" s="17"/>
      <c r="C59" s="17"/>
      <c r="D59" s="17"/>
      <c r="E59" s="17"/>
      <c r="F59" s="17"/>
      <c r="G59" s="17"/>
      <c r="H59" s="17"/>
      <c r="I59" s="17"/>
      <c r="J59" s="17"/>
      <c r="K59" s="17"/>
      <c r="L59" s="17"/>
      <c r="M59" s="17"/>
      <c r="N59" s="17"/>
      <c r="O59" s="17"/>
    </row>
    <row r="60" spans="1:15" x14ac:dyDescent="0.3">
      <c r="A60" s="8" t="s">
        <v>98</v>
      </c>
      <c r="B60" s="17"/>
      <c r="C60" s="17"/>
      <c r="D60" s="17"/>
      <c r="E60" s="17"/>
      <c r="F60" s="17"/>
      <c r="G60" s="17"/>
      <c r="H60" s="17"/>
      <c r="I60" s="17"/>
      <c r="J60" s="17"/>
      <c r="K60" s="17"/>
      <c r="L60" s="17"/>
      <c r="M60" s="17"/>
      <c r="N60" s="17"/>
      <c r="O60" s="17"/>
    </row>
    <row r="61" spans="1:15" x14ac:dyDescent="0.3">
      <c r="A61" s="11" t="s">
        <v>102</v>
      </c>
      <c r="B61" s="11" t="s">
        <v>102</v>
      </c>
      <c r="C61" s="11"/>
      <c r="D61" s="12">
        <v>-1165.2619999999999</v>
      </c>
      <c r="E61" s="12">
        <v>-801.80499999999995</v>
      </c>
      <c r="F61" s="12">
        <v>961.12400000000002</v>
      </c>
      <c r="G61" s="12">
        <v>1051.825</v>
      </c>
      <c r="H61" s="12">
        <v>1051.825</v>
      </c>
      <c r="I61" s="12">
        <v>1051.825</v>
      </c>
      <c r="J61" s="12">
        <v>1051.825</v>
      </c>
      <c r="K61" s="12">
        <v>1051.825</v>
      </c>
      <c r="L61" s="12">
        <v>1051.825</v>
      </c>
      <c r="M61" s="12">
        <v>1051.825</v>
      </c>
      <c r="N61" s="12">
        <v>1051.825</v>
      </c>
      <c r="O61" s="12">
        <v>1051.825</v>
      </c>
    </row>
    <row r="62" spans="1:15" x14ac:dyDescent="0.3">
      <c r="A62" s="11" t="s">
        <v>841</v>
      </c>
      <c r="B62" s="11" t="s">
        <v>104</v>
      </c>
      <c r="C62" s="11"/>
      <c r="D62" s="23">
        <v>-11.7051</v>
      </c>
      <c r="E62" s="23">
        <v>-6.4404000000000003</v>
      </c>
      <c r="F62" s="23">
        <v>7.3573000000000004</v>
      </c>
      <c r="G62" s="23">
        <v>6.2534999999999998</v>
      </c>
      <c r="H62" s="23">
        <v>6.2534999999999998</v>
      </c>
      <c r="I62" s="23">
        <v>6.2534999999999998</v>
      </c>
      <c r="J62" s="23">
        <v>6.2534999999999998</v>
      </c>
      <c r="K62" s="23">
        <v>6.2534999999999998</v>
      </c>
      <c r="L62" s="23">
        <v>6.2534999999999998</v>
      </c>
      <c r="M62" s="23">
        <v>6.2534999999999998</v>
      </c>
      <c r="N62" s="23">
        <v>6.2534999999999998</v>
      </c>
      <c r="O62" s="23">
        <v>6.2534999999999998</v>
      </c>
    </row>
    <row r="63" spans="1:15" x14ac:dyDescent="0.3">
      <c r="A63" s="11" t="s">
        <v>842</v>
      </c>
      <c r="B63" s="11" t="s">
        <v>843</v>
      </c>
      <c r="C63" s="11"/>
      <c r="D63" s="12">
        <v>22.763000000000002</v>
      </c>
      <c r="E63" s="12">
        <v>60.713000000000001</v>
      </c>
      <c r="F63" s="12">
        <v>0</v>
      </c>
      <c r="G63" s="12" t="s">
        <v>43</v>
      </c>
      <c r="H63" s="12" t="s">
        <v>43</v>
      </c>
      <c r="I63" s="12" t="s">
        <v>43</v>
      </c>
      <c r="J63" s="12" t="s">
        <v>43</v>
      </c>
      <c r="K63" s="12" t="s">
        <v>43</v>
      </c>
      <c r="L63" s="12" t="s">
        <v>43</v>
      </c>
      <c r="M63" s="12" t="s">
        <v>43</v>
      </c>
      <c r="N63" s="12" t="s">
        <v>43</v>
      </c>
      <c r="O63" s="12" t="s">
        <v>43</v>
      </c>
    </row>
    <row r="64" spans="1:15" x14ac:dyDescent="0.3">
      <c r="A64" s="11" t="s">
        <v>844</v>
      </c>
      <c r="B64" s="11" t="s">
        <v>845</v>
      </c>
      <c r="C64" s="11"/>
      <c r="D64" s="12" t="s">
        <v>43</v>
      </c>
      <c r="E64" s="12" t="s">
        <v>43</v>
      </c>
      <c r="F64" s="12" t="s">
        <v>43</v>
      </c>
      <c r="G64" s="12" t="s">
        <v>43</v>
      </c>
      <c r="H64" s="12" t="s">
        <v>43</v>
      </c>
      <c r="I64" s="12" t="s">
        <v>43</v>
      </c>
      <c r="J64" s="12" t="s">
        <v>43</v>
      </c>
      <c r="K64" s="12" t="s">
        <v>43</v>
      </c>
      <c r="L64" s="12" t="s">
        <v>43</v>
      </c>
      <c r="M64" s="12" t="s">
        <v>43</v>
      </c>
      <c r="N64" s="12" t="s">
        <v>43</v>
      </c>
      <c r="O64" s="12" t="s">
        <v>43</v>
      </c>
    </row>
    <row r="65" spans="1:15" x14ac:dyDescent="0.3">
      <c r="A65" s="11" t="s">
        <v>846</v>
      </c>
      <c r="B65" s="11" t="s">
        <v>847</v>
      </c>
      <c r="C65" s="11"/>
      <c r="D65" s="12">
        <v>-563.52800000000002</v>
      </c>
      <c r="E65" s="12">
        <v>-1979.87</v>
      </c>
      <c r="F65" s="12">
        <v>1838.0830000000001</v>
      </c>
      <c r="G65" s="12" t="s">
        <v>43</v>
      </c>
      <c r="H65" s="12" t="s">
        <v>43</v>
      </c>
      <c r="I65" s="12" t="s">
        <v>43</v>
      </c>
      <c r="J65" s="12" t="s">
        <v>43</v>
      </c>
      <c r="K65" s="12" t="s">
        <v>43</v>
      </c>
      <c r="L65" s="12" t="s">
        <v>43</v>
      </c>
      <c r="M65" s="12" t="s">
        <v>43</v>
      </c>
      <c r="N65" s="12" t="s">
        <v>43</v>
      </c>
      <c r="O65" s="12" t="s">
        <v>43</v>
      </c>
    </row>
    <row r="66" spans="1:15" x14ac:dyDescent="0.3">
      <c r="A66" s="11" t="s">
        <v>848</v>
      </c>
      <c r="B66" s="11" t="s">
        <v>849</v>
      </c>
      <c r="C66" s="11"/>
      <c r="D66" s="12" t="s">
        <v>43</v>
      </c>
      <c r="E66" s="12" t="s">
        <v>43</v>
      </c>
      <c r="F66" s="12">
        <v>1854.2049</v>
      </c>
      <c r="G66" s="12" t="s">
        <v>43</v>
      </c>
      <c r="H66" s="12" t="s">
        <v>43</v>
      </c>
      <c r="I66" s="12" t="s">
        <v>43</v>
      </c>
      <c r="J66" s="12" t="s">
        <v>43</v>
      </c>
      <c r="K66" s="12" t="s">
        <v>43</v>
      </c>
      <c r="L66" s="12" t="s">
        <v>43</v>
      </c>
      <c r="M66" s="12" t="s">
        <v>43</v>
      </c>
      <c r="N66" s="12" t="s">
        <v>43</v>
      </c>
      <c r="O66" s="12" t="s">
        <v>43</v>
      </c>
    </row>
    <row r="67" spans="1:15" x14ac:dyDescent="0.3">
      <c r="A67" s="11" t="s">
        <v>850</v>
      </c>
      <c r="B67" s="11" t="s">
        <v>851</v>
      </c>
      <c r="C67" s="11"/>
      <c r="D67" s="12">
        <v>2397.0740000000001</v>
      </c>
      <c r="E67" s="12">
        <v>-2495.7719999999999</v>
      </c>
      <c r="F67" s="12">
        <v>1865.624</v>
      </c>
      <c r="G67" s="12" t="s">
        <v>43</v>
      </c>
      <c r="H67" s="12" t="s">
        <v>43</v>
      </c>
      <c r="I67" s="12" t="s">
        <v>43</v>
      </c>
      <c r="J67" s="12" t="s">
        <v>43</v>
      </c>
      <c r="K67" s="12" t="s">
        <v>43</v>
      </c>
      <c r="L67" s="12" t="s">
        <v>43</v>
      </c>
      <c r="M67" s="12" t="s">
        <v>43</v>
      </c>
      <c r="N67" s="12" t="s">
        <v>43</v>
      </c>
      <c r="O67" s="12" t="s">
        <v>43</v>
      </c>
    </row>
    <row r="68" spans="1:15" x14ac:dyDescent="0.3">
      <c r="A68" s="11" t="s">
        <v>852</v>
      </c>
      <c r="B68" s="11" t="s">
        <v>853</v>
      </c>
      <c r="C68" s="11"/>
      <c r="D68" s="23">
        <v>-1.0579000000000001</v>
      </c>
      <c r="E68" s="23">
        <v>-3.5474000000000001</v>
      </c>
      <c r="F68" s="23">
        <v>3.2440000000000002</v>
      </c>
      <c r="G68" s="23" t="s">
        <v>43</v>
      </c>
      <c r="H68" s="23" t="s">
        <v>43</v>
      </c>
      <c r="I68" s="23" t="s">
        <v>43</v>
      </c>
      <c r="J68" s="23" t="s">
        <v>43</v>
      </c>
      <c r="K68" s="23" t="s">
        <v>43</v>
      </c>
      <c r="L68" s="23" t="s">
        <v>43</v>
      </c>
      <c r="M68" s="23" t="s">
        <v>43</v>
      </c>
      <c r="N68" s="23" t="s">
        <v>43</v>
      </c>
      <c r="O68" s="23" t="s">
        <v>43</v>
      </c>
    </row>
    <row r="69" spans="1:15" x14ac:dyDescent="0.3">
      <c r="A69" s="11" t="s">
        <v>854</v>
      </c>
      <c r="B69" s="11" t="s">
        <v>855</v>
      </c>
      <c r="C69" s="11"/>
      <c r="D69" s="23" t="s">
        <v>43</v>
      </c>
      <c r="E69" s="23" t="s">
        <v>43</v>
      </c>
      <c r="F69" s="23">
        <v>12.4846</v>
      </c>
      <c r="G69" s="23" t="s">
        <v>43</v>
      </c>
      <c r="H69" s="23" t="s">
        <v>43</v>
      </c>
      <c r="I69" s="23" t="s">
        <v>43</v>
      </c>
      <c r="J69" s="23" t="s">
        <v>43</v>
      </c>
      <c r="K69" s="23" t="s">
        <v>43</v>
      </c>
      <c r="L69" s="23" t="s">
        <v>43</v>
      </c>
      <c r="M69" s="23" t="s">
        <v>43</v>
      </c>
      <c r="N69" s="23" t="s">
        <v>43</v>
      </c>
      <c r="O69" s="23" t="s">
        <v>43</v>
      </c>
    </row>
    <row r="70" spans="1:15" x14ac:dyDescent="0.3">
      <c r="A70" s="11" t="s">
        <v>856</v>
      </c>
      <c r="B70" s="11" t="s">
        <v>857</v>
      </c>
      <c r="C70" s="11"/>
      <c r="D70" s="23" t="s">
        <v>43</v>
      </c>
      <c r="E70" s="23" t="s">
        <v>43</v>
      </c>
      <c r="F70" s="23">
        <v>13.797800000000001</v>
      </c>
      <c r="G70" s="23">
        <v>7.3761999999999999</v>
      </c>
      <c r="H70" s="23">
        <v>7.3761999999999999</v>
      </c>
      <c r="I70" s="23">
        <v>7.3761999999999999</v>
      </c>
      <c r="J70" s="23">
        <v>7.3761999999999999</v>
      </c>
      <c r="K70" s="23">
        <v>7.3761999999999999</v>
      </c>
      <c r="L70" s="23">
        <v>7.3761999999999999</v>
      </c>
      <c r="M70" s="23">
        <v>7.3761999999999999</v>
      </c>
      <c r="N70" s="23">
        <v>7.3761999999999999</v>
      </c>
      <c r="O70" s="23">
        <v>7.3761999999999999</v>
      </c>
    </row>
    <row r="71" spans="1:15" x14ac:dyDescent="0.3">
      <c r="A71" s="25" t="s">
        <v>125</v>
      </c>
      <c r="B71" s="25"/>
      <c r="C71" s="25"/>
      <c r="D71" s="25" t="s">
        <v>126</v>
      </c>
      <c r="E71" s="25"/>
      <c r="F71" s="25"/>
      <c r="G71" s="25"/>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73637F3A3AF54A86AEAB54031EBC94" ma:contentTypeVersion="4" ma:contentTypeDescription="Create a new document." ma:contentTypeScope="" ma:versionID="d590e7f77658269bf2459d72582c6167">
  <xsd:schema xmlns:xsd="http://www.w3.org/2001/XMLSchema" xmlns:xs="http://www.w3.org/2001/XMLSchema" xmlns:p="http://schemas.microsoft.com/office/2006/metadata/properties" xmlns:ns2="4963e58d-fbec-4dbb-b16f-52b4ad5722d2" targetNamespace="http://schemas.microsoft.com/office/2006/metadata/properties" ma:root="true" ma:fieldsID="65a1fff7f50026117febd083d20662ed" ns2:_="">
    <xsd:import namespace="4963e58d-fbec-4dbb-b16f-52b4ad5722d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63e58d-fbec-4dbb-b16f-52b4ad5722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42F490-FBE5-49C0-8C3E-4A17DC2A1AB6}">
  <ds:schemaRefs>
    <ds:schemaRef ds:uri="http://schemas.microsoft.com/sharepoint/v3/contenttype/forms"/>
  </ds:schemaRefs>
</ds:datastoreItem>
</file>

<file path=customXml/itemProps2.xml><?xml version="1.0" encoding="utf-8"?>
<ds:datastoreItem xmlns:ds="http://schemas.openxmlformats.org/officeDocument/2006/customXml" ds:itemID="{0964E848-B6FB-40C1-A5E7-E1B9F99604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63e58d-fbec-4dbb-b16f-52b4ad57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FF41A2-54D3-46E1-960A-480B81DF10D3}">
  <ds:schemaRefs>
    <ds:schemaRef ds:uri="http://purl.org/dc/dcmitype/"/>
    <ds:schemaRef ds:uri="http://purl.org/dc/elements/1.1/"/>
    <ds:schemaRef ds:uri="4963e58d-fbec-4dbb-b16f-52b4ad5722d2"/>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IS Model (w digi fin</vt:lpstr>
      <vt:lpstr>IS Model</vt:lpstr>
      <vt:lpstr>BS Model</vt:lpstr>
      <vt:lpstr>Valuation</vt:lpstr>
      <vt:lpstr>Ratios + Implied share price</vt:lpstr>
      <vt:lpstr>Calculations</vt:lpstr>
      <vt:lpstr>Visualization</vt:lpstr>
      <vt:lpstr>Income - Actual</vt:lpstr>
      <vt:lpstr>Balance Sheet - Actual</vt:lpstr>
      <vt:lpstr>Cash Flow - Actual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Boon Poh</dc:creator>
  <cp:lastModifiedBy>Chang Boon Poh</cp:lastModifiedBy>
  <dcterms:created xsi:type="dcterms:W3CDTF">2025-03-25T13:57:57Z</dcterms:created>
  <dcterms:modified xsi:type="dcterms:W3CDTF">2025-05-13T07:56:16Z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0x0101003073637F3A3AF54A86AEAB54031EBC94</vt:lpwstr>
  </property>
</Properties>
</file>