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BaiduNetdiskWorkspace\ideas\12_Airborne plastisphere\submit_to_One_Earth\pre_accept\"/>
    </mc:Choice>
  </mc:AlternateContent>
  <xr:revisionPtr revIDLastSave="0" documentId="13_ncr:1_{534CC292-6C49-45BB-96A7-731F23F468EB}" xr6:coauthVersionLast="47" xr6:coauthVersionMax="47" xr10:uidLastSave="{00000000-0000-0000-0000-000000000000}"/>
  <bookViews>
    <workbookView xWindow="-120" yWindow="-120" windowWidth="29040" windowHeight="15720" xr2:uid="{C7CDBD97-10AC-4336-861F-3D0C48AE39A4}"/>
  </bookViews>
  <sheets>
    <sheet name="Paper info" sheetId="3" r:id="rId1"/>
    <sheet name="Sample info" sheetId="1" r:id="rId2"/>
    <sheet name="Map data" sheetId="5" r:id="rId3"/>
  </sheets>
  <definedNames>
    <definedName name="_xlnm._FilterDatabase" localSheetId="0" hidden="1">'Paper info'!#REF!</definedName>
    <definedName name="_xlnm._FilterDatabase" localSheetId="1" hidden="1">'Sample info'!$A$1:$P$424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3" l="1"/>
  <c r="K3" i="3"/>
  <c r="K4" i="3"/>
  <c r="K5" i="3"/>
  <c r="K6" i="3"/>
  <c r="K7" i="3"/>
  <c r="K8" i="3"/>
  <c r="K9" i="3"/>
  <c r="K10" i="3"/>
  <c r="K11" i="3"/>
  <c r="K12" i="3"/>
  <c r="K13" i="3"/>
  <c r="K14" i="3"/>
  <c r="K15" i="3"/>
  <c r="K16" i="3"/>
  <c r="K17" i="3"/>
  <c r="K18" i="3"/>
  <c r="K19" i="3"/>
  <c r="K20" i="3"/>
  <c r="K21" i="3"/>
  <c r="K22" i="3"/>
  <c r="K23" i="3"/>
  <c r="K24" i="3"/>
  <c r="K25" i="3"/>
  <c r="K26" i="3"/>
  <c r="K27" i="3"/>
  <c r="K28" i="3"/>
  <c r="K29"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1" i="3"/>
  <c r="K152" i="3"/>
  <c r="K153"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7" i="3"/>
  <c r="K298" i="3"/>
  <c r="K299" i="3"/>
  <c r="K300" i="3"/>
  <c r="K301" i="3"/>
  <c r="K302" i="3"/>
  <c r="K303" i="3"/>
  <c r="K304"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alcChain>
</file>

<file path=xl/sharedStrings.xml><?xml version="1.0" encoding="utf-8"?>
<sst xmlns="http://schemas.openxmlformats.org/spreadsheetml/2006/main" count="10352" uniqueCount="2397">
  <si>
    <t>NA</t>
  </si>
  <si>
    <t>ocean</t>
  </si>
  <si>
    <t>site</t>
  </si>
  <si>
    <t>height (m)</t>
  </si>
  <si>
    <t>latitude (N)</t>
  </si>
  <si>
    <t>longitude (E)</t>
  </si>
  <si>
    <t>ecosystem (terrestrial/freshwater/marine)</t>
  </si>
  <si>
    <t>urban/rural/remote area</t>
  </si>
  <si>
    <t>Indoor/outdoor</t>
  </si>
  <si>
    <t>sampling methods</t>
  </si>
  <si>
    <t>observation size limit (μm)</t>
  </si>
  <si>
    <t>TI211_3</t>
  </si>
  <si>
    <t>TI212</t>
  </si>
  <si>
    <t>Malaysia</t>
  </si>
  <si>
    <t>Chagar Hutang</t>
  </si>
  <si>
    <t>a bay of a designated marine park</t>
  </si>
  <si>
    <t>outdoor</t>
  </si>
  <si>
    <t>passive</t>
  </si>
  <si>
    <t>274 ± 95</t>
  </si>
  <si>
    <t>5</t>
  </si>
  <si>
    <t>TI168_1</t>
  </si>
  <si>
    <t>TI168</t>
  </si>
  <si>
    <t>Terengganu</t>
  </si>
  <si>
    <t>4</t>
  </si>
  <si>
    <t>576 - 15,562</t>
  </si>
  <si>
    <t>TI282_2</t>
  </si>
  <si>
    <t>TI282</t>
  </si>
  <si>
    <t>Japan</t>
  </si>
  <si>
    <t>Itoshima</t>
  </si>
  <si>
    <t>1.2</t>
  </si>
  <si>
    <t>active</t>
  </si>
  <si>
    <t>10</t>
  </si>
  <si>
    <t>TI282_3</t>
  </si>
  <si>
    <t>Kanazawa</t>
  </si>
  <si>
    <t>TI282_4</t>
  </si>
  <si>
    <t>New Zealand</t>
  </si>
  <si>
    <t>Auckland</t>
  </si>
  <si>
    <t>TI282_5</t>
  </si>
  <si>
    <t>Tongariro</t>
  </si>
  <si>
    <t>TI282_6</t>
  </si>
  <si>
    <t>Whanganui</t>
  </si>
  <si>
    <t>TI292_1</t>
  </si>
  <si>
    <t>TI292</t>
  </si>
  <si>
    <t>China</t>
  </si>
  <si>
    <t>Cangzhou</t>
  </si>
  <si>
    <t>horizontally placed on the roof at a height of 1.7 m</t>
  </si>
  <si>
    <t>23.04 ~  67.54</t>
  </si>
  <si>
    <t>0 ~ 1.37</t>
  </si>
  <si>
    <t>TI292_2</t>
  </si>
  <si>
    <t>Lianyungang</t>
  </si>
  <si>
    <t>TI292_3</t>
  </si>
  <si>
    <t>Zhoushan</t>
  </si>
  <si>
    <t>TI292_4</t>
  </si>
  <si>
    <t>Xiamen</t>
  </si>
  <si>
    <t>TI292_5</t>
  </si>
  <si>
    <t>Haikou</t>
  </si>
  <si>
    <t>TI298_1</t>
  </si>
  <si>
    <t>TI298</t>
  </si>
  <si>
    <t>India</t>
  </si>
  <si>
    <t>Kochi</t>
  </si>
  <si>
    <t>S1</t>
  </si>
  <si>
    <t>40 cm above the rooftop of two-story residential buildings</t>
  </si>
  <si>
    <t>18</t>
  </si>
  <si>
    <t>TI298_2</t>
  </si>
  <si>
    <t>S2</t>
  </si>
  <si>
    <t>TI298_3</t>
  </si>
  <si>
    <t>S3</t>
  </si>
  <si>
    <t>TI315_10</t>
  </si>
  <si>
    <t>TI315</t>
  </si>
  <si>
    <t>Sri Lanka</t>
  </si>
  <si>
    <t>0.02 ± 0.02</t>
  </si>
  <si>
    <t>67</t>
  </si>
  <si>
    <t>TI315_12</t>
  </si>
  <si>
    <t>0.00 ± 0.00</t>
  </si>
  <si>
    <t>TI350_2</t>
  </si>
  <si>
    <t>TI350</t>
  </si>
  <si>
    <t>Shanghai</t>
  </si>
  <si>
    <t>1.7</t>
  </si>
  <si>
    <t>20</t>
  </si>
  <si>
    <t>TI236_2</t>
  </si>
  <si>
    <t>TI236</t>
  </si>
  <si>
    <t>2</t>
  </si>
  <si>
    <t>suburban</t>
  </si>
  <si>
    <t>TI211_1</t>
  </si>
  <si>
    <t>TI211</t>
  </si>
  <si>
    <t>Kuala Nerus</t>
  </si>
  <si>
    <t>rooftop</t>
  </si>
  <si>
    <t>urban</t>
  </si>
  <si>
    <t>368 ± 154</t>
  </si>
  <si>
    <t>TI211_2</t>
  </si>
  <si>
    <t>Bangi</t>
  </si>
  <si>
    <t>340 ± 30</t>
  </si>
  <si>
    <t>TI236_1</t>
  </si>
  <si>
    <t>on the rooftop of a six-story building</t>
  </si>
  <si>
    <t>TI254_1</t>
  </si>
  <si>
    <t>TI254</t>
  </si>
  <si>
    <t>Qingdao</t>
  </si>
  <si>
    <t>no info</t>
  </si>
  <si>
    <t>39.083 ± 14.221</t>
  </si>
  <si>
    <t>TI254_2</t>
  </si>
  <si>
    <t>54.54 ± 19.154</t>
  </si>
  <si>
    <t>TI254_3</t>
  </si>
  <si>
    <t>44.941 ± 19.765</t>
  </si>
  <si>
    <t>TI254_4</t>
  </si>
  <si>
    <t>S4</t>
  </si>
  <si>
    <t>45.491 ± 27.125</t>
  </si>
  <si>
    <t>TI254_5</t>
  </si>
  <si>
    <t>S5</t>
  </si>
  <si>
    <t>49.485 ± 21.085</t>
  </si>
  <si>
    <t>TI258_1</t>
  </si>
  <si>
    <t>TI258</t>
  </si>
  <si>
    <t>Poland</t>
  </si>
  <si>
    <t>Gdynia</t>
  </si>
  <si>
    <t>0 - 30</t>
  </si>
  <si>
    <t>TI335_1</t>
  </si>
  <si>
    <t>TI335</t>
  </si>
  <si>
    <t>Ganges</t>
  </si>
  <si>
    <t>above ground level</t>
  </si>
  <si>
    <t>fresh water</t>
  </si>
  <si>
    <t>remote area</t>
  </si>
  <si>
    <t>41.12 ± 3.99</t>
  </si>
  <si>
    <t>TI259_4</t>
  </si>
  <si>
    <t>TI259</t>
  </si>
  <si>
    <t>Bayannur</t>
  </si>
  <si>
    <t>1.5</t>
  </si>
  <si>
    <t>freshwater</t>
  </si>
  <si>
    <t>island</t>
  </si>
  <si>
    <t>2829 ± 1243</t>
  </si>
  <si>
    <t>50</t>
  </si>
  <si>
    <t>TI259_1</t>
  </si>
  <si>
    <t>2065 ± 789</t>
  </si>
  <si>
    <t>TI259_2</t>
  </si>
  <si>
    <t>3073 ± 1354</t>
  </si>
  <si>
    <t>TI259_3</t>
  </si>
  <si>
    <t>4468 ± 1986</t>
  </si>
  <si>
    <t>TI259_5</t>
  </si>
  <si>
    <t>3909 ± 1526</t>
  </si>
  <si>
    <t>TI259_6</t>
  </si>
  <si>
    <t>3885 ± 1643</t>
  </si>
  <si>
    <t>TI240_1</t>
  </si>
  <si>
    <t>TI240</t>
  </si>
  <si>
    <t>Pacific</t>
  </si>
  <si>
    <t>Pearl River Estuary</t>
  </si>
  <si>
    <t>0.042 ± 0.025</t>
  </si>
  <si>
    <t>TI34_9</t>
  </si>
  <si>
    <t>TI34</t>
  </si>
  <si>
    <t>Spain</t>
  </si>
  <si>
    <t>Las Palmas de Gran Canaria</t>
  </si>
  <si>
    <t>1.7 ~ 2.6</t>
  </si>
  <si>
    <t>TI34_10</t>
  </si>
  <si>
    <t>Santa Cruz de Tenerife</t>
  </si>
  <si>
    <t>TI76_1</t>
  </si>
  <si>
    <t>TI76</t>
  </si>
  <si>
    <t>Gdansk Harbour</t>
  </si>
  <si>
    <t>Baltic</t>
  </si>
  <si>
    <t>TI76_2</t>
  </si>
  <si>
    <t>Baltic Hel Peninsula</t>
  </si>
  <si>
    <t>TI76_3</t>
  </si>
  <si>
    <t>Baltic open sea</t>
  </si>
  <si>
    <t>TI76_4</t>
  </si>
  <si>
    <t>Gotland Island</t>
  </si>
  <si>
    <t>TI88_1</t>
  </si>
  <si>
    <t>TI88</t>
  </si>
  <si>
    <t xml:space="preserve">Pacific </t>
  </si>
  <si>
    <t>2 m above the top floor</t>
  </si>
  <si>
    <t>TI88_2</t>
  </si>
  <si>
    <t>TI88_3</t>
  </si>
  <si>
    <t>TI88_4</t>
  </si>
  <si>
    <t>TI88_5</t>
  </si>
  <si>
    <t>TI88_6</t>
  </si>
  <si>
    <t>S6</t>
  </si>
  <si>
    <t>TI88_7</t>
  </si>
  <si>
    <t>S7</t>
  </si>
  <si>
    <t>TI88_8</t>
  </si>
  <si>
    <t>S8</t>
  </si>
  <si>
    <t>TI88_9</t>
  </si>
  <si>
    <t>S9</t>
  </si>
  <si>
    <t>TI88_10</t>
  </si>
  <si>
    <t>S10</t>
  </si>
  <si>
    <t>TI88_11</t>
  </si>
  <si>
    <t>S11</t>
  </si>
  <si>
    <t>TI88_12</t>
  </si>
  <si>
    <t>S12</t>
  </si>
  <si>
    <t>TI88_13</t>
  </si>
  <si>
    <t>S13</t>
  </si>
  <si>
    <t>TI88_14</t>
  </si>
  <si>
    <t>S14</t>
  </si>
  <si>
    <t>TI88_15</t>
  </si>
  <si>
    <t>S15</t>
  </si>
  <si>
    <t>TI88_16</t>
  </si>
  <si>
    <t>S16</t>
  </si>
  <si>
    <t>TI88_17</t>
  </si>
  <si>
    <t>S17</t>
  </si>
  <si>
    <t>TI88_18</t>
  </si>
  <si>
    <t>S18</t>
  </si>
  <si>
    <t>TI88_19</t>
  </si>
  <si>
    <t>S19</t>
  </si>
  <si>
    <t>TI88_20</t>
  </si>
  <si>
    <t>S20</t>
  </si>
  <si>
    <t>TI88_21</t>
  </si>
  <si>
    <t>S21</t>
  </si>
  <si>
    <t>TI88_22</t>
  </si>
  <si>
    <t>S22</t>
  </si>
  <si>
    <t>TI88_23</t>
  </si>
  <si>
    <t>S23</t>
  </si>
  <si>
    <t>TI88_24</t>
  </si>
  <si>
    <t>S24</t>
  </si>
  <si>
    <t>TI88_25</t>
  </si>
  <si>
    <t>S25</t>
  </si>
  <si>
    <t>TI88_26</t>
  </si>
  <si>
    <t>S26</t>
  </si>
  <si>
    <t>TI88_27</t>
  </si>
  <si>
    <t>S27</t>
  </si>
  <si>
    <t>TI88_28</t>
  </si>
  <si>
    <t>S28</t>
  </si>
  <si>
    <t>TI88_29</t>
  </si>
  <si>
    <t>S29</t>
  </si>
  <si>
    <t>TI88_30</t>
  </si>
  <si>
    <t>S30</t>
  </si>
  <si>
    <t>TI88_31</t>
  </si>
  <si>
    <t>S31</t>
  </si>
  <si>
    <t>TI88_32</t>
  </si>
  <si>
    <t>S32</t>
  </si>
  <si>
    <t>TI109_1</t>
  </si>
  <si>
    <t>TI109</t>
  </si>
  <si>
    <t>TI167_1</t>
  </si>
  <si>
    <t>TI167</t>
  </si>
  <si>
    <t>8.2</t>
  </si>
  <si>
    <t>TI240_2</t>
  </si>
  <si>
    <t>0.008 ± 0.013</t>
  </si>
  <si>
    <t>TI240_3</t>
  </si>
  <si>
    <t>0.004 ± 0.006</t>
  </si>
  <si>
    <t>TI278_1</t>
  </si>
  <si>
    <t>TI278</t>
  </si>
  <si>
    <t>T1</t>
  </si>
  <si>
    <t>atlantic</t>
  </si>
  <si>
    <t>TI278_2</t>
  </si>
  <si>
    <t>B1</t>
  </si>
  <si>
    <t>TI278_3</t>
  </si>
  <si>
    <t>T2</t>
  </si>
  <si>
    <t>TI278_4</t>
  </si>
  <si>
    <t>T3</t>
  </si>
  <si>
    <t>TI278_5</t>
  </si>
  <si>
    <t>T4</t>
  </si>
  <si>
    <t>TI278_6</t>
  </si>
  <si>
    <t>B2</t>
  </si>
  <si>
    <t>TI278_7</t>
  </si>
  <si>
    <t>T5</t>
  </si>
  <si>
    <t>TI278_8</t>
  </si>
  <si>
    <t>T6</t>
  </si>
  <si>
    <t>TI278_9</t>
  </si>
  <si>
    <t>T7</t>
  </si>
  <si>
    <t>TI278_10</t>
  </si>
  <si>
    <t>B3</t>
  </si>
  <si>
    <t>TI280_1</t>
  </si>
  <si>
    <t>TI280</t>
  </si>
  <si>
    <t> South China Sea</t>
  </si>
  <si>
    <t>10 m from the horizontal plane</t>
  </si>
  <si>
    <t>0.035 ± 0.015</t>
  </si>
  <si>
    <t>TI146_1</t>
  </si>
  <si>
    <t>TI146</t>
  </si>
  <si>
    <t>Antarctic</t>
  </si>
  <si>
    <t>~25 m above the sea surface</t>
  </si>
  <si>
    <t>TI146_2</t>
  </si>
  <si>
    <t>TI146_3</t>
  </si>
  <si>
    <t>TI146_4</t>
  </si>
  <si>
    <t>TI146_5</t>
  </si>
  <si>
    <t>TI146_6</t>
  </si>
  <si>
    <t>TI146_7</t>
  </si>
  <si>
    <t>TI146_8</t>
  </si>
  <si>
    <t>TI146_9</t>
  </si>
  <si>
    <t>TI146_10</t>
  </si>
  <si>
    <t>TI146_11</t>
  </si>
  <si>
    <t>TI146_12</t>
  </si>
  <si>
    <t>TI146_13</t>
  </si>
  <si>
    <t>TI146_14</t>
  </si>
  <si>
    <t>TI146_15</t>
  </si>
  <si>
    <t>TI146_16</t>
  </si>
  <si>
    <t>TI146_17</t>
  </si>
  <si>
    <t>TI146_18</t>
  </si>
  <si>
    <t>TI146_19</t>
  </si>
  <si>
    <t>TI146_20</t>
  </si>
  <si>
    <t>TI146_21</t>
  </si>
  <si>
    <t>TI146_22</t>
  </si>
  <si>
    <t>TI146_23</t>
  </si>
  <si>
    <t>TI146_24</t>
  </si>
  <si>
    <t>TI146_25</t>
  </si>
  <si>
    <t>TI146_26</t>
  </si>
  <si>
    <t>TI282_1</t>
  </si>
  <si>
    <t>Matsue</t>
  </si>
  <si>
    <t>TI285_1</t>
  </si>
  <si>
    <t>TI285</t>
  </si>
  <si>
    <t>South China Sea</t>
  </si>
  <si>
    <t>on the upper deck at a height of 1.5 m</t>
  </si>
  <si>
    <t>0.046 ± 0.036</t>
  </si>
  <si>
    <t>TI65_1</t>
  </si>
  <si>
    <t>TI65</t>
  </si>
  <si>
    <t>Iran</t>
  </si>
  <si>
    <t>Ahvaz_S1</t>
  </si>
  <si>
    <t>Terrestrial</t>
  </si>
  <si>
    <t>Urban</t>
  </si>
  <si>
    <t>0.002 ~ 0.017</t>
  </si>
  <si>
    <t>TI315_17</t>
  </si>
  <si>
    <t>0.23 ± 0.03</t>
  </si>
  <si>
    <t>TI315_18</t>
  </si>
  <si>
    <t>0.09 ± 0.04</t>
  </si>
  <si>
    <t>TI315_14</t>
  </si>
  <si>
    <t>inland</t>
  </si>
  <si>
    <t>0.14 ± 0.03</t>
  </si>
  <si>
    <t>TI315_16</t>
  </si>
  <si>
    <t>terrestrial</t>
  </si>
  <si>
    <t>0.07 ± 0.07</t>
  </si>
  <si>
    <t>TI291_2</t>
  </si>
  <si>
    <t>TI291</t>
  </si>
  <si>
    <t>Beijing</t>
  </si>
  <si>
    <t>Fangshan</t>
  </si>
  <si>
    <t>4–6</t>
  </si>
  <si>
    <t>110.84 ± 61.39</t>
  </si>
  <si>
    <t>TI291_3</t>
  </si>
  <si>
    <t>Haidian</t>
  </si>
  <si>
    <t>167.25 ± 71.55</t>
  </si>
  <si>
    <t>TI291_4</t>
  </si>
  <si>
    <t>Mentougou</t>
  </si>
  <si>
    <t>93.05 ± 65.54</t>
  </si>
  <si>
    <t>TI291_5</t>
  </si>
  <si>
    <t>Shunyi</t>
  </si>
  <si>
    <t>144.31 ± 52.02</t>
  </si>
  <si>
    <t>TI291_6</t>
  </si>
  <si>
    <t>Tongzhou</t>
  </si>
  <si>
    <t>139.87 ± 47.38</t>
  </si>
  <si>
    <t>TI315_19</t>
  </si>
  <si>
    <t>P1</t>
  </si>
  <si>
    <t>rural</t>
  </si>
  <si>
    <t>0.03 ± 0.03</t>
  </si>
  <si>
    <t>TI315_20</t>
  </si>
  <si>
    <t>P2</t>
  </si>
  <si>
    <t>TI17_2</t>
  </si>
  <si>
    <t>TI17</t>
  </si>
  <si>
    <t>Patna</t>
  </si>
  <si>
    <t>Rural</t>
  </si>
  <si>
    <t>1320.4 ± 126.0</t>
  </si>
  <si>
    <t>TI291_1</t>
  </si>
  <si>
    <t>Daxing</t>
  </si>
  <si>
    <t>347.20 ± 75.06</t>
  </si>
  <si>
    <t>TI58_6</t>
  </si>
  <si>
    <t>TI58</t>
  </si>
  <si>
    <t>Shiraz_C</t>
  </si>
  <si>
    <t>TI104_1</t>
  </si>
  <si>
    <t>TI104</t>
  </si>
  <si>
    <t>Canada</t>
  </si>
  <si>
    <t>Whitehorse</t>
  </si>
  <si>
    <t>Cowley Creek</t>
  </si>
  <si>
    <t>TI104_2</t>
  </si>
  <si>
    <t>Fish Lake</t>
  </si>
  <si>
    <t>6 ± 3</t>
  </si>
  <si>
    <t>TI104_3</t>
  </si>
  <si>
    <t>Whistlebend</t>
  </si>
  <si>
    <t>TI172_1</t>
  </si>
  <si>
    <t>TI172</t>
  </si>
  <si>
    <t>France</t>
  </si>
  <si>
    <t>Pyrenees mountain</t>
  </si>
  <si>
    <t>25</t>
  </si>
  <si>
    <t>TI200_1</t>
  </si>
  <si>
    <t>TI200</t>
  </si>
  <si>
    <t>Ontario</t>
  </si>
  <si>
    <t>PT1P</t>
  </si>
  <si>
    <t>1.67</t>
  </si>
  <si>
    <t>9</t>
  </si>
  <si>
    <t>TI200_2</t>
  </si>
  <si>
    <t>PT3P</t>
  </si>
  <si>
    <t>6</t>
  </si>
  <si>
    <t>TI200_3</t>
  </si>
  <si>
    <t>SE2P</t>
  </si>
  <si>
    <t>TI200_4</t>
  </si>
  <si>
    <t>HYP2</t>
  </si>
  <si>
    <t>8</t>
  </si>
  <si>
    <t>TI200_5</t>
  </si>
  <si>
    <t>PCP</t>
  </si>
  <si>
    <t>TI200_6</t>
  </si>
  <si>
    <t>PCP2</t>
  </si>
  <si>
    <t>TI233_1</t>
  </si>
  <si>
    <t>TI233</t>
  </si>
  <si>
    <t>Pyrenees</t>
  </si>
  <si>
    <t>365</t>
  </si>
  <si>
    <t>TI147_3</t>
  </si>
  <si>
    <t>TI147</t>
  </si>
  <si>
    <t>Tibetan Plateau</t>
  </si>
  <si>
    <t>15.6 ± 4.4</t>
  </si>
  <si>
    <t>TI57_1</t>
  </si>
  <si>
    <t>TI57</t>
  </si>
  <si>
    <t>Germany</t>
  </si>
  <si>
    <t>Wasserkuppe</t>
  </si>
  <si>
    <t>1.6</t>
  </si>
  <si>
    <t>59 ± 30</t>
  </si>
  <si>
    <t>TI57_6</t>
  </si>
  <si>
    <t>Solling</t>
  </si>
  <si>
    <t>48 ± 15</t>
  </si>
  <si>
    <t>TI160_4</t>
  </si>
  <si>
    <t>TI160</t>
  </si>
  <si>
    <t>Hamburg</t>
  </si>
  <si>
    <t>Beech/oakforest</t>
  </si>
  <si>
    <t>1</t>
  </si>
  <si>
    <t>TI160_5</t>
  </si>
  <si>
    <t>Douglas firforest</t>
  </si>
  <si>
    <t>TI160_6</t>
  </si>
  <si>
    <t>Open field</t>
  </si>
  <si>
    <t>TI204_29</t>
  </si>
  <si>
    <t>TI204</t>
  </si>
  <si>
    <t>Wenzhou</t>
  </si>
  <si>
    <t>137 ± 57</t>
  </si>
  <si>
    <t>TI204_30</t>
  </si>
  <si>
    <t>TI204_31</t>
  </si>
  <si>
    <t>97 ± 33</t>
  </si>
  <si>
    <t>TI204_32</t>
  </si>
  <si>
    <t>TI204_33</t>
  </si>
  <si>
    <t>70 ± 18</t>
  </si>
  <si>
    <t>TI204_34</t>
  </si>
  <si>
    <t>TI210_1</t>
  </si>
  <si>
    <t>TI210</t>
  </si>
  <si>
    <t>Quzhou County</t>
  </si>
  <si>
    <t>86 ~ 75421</t>
  </si>
  <si>
    <t>3</t>
  </si>
  <si>
    <t>TI315_6</t>
  </si>
  <si>
    <t>0.09 ± 0.09</t>
  </si>
  <si>
    <t>TI315_8</t>
  </si>
  <si>
    <t>TI186_2</t>
  </si>
  <si>
    <t>TI186</t>
  </si>
  <si>
    <t>Vietnam</t>
  </si>
  <si>
    <t>Ho Chi Minh City</t>
  </si>
  <si>
    <t>CC</t>
  </si>
  <si>
    <t>rural </t>
  </si>
  <si>
    <t>71 ~ 606</t>
  </si>
  <si>
    <t>TI186_3</t>
  </si>
  <si>
    <t>PH</t>
  </si>
  <si>
    <t>71 ~ 785</t>
  </si>
  <si>
    <t>TI57_5</t>
  </si>
  <si>
    <t xml:space="preserve">Weserbergland </t>
  </si>
  <si>
    <t>29 ± 26</t>
  </si>
  <si>
    <t>TI72_1</t>
  </si>
  <si>
    <t>TI72</t>
  </si>
  <si>
    <t>Paris </t>
  </si>
  <si>
    <t>34.4 ± 18.8</t>
  </si>
  <si>
    <t>TI73_3</t>
  </si>
  <si>
    <t>TI73</t>
  </si>
  <si>
    <t>TI73_6</t>
  </si>
  <si>
    <t>Tianjin</t>
  </si>
  <si>
    <t>TI73_9</t>
  </si>
  <si>
    <t>TI73_12</t>
  </si>
  <si>
    <t>Nanjing</t>
  </si>
  <si>
    <t>N3</t>
  </si>
  <si>
    <t>TI73_15</t>
  </si>
  <si>
    <t>Hangzhou</t>
  </si>
  <si>
    <t>H3</t>
  </si>
  <si>
    <t>TI124_2</t>
  </si>
  <si>
    <t>TI124</t>
  </si>
  <si>
    <t>0.013 ± 0.013</t>
  </si>
  <si>
    <t>TI139_1</t>
  </si>
  <si>
    <t>TI139</t>
  </si>
  <si>
    <t>Chengdu</t>
  </si>
  <si>
    <t>TI162_1</t>
  </si>
  <si>
    <t>TI162</t>
  </si>
  <si>
    <t>A Coruña</t>
  </si>
  <si>
    <t>2.5</t>
  </si>
  <si>
    <t>98 ~ 1220</t>
  </si>
  <si>
    <t>TI177_2</t>
  </si>
  <si>
    <t>TI177</t>
  </si>
  <si>
    <t>Indonesia</t>
  </si>
  <si>
    <t>0.2 ± 0.07</t>
  </si>
  <si>
    <t>200</t>
  </si>
  <si>
    <t>TI192_1</t>
  </si>
  <si>
    <t>TI192</t>
  </si>
  <si>
    <t>US</t>
  </si>
  <si>
    <t>Arizona</t>
  </si>
  <si>
    <t>0.02 ~ 1.1</t>
  </si>
  <si>
    <t>TI281_1</t>
  </si>
  <si>
    <t>TI281</t>
  </si>
  <si>
    <t>Harbin</t>
  </si>
  <si>
    <t>Junior high school</t>
  </si>
  <si>
    <t>unban</t>
  </si>
  <si>
    <t>162.4 ± 44.6</t>
  </si>
  <si>
    <t>TI281_2</t>
  </si>
  <si>
    <t>University</t>
  </si>
  <si>
    <t>63.2 ± 21.8</t>
  </si>
  <si>
    <t>TI281_3</t>
  </si>
  <si>
    <t>Park</t>
  </si>
  <si>
    <t>12.8 ± 5.5</t>
  </si>
  <si>
    <t>TI315_4</t>
  </si>
  <si>
    <t>0.01 ± 0.01</t>
  </si>
  <si>
    <t>TI147_1</t>
  </si>
  <si>
    <t>27.6 ± 14.7</t>
  </si>
  <si>
    <t>TI1_1</t>
  </si>
  <si>
    <t>TI1</t>
  </si>
  <si>
    <t>Philippines</t>
  </si>
  <si>
    <t>Caloocan</t>
  </si>
  <si>
    <t>1.5 </t>
  </si>
  <si>
    <t>0.0179</t>
  </si>
  <si>
    <t>TI1_2</t>
  </si>
  <si>
    <t>Valenzuela</t>
  </si>
  <si>
    <t>0.0084</t>
  </si>
  <si>
    <t>TI1_3</t>
  </si>
  <si>
    <t>Malabon</t>
  </si>
  <si>
    <t>0.0012</t>
  </si>
  <si>
    <t>TI1_4</t>
  </si>
  <si>
    <t>Navotas</t>
  </si>
  <si>
    <t xml:space="preserve">	
0.0143</t>
  </si>
  <si>
    <t>TI1_5</t>
  </si>
  <si>
    <t>Quezon</t>
  </si>
  <si>
    <t>0.0024</t>
  </si>
  <si>
    <t>TI1_6</t>
  </si>
  <si>
    <t>Marikina</t>
  </si>
  <si>
    <t xml:space="preserve">	
0.0119</t>
  </si>
  <si>
    <t>TI1_7</t>
  </si>
  <si>
    <t>San Juan</t>
  </si>
  <si>
    <t xml:space="preserve">	
0.0167</t>
  </si>
  <si>
    <t>TI1_8</t>
  </si>
  <si>
    <t>Manila</t>
  </si>
  <si>
    <t>TI1_9</t>
  </si>
  <si>
    <t>Mandaluyong</t>
  </si>
  <si>
    <t>TI1_10</t>
  </si>
  <si>
    <t>Pasig</t>
  </si>
  <si>
    <t>0.0036</t>
  </si>
  <si>
    <t>TI1_11</t>
  </si>
  <si>
    <t>Makati</t>
  </si>
  <si>
    <t xml:space="preserve">	
0.0084</t>
  </si>
  <si>
    <t>TI1_12</t>
  </si>
  <si>
    <t>Pateros</t>
  </si>
  <si>
    <t xml:space="preserve">	
0.0107</t>
  </si>
  <si>
    <t>TI1_13</t>
  </si>
  <si>
    <t>Pasay</t>
  </si>
  <si>
    <t>0.0072</t>
  </si>
  <si>
    <t>TI1_14</t>
  </si>
  <si>
    <t>Taguig</t>
  </si>
  <si>
    <t>0.0143</t>
  </si>
  <si>
    <t>TI1_15</t>
  </si>
  <si>
    <t>Paranaque</t>
  </si>
  <si>
    <t>0.0060</t>
  </si>
  <si>
    <t>TI1_16</t>
  </si>
  <si>
    <t>Las Pinas</t>
  </si>
  <si>
    <t>TI1_17</t>
  </si>
  <si>
    <t>Muntinlupa</t>
  </si>
  <si>
    <t>TI4_1</t>
  </si>
  <si>
    <t>TI17_1</t>
  </si>
  <si>
    <t>1959.6 ± 205.0</t>
  </si>
  <si>
    <t>TI34_1</t>
  </si>
  <si>
    <t>Vigo</t>
  </si>
  <si>
    <t>TI34_2</t>
  </si>
  <si>
    <t>Tres Cantos</t>
  </si>
  <si>
    <t>TI34_3</t>
  </si>
  <si>
    <t>Madrid-Moncloa</t>
  </si>
  <si>
    <t>TI34_4</t>
  </si>
  <si>
    <t>Madrid-Center</t>
  </si>
  <si>
    <t>TI34_5</t>
  </si>
  <si>
    <t>Alcalá de Henares</t>
  </si>
  <si>
    <t>TI34_6</t>
  </si>
  <si>
    <t>Pamplona</t>
  </si>
  <si>
    <t>TI34_7</t>
  </si>
  <si>
    <t>Barcelona</t>
  </si>
  <si>
    <t>TI34_8</t>
  </si>
  <si>
    <t>Molina de Segura</t>
  </si>
  <si>
    <t>TI54_1</t>
  </si>
  <si>
    <t>TI54</t>
  </si>
  <si>
    <t>30</t>
  </si>
  <si>
    <t>5.6 μg/m3</t>
  </si>
  <si>
    <t>TI57_2</t>
  </si>
  <si>
    <t>Kassel</t>
  </si>
  <si>
    <t>73 ± 21</t>
  </si>
  <si>
    <t>TI57_3</t>
  </si>
  <si>
    <t>Bremen</t>
  </si>
  <si>
    <t>114 ± 81</t>
  </si>
  <si>
    <t>TI57_4</t>
  </si>
  <si>
    <t>Bremerhaven</t>
  </si>
  <si>
    <t>183 ± 124</t>
  </si>
  <si>
    <t>TI58_1</t>
  </si>
  <si>
    <t>Shiraz_S1</t>
  </si>
  <si>
    <t>TI58_2</t>
  </si>
  <si>
    <t>Shiraz_S2</t>
  </si>
  <si>
    <t>TI58_3</t>
  </si>
  <si>
    <t>Shiraz_S3</t>
  </si>
  <si>
    <t>TI58_4</t>
  </si>
  <si>
    <t>Shiraz_S4</t>
  </si>
  <si>
    <t>TI58_5</t>
  </si>
  <si>
    <t>Shiraz_S5</t>
  </si>
  <si>
    <t>TI65_2</t>
  </si>
  <si>
    <t>Ahvaz_S2</t>
  </si>
  <si>
    <t>0.002 ~ 0.015</t>
  </si>
  <si>
    <t>TI73_1</t>
  </si>
  <si>
    <t>393 ± 112</t>
  </si>
  <si>
    <t>TI73_2</t>
  </si>
  <si>
    <t>TI73_4</t>
  </si>
  <si>
    <t>324 ± 145</t>
  </si>
  <si>
    <t>TI73_5</t>
  </si>
  <si>
    <t>TI73_7</t>
  </si>
  <si>
    <t>267 ± 117</t>
  </si>
  <si>
    <t>TI73_8</t>
  </si>
  <si>
    <t>TI73_10</t>
  </si>
  <si>
    <t>N1</t>
  </si>
  <si>
    <t>177 ± 59</t>
  </si>
  <si>
    <t>TI73_11</t>
  </si>
  <si>
    <t>N2</t>
  </si>
  <si>
    <t>TI73_13</t>
  </si>
  <si>
    <t>H1</t>
  </si>
  <si>
    <t>246 ± 78</t>
  </si>
  <si>
    <t>TI73_14</t>
  </si>
  <si>
    <t>H2</t>
  </si>
  <si>
    <t>TI84_1</t>
  </si>
  <si>
    <t>TI84</t>
  </si>
  <si>
    <t> Kassel</t>
  </si>
  <si>
    <t>TI86_1</t>
  </si>
  <si>
    <t>TI86</t>
  </si>
  <si>
    <t>Anyang</t>
  </si>
  <si>
    <t>16.5</t>
  </si>
  <si>
    <t>TI89_2</t>
  </si>
  <si>
    <t>TI89</t>
  </si>
  <si>
    <t>Taiwan</t>
  </si>
  <si>
    <t>0.9 ~ 1</t>
  </si>
  <si>
    <t>28 ± 24</t>
  </si>
  <si>
    <t>TI91_2</t>
  </si>
  <si>
    <t>TI91</t>
  </si>
  <si>
    <t>Portugal</t>
  </si>
  <si>
    <t>Aveiro</t>
  </si>
  <si>
    <t>TI105_1</t>
  </si>
  <si>
    <t>TI105</t>
  </si>
  <si>
    <t>Xi'an</t>
  </si>
  <si>
    <t>TI105_2</t>
  </si>
  <si>
    <t>Baoji</t>
  </si>
  <si>
    <t>TI105_3</t>
  </si>
  <si>
    <t>Tongchuan</t>
  </si>
  <si>
    <t>TI105_4</t>
  </si>
  <si>
    <t>Xianyang</t>
  </si>
  <si>
    <t>TI105_5</t>
  </si>
  <si>
    <t>Weinan</t>
  </si>
  <si>
    <t>TI105_6</t>
  </si>
  <si>
    <t>Yulin</t>
  </si>
  <si>
    <t>TI105_7</t>
  </si>
  <si>
    <t>Hanzhong</t>
  </si>
  <si>
    <t>TI105_8</t>
  </si>
  <si>
    <t>Ankang</t>
  </si>
  <si>
    <t>TI105_9</t>
  </si>
  <si>
    <t>Shangluo</t>
  </si>
  <si>
    <t>TI105_10</t>
  </si>
  <si>
    <t>TI105_11</t>
  </si>
  <si>
    <t>TI105_12</t>
  </si>
  <si>
    <t>TI108_1</t>
  </si>
  <si>
    <t>TI108</t>
  </si>
  <si>
    <t>Mexico</t>
  </si>
  <si>
    <t>10 ~ 15</t>
  </si>
  <si>
    <t>0.110 ± 0.055 (PM2.5)</t>
  </si>
  <si>
    <t>TI111_1</t>
  </si>
  <si>
    <t>TI111</t>
  </si>
  <si>
    <t>Sarakhs</t>
  </si>
  <si>
    <t>2105</t>
  </si>
  <si>
    <t>TI111_2</t>
  </si>
  <si>
    <t>1754</t>
  </si>
  <si>
    <t>TI111_3</t>
  </si>
  <si>
    <t>TI111_4</t>
  </si>
  <si>
    <t>3157</t>
  </si>
  <si>
    <t>TI111_5</t>
  </si>
  <si>
    <t>2807</t>
  </si>
  <si>
    <t>TI111_6</t>
  </si>
  <si>
    <t>3509</t>
  </si>
  <si>
    <t>TI111_7</t>
  </si>
  <si>
    <t>2456</t>
  </si>
  <si>
    <t>TI111_8</t>
  </si>
  <si>
    <t>TI111_9</t>
  </si>
  <si>
    <t>TI111_10</t>
  </si>
  <si>
    <t>TI113_1</t>
  </si>
  <si>
    <t>TI113</t>
  </si>
  <si>
    <t>Tehran</t>
  </si>
  <si>
    <t>0.8</t>
  </si>
  <si>
    <t>TI124_1</t>
  </si>
  <si>
    <t>27</t>
  </si>
  <si>
    <t>0.011 ± 0.012</t>
  </si>
  <si>
    <t>TI144_1</t>
  </si>
  <si>
    <t>TI144</t>
  </si>
  <si>
    <t>15</t>
  </si>
  <si>
    <t>2.5 ± 1.3</t>
  </si>
  <si>
    <t>TI158_1</t>
  </si>
  <si>
    <t>TI158</t>
  </si>
  <si>
    <t>Brazil</t>
  </si>
  <si>
    <t>São Paulo</t>
  </si>
  <si>
    <t>123.20 ± 47.09</t>
  </si>
  <si>
    <t>TI159_1</t>
  </si>
  <si>
    <t>TI159</t>
  </si>
  <si>
    <t>UK</t>
  </si>
  <si>
    <t>London</t>
  </si>
  <si>
    <t>712 ± 162</t>
  </si>
  <si>
    <t>TI160_1</t>
  </si>
  <si>
    <t>Henstedt-Ulzburg</t>
  </si>
  <si>
    <t>TI160_2</t>
  </si>
  <si>
    <t>TI160_3</t>
  </si>
  <si>
    <t>Wilhelmsburg</t>
  </si>
  <si>
    <t>TI163_1</t>
  </si>
  <si>
    <t>TI163</t>
  </si>
  <si>
    <t>Guangzhou</t>
  </si>
  <si>
    <t>114 ± 40</t>
  </si>
  <si>
    <t>TI170_1</t>
  </si>
  <si>
    <t>TI170</t>
  </si>
  <si>
    <t>NH</t>
  </si>
  <si>
    <t>TI170_2</t>
  </si>
  <si>
    <t>PJ</t>
  </si>
  <si>
    <t>TI170_3</t>
  </si>
  <si>
    <t>YN</t>
  </si>
  <si>
    <t>4.18 </t>
  </si>
  <si>
    <t>TI170_4</t>
  </si>
  <si>
    <t>LK</t>
  </si>
  <si>
    <t>TI170_5</t>
  </si>
  <si>
    <t>33</t>
  </si>
  <si>
    <t>TI170_6</t>
  </si>
  <si>
    <t>80</t>
  </si>
  <si>
    <t>TI177_1</t>
  </si>
  <si>
    <t>0.43 ± 0.15</t>
  </si>
  <si>
    <t>TI186_1</t>
  </si>
  <si>
    <t>D10</t>
  </si>
  <si>
    <t>156 ~ 917</t>
  </si>
  <si>
    <t>TI188_1</t>
  </si>
  <si>
    <t>TI188</t>
  </si>
  <si>
    <t>12500</t>
  </si>
  <si>
    <t>TI193_3</t>
  </si>
  <si>
    <t>TI193</t>
  </si>
  <si>
    <t>YQ3</t>
  </si>
  <si>
    <t>TI193_6</t>
  </si>
  <si>
    <t>SZ3</t>
  </si>
  <si>
    <t>TI204_2</t>
  </si>
  <si>
    <t>A1</t>
  </si>
  <si>
    <t>226 ± 66</t>
  </si>
  <si>
    <t>TI204_4</t>
  </si>
  <si>
    <t>A2</t>
  </si>
  <si>
    <t>TI204_6</t>
  </si>
  <si>
    <t>A3</t>
  </si>
  <si>
    <t>TI204_8</t>
  </si>
  <si>
    <t>A4</t>
  </si>
  <si>
    <t>TI204_10</t>
  </si>
  <si>
    <t>A5</t>
  </si>
  <si>
    <t>TI204_12</t>
  </si>
  <si>
    <t>195</t>
  </si>
  <si>
    <t>TI204_14</t>
  </si>
  <si>
    <t>TI204_16</t>
  </si>
  <si>
    <t>1800</t>
  </si>
  <si>
    <t>TI204_18</t>
  </si>
  <si>
    <t>TI204_20</t>
  </si>
  <si>
    <t>259 ± 67</t>
  </si>
  <si>
    <t>TI204_22</t>
  </si>
  <si>
    <t>TI204_24</t>
  </si>
  <si>
    <t>287 ± 72 </t>
  </si>
  <si>
    <t>TI204_26</t>
  </si>
  <si>
    <t>TI204_27</t>
  </si>
  <si>
    <t>TI204_28</t>
  </si>
  <si>
    <t>TI205_1</t>
  </si>
  <si>
    <t>TI205</t>
  </si>
  <si>
    <t>TI223_1</t>
  </si>
  <si>
    <t>TI223</t>
  </si>
  <si>
    <t>South Korea</t>
  </si>
  <si>
    <t>Seoul</t>
  </si>
  <si>
    <t>HRH-F</t>
  </si>
  <si>
    <t>0.72 ± 0.39</t>
  </si>
  <si>
    <t>TI223_2</t>
  </si>
  <si>
    <t>HRH-R</t>
  </si>
  <si>
    <t>TI223_3</t>
  </si>
  <si>
    <t>Seoul_</t>
  </si>
  <si>
    <t>MLH-M</t>
  </si>
  <si>
    <t>TI223_4</t>
  </si>
  <si>
    <t>RTH</t>
  </si>
  <si>
    <t>TI223_5</t>
  </si>
  <si>
    <t>MLH-C</t>
  </si>
  <si>
    <t>13</t>
  </si>
  <si>
    <t>TI235_1</t>
  </si>
  <si>
    <t>TI235</t>
  </si>
  <si>
    <t>Lanzhou</t>
  </si>
  <si>
    <t>TI241_1</t>
  </si>
  <si>
    <t>TI241</t>
  </si>
  <si>
    <t>Thailand</t>
  </si>
  <si>
    <t>Bangkok</t>
  </si>
  <si>
    <t>201.72 ± 15.58</t>
  </si>
  <si>
    <t>TI241_2</t>
  </si>
  <si>
    <t>349.53 ± 18.53</t>
  </si>
  <si>
    <t>TI241_3</t>
  </si>
  <si>
    <t>312.45 ± 50.43</t>
  </si>
  <si>
    <t>TI241_4</t>
  </si>
  <si>
    <t>581.90 ± 28.39</t>
  </si>
  <si>
    <t>TI241_5</t>
  </si>
  <si>
    <t>221.48 ± 31.58</t>
  </si>
  <si>
    <t>TI248_1</t>
  </si>
  <si>
    <t>TI248</t>
  </si>
  <si>
    <t>ground level</t>
  </si>
  <si>
    <t>0.05 ± 0.03</t>
  </si>
  <si>
    <t>TI248_2</t>
  </si>
  <si>
    <t>118</t>
  </si>
  <si>
    <t>0.02 ± 0.01</t>
  </si>
  <si>
    <t>TI248_3</t>
  </si>
  <si>
    <t>168</t>
  </si>
  <si>
    <t>0.04 ± 0.02</t>
  </si>
  <si>
    <t>TI248_4</t>
  </si>
  <si>
    <t>488</t>
  </si>
  <si>
    <t>TI255_1</t>
  </si>
  <si>
    <t>TI255</t>
  </si>
  <si>
    <t>TI255_2</t>
  </si>
  <si>
    <t>TI255_3</t>
  </si>
  <si>
    <t>TI255_4</t>
  </si>
  <si>
    <t>TI255_5</t>
  </si>
  <si>
    <t>TI255_6</t>
  </si>
  <si>
    <t>TI255_7</t>
  </si>
  <si>
    <t>TI255_8</t>
  </si>
  <si>
    <t>TI255_9</t>
  </si>
  <si>
    <t>TI255_10</t>
  </si>
  <si>
    <t>TI255_11</t>
  </si>
  <si>
    <t>TI255_12</t>
  </si>
  <si>
    <t>TI255_13</t>
  </si>
  <si>
    <t>TI255_14</t>
  </si>
  <si>
    <t>TI255_15</t>
  </si>
  <si>
    <t>TI255_16</t>
  </si>
  <si>
    <t>TI255_17</t>
  </si>
  <si>
    <t>TI255_18</t>
  </si>
  <si>
    <t>TI255_19</t>
  </si>
  <si>
    <t>TI255_20</t>
  </si>
  <si>
    <t>TI255_21</t>
  </si>
  <si>
    <t>TI255_22</t>
  </si>
  <si>
    <t>TI255_23</t>
  </si>
  <si>
    <t>TI256_5</t>
  </si>
  <si>
    <t>TI256</t>
  </si>
  <si>
    <t>New Jersey</t>
  </si>
  <si>
    <t>327 ± 19</t>
  </si>
  <si>
    <t>TI268_1</t>
  </si>
  <si>
    <t>TI268</t>
  </si>
  <si>
    <t>Hull </t>
  </si>
  <si>
    <t>1029 ± 594</t>
  </si>
  <si>
    <t>TI269_8</t>
  </si>
  <si>
    <t>TI269</t>
  </si>
  <si>
    <t>Australia</t>
  </si>
  <si>
    <t>Southeast Queensland</t>
  </si>
  <si>
    <t>Outdoor</t>
  </si>
  <si>
    <t>0.17 ± 0.06</t>
  </si>
  <si>
    <t>TI271_1</t>
  </si>
  <si>
    <t>TI271</t>
  </si>
  <si>
    <t>Yancheng</t>
  </si>
  <si>
    <t>TI274_1</t>
  </si>
  <si>
    <t>TI274</t>
  </si>
  <si>
    <t>Kosovo</t>
  </si>
  <si>
    <t>Pristina_Park</t>
  </si>
  <si>
    <t>61.7</t>
  </si>
  <si>
    <t>TI274_2</t>
  </si>
  <si>
    <t>Pristina_Old town</t>
  </si>
  <si>
    <t>98.7</t>
  </si>
  <si>
    <t>TI274_3</t>
  </si>
  <si>
    <t>Pristina_Agricultural land</t>
  </si>
  <si>
    <t>85.8</t>
  </si>
  <si>
    <t>TI274_4</t>
  </si>
  <si>
    <t>Pristina_High-density housing area</t>
  </si>
  <si>
    <t>75.1</t>
  </si>
  <si>
    <t>TI274_5</t>
  </si>
  <si>
    <t>Pristina_Near a garbage can</t>
  </si>
  <si>
    <t>90.2</t>
  </si>
  <si>
    <t>TI274_6</t>
  </si>
  <si>
    <t>Pristina_Individual houses</t>
  </si>
  <si>
    <t>63.7</t>
  </si>
  <si>
    <t>TI274_7</t>
  </si>
  <si>
    <t>Pristina_Highway</t>
  </si>
  <si>
    <t>107.7</t>
  </si>
  <si>
    <t>TI275_1</t>
  </si>
  <si>
    <t>TI275</t>
  </si>
  <si>
    <t>Pakistan</t>
  </si>
  <si>
    <t>Islamabad_Rooftop</t>
  </si>
  <si>
    <t>0.93 ± 0.32</t>
  </si>
  <si>
    <t>TI276_2</t>
  </si>
  <si>
    <t>TI276</t>
  </si>
  <si>
    <t>California</t>
  </si>
  <si>
    <t>0.6 ± 0.6 fibers and 5.6 ± 3.2</t>
  </si>
  <si>
    <t>TI279_1</t>
  </si>
  <si>
    <t>TI279</t>
  </si>
  <si>
    <t>salvage station</t>
  </si>
  <si>
    <t>TI279_2</t>
  </si>
  <si>
    <t>commercial center</t>
  </si>
  <si>
    <t>TI279_3</t>
  </si>
  <si>
    <t>residential area</t>
  </si>
  <si>
    <t>TI279_4</t>
  </si>
  <si>
    <t>university</t>
  </si>
  <si>
    <t>TI279_5</t>
  </si>
  <si>
    <t>park</t>
  </si>
  <si>
    <t>TI279_6</t>
  </si>
  <si>
    <t>factory</t>
  </si>
  <si>
    <t>TI286_1</t>
  </si>
  <si>
    <t>TI286</t>
  </si>
  <si>
    <t>0</t>
  </si>
  <si>
    <t>1434.57 ± 730.82</t>
  </si>
  <si>
    <t>TI286_2</t>
  </si>
  <si>
    <t>5094.93 ± 3431.01</t>
  </si>
  <si>
    <t>TI286_3</t>
  </si>
  <si>
    <t>4072.81 ± 2904.33</t>
  </si>
  <si>
    <t>TI286_4</t>
  </si>
  <si>
    <t>1756.72 ± 1181.85</t>
  </si>
  <si>
    <t>TI286_5</t>
  </si>
  <si>
    <t>2619.74 ± 620.73 </t>
  </si>
  <si>
    <t>TI286_6</t>
  </si>
  <si>
    <t>4588.57 ± 3738.91</t>
  </si>
  <si>
    <t>TI295_6</t>
  </si>
  <si>
    <t>TI295</t>
  </si>
  <si>
    <t>OA</t>
  </si>
  <si>
    <t>at a height of 0.6–1.2 m from the floor</t>
  </si>
  <si>
    <t>1.20 ± 0.53</t>
  </si>
  <si>
    <t>TI295_7</t>
  </si>
  <si>
    <t>OB</t>
  </si>
  <si>
    <t>1.14 ± 0.29</t>
  </si>
  <si>
    <t>TI295_8</t>
  </si>
  <si>
    <t>OC</t>
  </si>
  <si>
    <t>3.37 ± 2.15</t>
  </si>
  <si>
    <t>TI296_1</t>
  </si>
  <si>
    <t>TI296</t>
  </si>
  <si>
    <t>Colombia</t>
  </si>
  <si>
    <t>Cartagena</t>
  </si>
  <si>
    <t>TI296_2</t>
  </si>
  <si>
    <t>TI296_3</t>
  </si>
  <si>
    <t>P3</t>
  </si>
  <si>
    <t>TI297_1</t>
  </si>
  <si>
    <t>TI297</t>
  </si>
  <si>
    <t>Dongguan</t>
  </si>
  <si>
    <t>277 ± 32</t>
  </si>
  <si>
    <t>TI297_2</t>
  </si>
  <si>
    <t>208 ± 3</t>
  </si>
  <si>
    <t>TI297_3</t>
  </si>
  <si>
    <t>198 ± 27</t>
  </si>
  <si>
    <t>TI307_1</t>
  </si>
  <si>
    <t>TI307</t>
  </si>
  <si>
    <t>1.8</t>
  </si>
  <si>
    <t>TI307_2</t>
  </si>
  <si>
    <t>TI307_3</t>
  </si>
  <si>
    <t>TI307_4</t>
  </si>
  <si>
    <t>TI307_5</t>
  </si>
  <si>
    <t>TI308_1</t>
  </si>
  <si>
    <t>TI308</t>
  </si>
  <si>
    <t>133.18 ± 47.44</t>
  </si>
  <si>
    <t>TI308_2</t>
  </si>
  <si>
    <t>180.12 ± 42.22</t>
  </si>
  <si>
    <t>TI308_3</t>
  </si>
  <si>
    <t>395.07 ± 41.44</t>
  </si>
  <si>
    <t>TI309_1</t>
  </si>
  <si>
    <t>TI309</t>
  </si>
  <si>
    <t>0.17 ± 0.01</t>
  </si>
  <si>
    <t>TI310_1</t>
  </si>
  <si>
    <t>TI310</t>
  </si>
  <si>
    <t>20 ~ 25</t>
  </si>
  <si>
    <t>TI310_2</t>
  </si>
  <si>
    <t>TI310_3</t>
  </si>
  <si>
    <t>TI315_2</t>
  </si>
  <si>
    <t>0.15 ± 0.15</t>
  </si>
  <si>
    <t>TI316_1</t>
  </si>
  <si>
    <t>TI316</t>
  </si>
  <si>
    <t>Daoli</t>
  </si>
  <si>
    <t>1.83</t>
  </si>
  <si>
    <t>TI316_2</t>
  </si>
  <si>
    <t>TI316_3</t>
  </si>
  <si>
    <t>TI316_4</t>
  </si>
  <si>
    <t>TI316_5</t>
  </si>
  <si>
    <t>TI316_6</t>
  </si>
  <si>
    <t>Daowai</t>
  </si>
  <si>
    <t>1.40</t>
  </si>
  <si>
    <t>TI316_7</t>
  </si>
  <si>
    <t>TI316_8</t>
  </si>
  <si>
    <t>TI316_9</t>
  </si>
  <si>
    <t>TI316_10</t>
  </si>
  <si>
    <t>TI316_11</t>
  </si>
  <si>
    <t>Songbei</t>
  </si>
  <si>
    <t>1.50</t>
  </si>
  <si>
    <t>TI316_17</t>
  </si>
  <si>
    <t>Hulan</t>
  </si>
  <si>
    <t>1.31</t>
  </si>
  <si>
    <t>TI316_23</t>
  </si>
  <si>
    <t>Nangang</t>
  </si>
  <si>
    <t>2.83</t>
  </si>
  <si>
    <t>TI316_28</t>
  </si>
  <si>
    <t>Xiangfang</t>
  </si>
  <si>
    <t>2.07</t>
  </si>
  <si>
    <t>TI316_33</t>
  </si>
  <si>
    <t>Pingfang</t>
  </si>
  <si>
    <t>1.87</t>
  </si>
  <si>
    <t>TI316_38</t>
  </si>
  <si>
    <t>1.43</t>
  </si>
  <si>
    <t>TI319_1</t>
  </si>
  <si>
    <t>TI319</t>
  </si>
  <si>
    <t>31.5</t>
  </si>
  <si>
    <t>TI331_1</t>
  </si>
  <si>
    <t>TI331</t>
  </si>
  <si>
    <t>Ranchi</t>
  </si>
  <si>
    <t>TI345_1</t>
  </si>
  <si>
    <t>TI345</t>
  </si>
  <si>
    <t>Wuhan</t>
  </si>
  <si>
    <t>CJY</t>
  </si>
  <si>
    <t>82.85 ± 57.66</t>
  </si>
  <si>
    <t>TI348_1</t>
  </si>
  <si>
    <t>TI348</t>
  </si>
  <si>
    <t>Hamberg</t>
  </si>
  <si>
    <t>147</t>
  </si>
  <si>
    <t>TI348_2</t>
  </si>
  <si>
    <t>TI348_3</t>
  </si>
  <si>
    <t>153</t>
  </si>
  <si>
    <t>TI348_4</t>
  </si>
  <si>
    <t>TI348_5</t>
  </si>
  <si>
    <t>53</t>
  </si>
  <si>
    <t>TI348_6</t>
  </si>
  <si>
    <t>70</t>
  </si>
  <si>
    <t>TI348_7</t>
  </si>
  <si>
    <t>65</t>
  </si>
  <si>
    <t>TI348_8</t>
  </si>
  <si>
    <t>Mecklenburg-Western Pomerania</t>
  </si>
  <si>
    <t>72</t>
  </si>
  <si>
    <t>TI348_9</t>
  </si>
  <si>
    <t>71</t>
  </si>
  <si>
    <t>TI348_10</t>
  </si>
  <si>
    <t>TI348_11</t>
  </si>
  <si>
    <t>TI350_1</t>
  </si>
  <si>
    <t>3.0</t>
  </si>
  <si>
    <t>TI351_1</t>
  </si>
  <si>
    <t>TI351</t>
  </si>
  <si>
    <t>Turkey</t>
  </si>
  <si>
    <t>Kocaeli</t>
  </si>
  <si>
    <t>4035 –58,270</t>
  </si>
  <si>
    <t>TI353_1</t>
  </si>
  <si>
    <t>TI353</t>
  </si>
  <si>
    <t>Persian Gulf</t>
  </si>
  <si>
    <t>TI147_4</t>
  </si>
  <si>
    <t>8.1 ± 3.0 </t>
  </si>
  <si>
    <t>582 ± 12159</t>
  </si>
  <si>
    <t>73 ± 19476 </t>
  </si>
  <si>
    <t>suburban/residential</t>
  </si>
  <si>
    <t>6.1</t>
  </si>
  <si>
    <t>1.1</t>
  </si>
  <si>
    <t>10.5</t>
  </si>
  <si>
    <t>West Pacific Ocean</t>
  </si>
  <si>
    <t>0–1.37</t>
  </si>
  <si>
    <t>0.06 ± 0.16</t>
  </si>
  <si>
    <t>17± 9</t>
  </si>
  <si>
    <t>0.205 ± 0.061(PM10)</t>
  </si>
  <si>
    <t>29-1000</t>
  </si>
  <si>
    <t>&gt;50</t>
  </si>
  <si>
    <t>&gt;20</t>
  </si>
  <si>
    <t>&gt;30</t>
  </si>
  <si>
    <t>5.9-5000</t>
  </si>
  <si>
    <t>&lt;5000</t>
  </si>
  <si>
    <t>&gt; 50</t>
  </si>
  <si>
    <t>&gt;6</t>
  </si>
  <si>
    <t>Cibabat</t>
  </si>
  <si>
    <t>&gt;5</t>
  </si>
  <si>
    <t>0.3-100</t>
  </si>
  <si>
    <t>300-5000</t>
  </si>
  <si>
    <t>&gt;1</t>
  </si>
  <si>
    <t>5-5000</t>
  </si>
  <si>
    <t>&gt; 5</t>
  </si>
  <si>
    <t>64 ~ 566</t>
  </si>
  <si>
    <t>58 ~ 408</t>
  </si>
  <si>
    <t>&gt; 16</t>
  </si>
  <si>
    <t>Site 1</t>
  </si>
  <si>
    <t>Site 2</t>
  </si>
  <si>
    <t>near the trunk</t>
  </si>
  <si>
    <t>&gt;3.23</t>
  </si>
  <si>
    <t>&gt;10</t>
  </si>
  <si>
    <t>&gt;2.2</t>
  </si>
  <si>
    <t>A:Campus</t>
  </si>
  <si>
    <t>B:Roadside</t>
  </si>
  <si>
    <t>C:urban park</t>
  </si>
  <si>
    <t>D:dumpsite</t>
  </si>
  <si>
    <t>E:industrial estate</t>
  </si>
  <si>
    <t xml:space="preserve">rural </t>
  </si>
  <si>
    <t>20−500</t>
  </si>
  <si>
    <t>&gt;500</t>
  </si>
  <si>
    <t>&gt;1.2</t>
  </si>
  <si>
    <t>0.28</t>
  </si>
  <si>
    <t>0.23</t>
  </si>
  <si>
    <t>&gt;0.65</t>
  </si>
  <si>
    <t>A6</t>
  </si>
  <si>
    <t>A7</t>
  </si>
  <si>
    <t>A8</t>
  </si>
  <si>
    <t>A9</t>
  </si>
  <si>
    <t>A10</t>
  </si>
  <si>
    <t>A11</t>
  </si>
  <si>
    <t>A12</t>
  </si>
  <si>
    <t>TI285_2</t>
  </si>
  <si>
    <t>TI285_3</t>
  </si>
  <si>
    <t>TI285_4</t>
  </si>
  <si>
    <t>TI285_5</t>
  </si>
  <si>
    <t>TI285_6</t>
  </si>
  <si>
    <t>TI285_7</t>
  </si>
  <si>
    <t>TI285_8</t>
  </si>
  <si>
    <t>TI285_9</t>
  </si>
  <si>
    <t>TI285_10</t>
  </si>
  <si>
    <t>TI285_11</t>
  </si>
  <si>
    <t>TI285_12</t>
  </si>
  <si>
    <t>TI285_13</t>
  </si>
  <si>
    <t>&gt;16</t>
  </si>
  <si>
    <t>10-5000</t>
  </si>
  <si>
    <t>residential</t>
  </si>
  <si>
    <t>Coastal</t>
  </si>
  <si>
    <t>65.94 ± 7.53</t>
  </si>
  <si>
    <t>Public survice</t>
  </si>
  <si>
    <t>green zone</t>
  </si>
  <si>
    <t>467.28 ± 159.05</t>
  </si>
  <si>
    <t>418.22 ± 210.50</t>
  </si>
  <si>
    <t>414.17 ± 144.65</t>
  </si>
  <si>
    <t>urban high-density area</t>
  </si>
  <si>
    <t>urban low-density area</t>
  </si>
  <si>
    <t>rural low-density area</t>
  </si>
  <si>
    <t>rural high-density area</t>
  </si>
  <si>
    <t>park in a low-density area</t>
  </si>
  <si>
    <t>park in a high-density area</t>
  </si>
  <si>
    <t>industrial zone in a high-density area</t>
  </si>
  <si>
    <t>industrial zone in a low-density area</t>
  </si>
  <si>
    <t>inland high-density area</t>
  </si>
  <si>
    <t>inland low-density area</t>
  </si>
  <si>
    <t>coastal low-density area</t>
  </si>
  <si>
    <t>coastal high-density area</t>
  </si>
  <si>
    <t>Grassland</t>
  </si>
  <si>
    <t>1.31 ± 0.62</t>
  </si>
  <si>
    <t>active and passive</t>
  </si>
  <si>
    <t xml:space="preserve">302.31 ± 107.40 </t>
  </si>
  <si>
    <t>Campus</t>
  </si>
  <si>
    <t>13833 ± 1152</t>
  </si>
  <si>
    <t>0.6-40</t>
  </si>
  <si>
    <t>&gt;13</t>
  </si>
  <si>
    <t>Main road</t>
  </si>
  <si>
    <t>Residential</t>
  </si>
  <si>
    <t>Agricultural</t>
  </si>
  <si>
    <t>Wastewater treatment plant</t>
  </si>
  <si>
    <t>Meadow</t>
  </si>
  <si>
    <t>Campground </t>
  </si>
  <si>
    <t> Park</t>
  </si>
  <si>
    <t>Forest</t>
  </si>
  <si>
    <t>&lt;10</t>
  </si>
  <si>
    <t>Industrial</t>
  </si>
  <si>
    <t>&gt;30-50</t>
  </si>
  <si>
    <t>&gt;25</t>
  </si>
  <si>
    <t>&gt;4</t>
  </si>
  <si>
    <t>&gt;14nm</t>
  </si>
  <si>
    <t>&lt;2.5</t>
  </si>
  <si>
    <t>0-12.6</t>
  </si>
  <si>
    <t>20-500</t>
  </si>
  <si>
    <t>1-330</t>
  </si>
  <si>
    <t>&gt;0.45</t>
  </si>
  <si>
    <t>&gt;35</t>
  </si>
  <si>
    <t>TSP</t>
  </si>
  <si>
    <t>&gt;58</t>
  </si>
  <si>
    <t xml:space="preserve"> 1 m above the deck</t>
  </si>
  <si>
    <t>Indian Ocean</t>
  </si>
  <si>
    <t>&lt;2086.69</t>
  </si>
  <si>
    <t>&gt;39</t>
  </si>
  <si>
    <t>Industrial area</t>
  </si>
  <si>
    <t>Ecological island</t>
  </si>
  <si>
    <t>Near bay</t>
  </si>
  <si>
    <t>Central city</t>
  </si>
  <si>
    <t>Eastern part of Shanghai</t>
  </si>
  <si>
    <t>0.2</t>
  </si>
  <si>
    <t>Heavy traffic</t>
  </si>
  <si>
    <t>Roadside</t>
  </si>
  <si>
    <t>City centre</t>
  </si>
  <si>
    <t>Agricultural ecosystem</t>
  </si>
  <si>
    <t>Marine</t>
  </si>
  <si>
    <t>Island</t>
  </si>
  <si>
    <t>Freshwater?</t>
  </si>
  <si>
    <t>Urban low-density area</t>
  </si>
  <si>
    <t>Urban high-density area</t>
  </si>
  <si>
    <t>Netherlands</t>
  </si>
  <si>
    <t>Near nail salons</t>
  </si>
  <si>
    <t>12</t>
  </si>
  <si>
    <t>11-130</t>
  </si>
  <si>
    <t>17 ± 14 </t>
  </si>
  <si>
    <t>&gt;31</t>
  </si>
  <si>
    <t>1-5000</t>
  </si>
  <si>
    <t>Farmland</t>
  </si>
  <si>
    <t>Wetland</t>
  </si>
  <si>
    <t>Mountain</t>
  </si>
  <si>
    <t>Apartment roof</t>
  </si>
  <si>
    <t>Office</t>
  </si>
  <si>
    <t>Classroom</t>
  </si>
  <si>
    <t>Hospital hall</t>
  </si>
  <si>
    <t>Transit station</t>
  </si>
  <si>
    <t>Urban park</t>
  </si>
  <si>
    <t>Downtown</t>
  </si>
  <si>
    <t>Urban-rural fringe area</t>
  </si>
  <si>
    <t>TI139_2</t>
  </si>
  <si>
    <t>Open space</t>
  </si>
  <si>
    <t>Under the canopy of a representative afforested tree</t>
  </si>
  <si>
    <t>36 - 7943</t>
  </si>
  <si>
    <t>&gt;100</t>
  </si>
  <si>
    <t>23-9599</t>
  </si>
  <si>
    <t>50 -2210</t>
  </si>
  <si>
    <t> 18.51- 4917.23</t>
  </si>
  <si>
    <t>A pristine site</t>
  </si>
  <si>
    <t>100-5000</t>
  </si>
  <si>
    <t>n</t>
  </si>
  <si>
    <t>y</t>
  </si>
  <si>
    <t/>
  </si>
  <si>
    <t>SAINS MALAYSIANA</t>
  </si>
  <si>
    <t>First Evidence of Microplastics Ingestion by Freshwater Fishes from Nong Luang Wetland, Chiang Rai, Thailand (Bukti Pertama Ketidakhadaman Mikroplastik oleh Ikan Air Tawar dari Tanah Bencah Nong Luang, Chiang Rai, Thailand)</t>
  </si>
  <si>
    <t>Chantima, K; Suk-Ueng, K; Intep, P; Vittayapadung, S</t>
  </si>
  <si>
    <t>TI358</t>
  </si>
  <si>
    <t>JOURNAL OF ANALYTICAL AND APPLIED PYROLYSIS</t>
  </si>
  <si>
    <t>Identification of polymer species in a complex mixture by pyrolysis -gas chromatography -atmospheric pressure chemical ionization -high resolution time -of -flight mass spectrometry as a basis for environmental microplastic analysis Check updates</t>
  </si>
  <si>
    <t>Harata, K; Kitagawa, S; Iiguni, Y; Ohtani, H</t>
  </si>
  <si>
    <t>TI357</t>
  </si>
  <si>
    <t>JOURNAL OF HAZARDOUS MATERIALS</t>
  </si>
  <si>
    <t>First determination on two kinds of microplastic-air partition coefficients of seven per- and polyfluoroalkyl substances under environmentally relative conditions: Experiment measurement and model prediction</t>
  </si>
  <si>
    <t>Deng, Y; Peng, L; Li, ZD; Xu, W; Ren, G; Wang, F</t>
  </si>
  <si>
    <t>TI356</t>
  </si>
  <si>
    <t>JOURNAL OF EXPOSURE SCIENCE AND ENVIRONMENTAL EPIDEMIOLOGY</t>
  </si>
  <si>
    <t>Systematic review of microplastics and nanoplastics in indoor and outdoor air: identifying a framework and data needs for quantifying human inhalation exposures</t>
  </si>
  <si>
    <t>Eberhard, T; Casillas, G; Zarus, GM; Barr, DB</t>
  </si>
  <si>
    <t>TI355</t>
  </si>
  <si>
    <t>JOURNAL OF CLEANER PRODUCTION</t>
  </si>
  <si>
    <t>Effect of temperature, holding time and gas atmospheres in the synthesis and evolution of polymer-derived nanoceramics: A pyrometallurgical approach to precision nanorecycling of multiphase microplastics</t>
  </si>
  <si>
    <t>Echeverria, C; Pahlevani, F; Sahajwalla, V</t>
  </si>
  <si>
    <t>TI354</t>
  </si>
  <si>
    <t>ENVIRONMENTAL RESEARCH</t>
  </si>
  <si>
    <t>Suspended fine particulate matter (PM2.5), microplastics (MPs), and polycyclic aromatic hydrocarbons (PAHs) in air: Their possible relationships and health implications</t>
  </si>
  <si>
    <t>Akhbarizadeh, R; Dobaradaran, S; Torkmahalleh, MA; Saeedi, R; Aibaghi, R; Ghasemi, FF</t>
  </si>
  <si>
    <t>ENERGY</t>
  </si>
  <si>
    <t>Air gasification of PVC (polyvinyl chloride)-containing plastic waste in a two-stage gasifier using Ca-based additives and Ni-loaded activated carbon for the production of clean and hydrogen-rich producer gas</t>
  </si>
  <si>
    <t>Cho, MH; Choi, YK; Kim, JS</t>
  </si>
  <si>
    <t>TI352</t>
  </si>
  <si>
    <t>SCIENCE OF THE TOTAL ENVIRONMENT</t>
  </si>
  <si>
    <t>Evaluation of levels and sources of microplastics and phthalic acid esters and their relationships in the atmosphere of highly industrialized and urbanized Gebze, Turkiye</t>
  </si>
  <si>
    <t>Celik-Saglam, I; Yurtsever, M; Civan, M; Yurdakul, S; Cetin, B</t>
  </si>
  <si>
    <t>Comparative study on physicochemical characteristics of atmospheric microplastics in winter in inland and coastal megacities: A case of Beijing and Shanghai, China</t>
  </si>
  <si>
    <t>Liu, PJ; Shao, LY; Zhang, YX; Silvonen, V; Oswin, H; Cao, YX; Guo, ZY; Ma, XY; Morawska, L</t>
  </si>
  <si>
    <t>JOURNAL OF HAZARDOUS MATERIALS ADVANCES</t>
  </si>
  <si>
    <t>Advanced treatment of microplastics and antibiotic-containing wastewater using integrated modified dissolved air flotation and pulsed cavitation-impinging stream processes</t>
  </si>
  <si>
    <t>Zhu, YF; Ma, J; Zeng, SY; Li, XX; Lisak, G; Chen, F</t>
  </si>
  <si>
    <t>TI349</t>
  </si>
  <si>
    <t>Spatial distribution of atmospheric microplastics in bulk-deposition of urban and rural environments - A one-year follow-up study in northern Germany</t>
  </si>
  <si>
    <t>Klein, M; Bechtel, B; Brecht, T; Fischer, EK</t>
  </si>
  <si>
    <t>CHEMICAL ENGINEERING JOURNAL</t>
  </si>
  <si>
    <t>Effects of exposure of polyethylene microplastics to air, water and soil on their adsorption behaviors for copper and tetracycline</t>
  </si>
  <si>
    <t>Wang, Y; Wang, XJ; Li, Y; Li, J; Liu, YY; Xia, SQ; Zhao, JF</t>
  </si>
  <si>
    <t>TI347</t>
  </si>
  <si>
    <t>BIOSENSORS &amp; BIOELECTRONICS</t>
  </si>
  <si>
    <t>Dynamic tissue model in vitro and its application for assessment of microplastics-induced toxicity to air-blood barrier (ABB)</t>
  </si>
  <si>
    <t>Fu, AC; Mao, SF; Kasai, N; Zhu, HY; Zeng, HL</t>
  </si>
  <si>
    <t>TI346</t>
  </si>
  <si>
    <t>ENVIRONMENTAL POLLUTION</t>
  </si>
  <si>
    <t>Atmospheric deposition is an important pathway for inputting microplastics: Insight into the spatiotemporal distribution and deposition flux in a mega city</t>
  </si>
  <si>
    <t>Zhu, JX; Xu, A; Shi, MM; Su, YW; Liu, WJ; Zhang, Y; She, ZB; Xing, XL; Qi, SH</t>
  </si>
  <si>
    <t>METHODSX</t>
  </si>
  <si>
    <t>An easy method for processing and identification of natural and synthetic microfibers and microplastics in indoor and outdoor air</t>
  </si>
  <si>
    <t>Prata, JC; Castro, JL; da Costa, JP; Duarte, AC; Cerqueira, M; Rocha-Santos, T</t>
  </si>
  <si>
    <t>TI344</t>
  </si>
  <si>
    <t>Surfactant-assisted air flotation: A novel approach for the removal of microplastics from municipal solid waste incineration bottom ash</t>
  </si>
  <si>
    <t>Chai, JQ; Shi, YF; Wang, Y; Yang, X; Pi, KW; Gerson, AR</t>
  </si>
  <si>
    <t>TI343</t>
  </si>
  <si>
    <t>ACS EARTH AND SPACE CHEMISTRY</t>
  </si>
  <si>
    <t>Ice Nucleation of Model Nanoplastics and Microplastics: A Novel Synthetic Protocol and the Influence of Particle Capping at Diverse Atmospheric Environments</t>
  </si>
  <si>
    <t>Ganguly, M; Ariya, PA</t>
  </si>
  <si>
    <t>TI342</t>
  </si>
  <si>
    <t>ATMOSPHERE</t>
  </si>
  <si>
    <t>Minimizing Contamination from Plastic Labware in the Quantification of C16 and C18 Fatty Acids in Filter Samples of Atmospheric Particulate Matter and Their Utility in Apportioning Cooking Source Contribution to Urban PM2.5</t>
  </si>
  <si>
    <t>Cheng, YY; Yu, JZ</t>
  </si>
  <si>
    <t>TI341</t>
  </si>
  <si>
    <t>ENVIRONMENTAL SCIENCE &amp; TECHNOLOGY</t>
  </si>
  <si>
    <t>Photoaging of Typical Microplastics as Affected by Air Humidity: Mechanistic Insights into the Important Role of Water Molecules</t>
  </si>
  <si>
    <t>Wang, C; Liang, SJ; Bai, LH; Gu, XY; Jin, X; Ok, YS; Gu, C</t>
  </si>
  <si>
    <t>TI340</t>
  </si>
  <si>
    <t>Distribution and potential health impacts of microplastics and microrubbers in air and street dusts from Asaluyeh County, Iran</t>
  </si>
  <si>
    <t>Abbasi, S; Keshavarzi, B; Moore, F; Turner, A; Kelly, FJ; Dominguez, AO; Jaafarzadeh, N</t>
  </si>
  <si>
    <t>TI339</t>
  </si>
  <si>
    <t>A review of the influence of environmental pollutants (microplastics, pesticides, antibiotics, air pollutants, viruses, bacteria) on animal viruses</t>
  </si>
  <si>
    <t>Li, T; Liu, RH; Wang, Q; Rao, JQ; Liu, YJ; Dai, ZK; Gooneratne, R; Wang, J; Xie, QM; Zhang, XH</t>
  </si>
  <si>
    <t>TI338</t>
  </si>
  <si>
    <t>REMOTE SENSING OF ENVIRONMENT</t>
  </si>
  <si>
    <t>An airborne remote sensing case study of synthetic hydrocarbon detection using short wave infrared absorption features identified from marine-harvested macro- and microplastics</t>
  </si>
  <si>
    <t>Garaba, SP; Dierssen, HM</t>
  </si>
  <si>
    <t>TI337</t>
  </si>
  <si>
    <t>Enhanced impacts evaluation of Typhoon Sinlaku (2020) on atmospheric microplastics in South China Sea during the East Asian Summer Monsoon</t>
  </si>
  <si>
    <t>Li, CJ; Wang, XH; Zhu, LX; Liu, K; Zong, CX; Wei, NA; Li, DJ</t>
  </si>
  <si>
    <t>TI336</t>
  </si>
  <si>
    <t>The distribution and characterisation of microplastics in air, surface water and sediment within a major river system</t>
  </si>
  <si>
    <t>Napper, IE; Baroth, A; Barrett, AC; Bhola, S; Chowdhury, GW; Davies, BFR; Duncan, EM; Kumar, S; Nelms, SE; Niloy, MNH; Nishat, B; Maddalene, T; Smith, N; Thompson, RC; Koldewey, H</t>
  </si>
  <si>
    <t>MOLECULES</t>
  </si>
  <si>
    <t>Characterization of the Morphological and Chemical Profile of Different Families of Microplastics in Samples of Breathable Air</t>
  </si>
  <si>
    <t>Hernández-Fernández, J; Puello-Polo, E; Castro-Suarez, JR</t>
  </si>
  <si>
    <t>TI334</t>
  </si>
  <si>
    <t>Microplastic occurrence in urban and industrial soils of Ahvaz metropolis: A city with a sustained record of air pollution</t>
  </si>
  <si>
    <t>Nematollahi, MJ; Keshavarzi, B; Mohit, F; Moore, F; Busquets, R</t>
  </si>
  <si>
    <t>TI333</t>
  </si>
  <si>
    <t>Estimation of microplastic exposure via the composite sampling of drinking water, respirable air, and cooked food from Mumbai, India</t>
  </si>
  <si>
    <t>Yadav, H; Sethulekshmi, S; Shriwastav, A</t>
  </si>
  <si>
    <t>TI332</t>
  </si>
  <si>
    <t>Characterization of microplastics in outdoor and indoor air in Ranchi, Jharkhand, India: First insights from the region</t>
  </si>
  <si>
    <t>Nandi, S; Kumar, RN; Dhandapani, A; Iqbal, J</t>
  </si>
  <si>
    <t>Marine plastics alter the organic matter composition of the air-sea boundary layer, with influences on CO2 exchange: a large-scale analysis method to explore future ocean scenarios</t>
  </si>
  <si>
    <t>Galgani, L; Tzempelikou, E; Kalantzi, I; Tsiola, A; Tsapakis, M; Pitta, P; Esposito, C; Tsotskou, A; Magiopoulos, I; Benavides, R; Steinhoff, T; Loiselle, SA</t>
  </si>
  <si>
    <t>TI330</t>
  </si>
  <si>
    <t>e9394</t>
  </si>
  <si>
    <t>RAPID COMMUNICATIONS IN MASS SPECTROMETRY</t>
  </si>
  <si>
    <t>Simultaneous determination of phthalates and bisphenols from plastic bottled water samples by dispersive solid-phase extraction with multiwalled carbon nanotubes and liquid chromatography/atmospheric pressure photoionization/high-resolution mass spectrometry</t>
  </si>
  <si>
    <t>Sreedhashyam, H; Mehtab, V; Chenna, S; Upadhyayula, VVR</t>
  </si>
  <si>
    <t>TI329</t>
  </si>
  <si>
    <t>ONE EARTH</t>
  </si>
  <si>
    <t>Modeling atmospheric microplastic cycle by GEOS- Chem: An optimized estimation by a global dataset suggests likely 50 times lower ocean emissions</t>
  </si>
  <si>
    <t>Fu, YM; Pang, QT; Ga, SLZ; Wu, PP; Wang, YJ; Mao, M; Yuan, Z; Xu, XR; Liu, K; Wang, XH; Li, DJ; Zhang, YX</t>
  </si>
  <si>
    <t>TI328</t>
  </si>
  <si>
    <t>Monitoring of biofilm development and physico-chemical changes of floating microplastics at the air-water interface</t>
  </si>
  <si>
    <t>Rozman, U; Filker, S; Kalcíková, G</t>
  </si>
  <si>
    <t>TI327</t>
  </si>
  <si>
    <t>Fresh evidence of the impact of economic complexity, health expenditure, natural resources, plastic consumption, and renewable energy in air pollution deaths in the USA? An empirical approach</t>
  </si>
  <si>
    <t>Aydin, M; Degirmenci, T; Bozatli, O; Balsalobre-Lorente, D</t>
  </si>
  <si>
    <t>TI326</t>
  </si>
  <si>
    <t>Impact of simulating real microplastics on toluene removal from contaminated soil using thermally enhanced air injection</t>
  </si>
  <si>
    <t>Li, Y; Wei, ML; Yu, BW; Liu, L; Xue, Q</t>
  </si>
  <si>
    <t>TI325</t>
  </si>
  <si>
    <t>Unraveling the Marine Microplastic Cycle: The First Simultaneous Data Set for Air, Sea Surface Microlayer, and Underlying Water</t>
  </si>
  <si>
    <t>Gossmann, I; Mattsson, K; Hassellöv, M; Crazzolara, C; Held, A; Robinson, TB; Wurl, O; Scholz-Böttcher, BM</t>
  </si>
  <si>
    <t>TI324</t>
  </si>
  <si>
    <t>Microplastics analysis: can we carry out a polymeric characterisation of atmospheric aerosol using direct inlet Py-GC/MS?</t>
  </si>
  <si>
    <t>Gregoris, E; Gallo, G; Rosso, B; Piazza, R; Corami, F; Gambaro, A</t>
  </si>
  <si>
    <t>TI323</t>
  </si>
  <si>
    <t>Airborne microplastics and SARS-CoV-2 in total suspended particles in the area surrounding the largest medical centre in Latin America</t>
  </si>
  <si>
    <t>Amato-Lourenço, LF; Costa, NDX; Dantas, KC; Galva, LD; Moralles, FN; Lombardi, SCFS; Mendroni, A; Lindoso, JAL; Ando, RA; Lima, FG; Carvalho-Oliveira, R; Mauad, T</t>
  </si>
  <si>
    <t>TI322</t>
  </si>
  <si>
    <t>Distinct dynamics in mountain watersheds: Exploring mercury and microplastic pollution-Unraveling the influence of atmospheric deposition, human activities, and hydrology</t>
  </si>
  <si>
    <t>Margenat, H; Guasch, H; Le Roux, G; Vila-Gispert, A; Cornejo, D; Chouache, L; Martí, E; Sonke, JE; El Zrelli, RB; Laffont, L; Hansson, S</t>
  </si>
  <si>
    <t>TI321</t>
  </si>
  <si>
    <t>Hydrophobicity-water/air-based enrichment cell for microplastics analysis within environmental samples: A proof of concept</t>
  </si>
  <si>
    <t>Renner, G; Nellessen, A; Schwiers, A; Wenzel, M; Schmidt, TC; Schram, J</t>
  </si>
  <si>
    <t>TI320</t>
  </si>
  <si>
    <t>New insights into the long-term dynamics and deposition-suspension distribution of atmospheric microplastics in an urban area</t>
  </si>
  <si>
    <t>Rao, WX; Fan, YF; Li, HM; Qian, X; Liu, T</t>
  </si>
  <si>
    <t>JOURNAL OF ANALYTICAL ATOMIC SPECTROMETRY</t>
  </si>
  <si>
    <t>Simple in situ preconcentration for electrolyte atmospheric liquid discharge optical emission spectrometric determination of trace cadmium on microplastics</t>
  </si>
  <si>
    <t>Chen, JD; Jiang, XM; Tian, YF; Hou, XD</t>
  </si>
  <si>
    <t>TI318</t>
  </si>
  <si>
    <t>ANALYTICAL CHEMISTRY</t>
  </si>
  <si>
    <t>Novel Single-Particle Analytical Technique for Inhalable Airborne Microplastic Particles by the Combined Use of Fluorescence Microscopy, Raman Microspectrometry, and SEM/EDX</t>
  </si>
  <si>
    <t>Yoo, H; Kim, M; Lee, Y; Park, J; Lee, H; Song, YC; Ro, CU</t>
  </si>
  <si>
    <t>TI317</t>
  </si>
  <si>
    <t>Spatial distribution, source apportionment and potential ecological risk assessment of suspended atmosphere microplastics in different underlying surfaces in Harbin</t>
  </si>
  <si>
    <t>Liu, S; Bai, FL; Men, Z; Gu, XQ; Wang, FY; Li, YX; Liu, Q</t>
  </si>
  <si>
    <t>Airborne Microplastics in Indoor and Outdoor Environments of a Developing Country in South Asia: Abundance, Distribution, Morphology, and Possible Sources</t>
  </si>
  <si>
    <t>Perera, K; Ziajahromi, S; Nash, SB; Manage, PM; Leusch, FDL</t>
  </si>
  <si>
    <t>FOODS</t>
  </si>
  <si>
    <t>Use of Air-Protected Headspace to Prevent Yeast Film Formation on the Brine of Leccino and Taggiasca Black Table Olives Processed in Industrial-Scale Plastic Barrels</t>
  </si>
  <si>
    <t>Ciafardini, G; Zullo, BA</t>
  </si>
  <si>
    <t>TI314</t>
  </si>
  <si>
    <t>SCIENTIFIC REPORTS</t>
  </si>
  <si>
    <t>Assuring quality in microplastic monitoring: About the value of clean-air devices as essentials for verified data</t>
  </si>
  <si>
    <t>Wesch, C; Elert, AM; Wörner, M; Braun, U; Klein, R; Paulus, M</t>
  </si>
  <si>
    <t>TI313</t>
  </si>
  <si>
    <t>A novel application of thermogravimetry-mass spectrometry for polystyrene quantification in the PM10 and PM2.5 fractions of airborne microplastics</t>
  </si>
  <si>
    <t>Costa-Gómez, I; Suarez-Suarez, M; Moreno, JM; Moreno-Grau, S; Negral, L; Arroyo-Manzanares, N; López-García, I; Peñalver, R</t>
  </si>
  <si>
    <t>TI312</t>
  </si>
  <si>
    <t>Microplastics in a Remote Lake Basin of the Tibetan Plateau: Impacts of Atmospheric Transport and Glacial Melting</t>
  </si>
  <si>
    <t>Dong, HK; Wang, LX; Wang, XP; Xu, L; Chen, MK; Gong, P; Wang, CF</t>
  </si>
  <si>
    <t>TI311</t>
  </si>
  <si>
    <t>Human Exposure to Ambient Atmospheric Microplastics in a Megacity: Spatiotemporal Variation and Associated Microorganism-Related Health Risk</t>
  </si>
  <si>
    <t>Xu, LB; Bai, XY; Li, K; Zhang, GB; Zhang, MJ; Hu, M; Huang, Y</t>
  </si>
  <si>
    <t>Atmospheric microplastics at a southern China metropolis: Occurrence, deposition flux, exposure risk and washout effect of rainfall</t>
  </si>
  <si>
    <t>Yuan, Z; Pei, CL; Li, HX; Lin, L; Liu, S; Hou, R; Liao, R; Xu, XR</t>
  </si>
  <si>
    <t>Characteristics, sources and influencing factors of atmospheric deposition of microplastics in three different ecosystems of Beijing, China</t>
  </si>
  <si>
    <t>Zhang, RX; Jia, XX; Wang, K; Lu, LL; Li, F; Li, J; Xu, L</t>
  </si>
  <si>
    <t>Outdoor Atmospheric Microplastics within the Humber Region (United Kingdom): Quantification and Chemical Characterisation of Deposited Particles Present</t>
  </si>
  <si>
    <t>Jenner, LC; Sadofsky, LR; Danopoulos, E; Chapman, E; White, D; Jenkins, RL; Rotchell, JM</t>
  </si>
  <si>
    <t>PROCESS SAFETY AND ENVIRONMENTAL PROTECTION</t>
  </si>
  <si>
    <t>Ecofriendly removing microplastics from rivers: A novel air flotation approach crafted with positively charged carrier</t>
  </si>
  <si>
    <t>Hao, FL; Shen, MW</t>
  </si>
  <si>
    <t>TI306</t>
  </si>
  <si>
    <t>Sources and fate of atmospheric microplastics revealed from inverse and dispersion modelling: From global emissions to deposition</t>
  </si>
  <si>
    <t>Evangeliou, N; Tichy, O; Eckhardt, S; Zwaaftink, CG; Brahney, J</t>
  </si>
  <si>
    <t>TI305</t>
  </si>
  <si>
    <t>5-6</t>
  </si>
  <si>
    <t>GEFAHRSTOFFE REINHALTUNG DER LUFT</t>
  </si>
  <si>
    <t>Biomonitoring with mosses for the investigation of atmospheric deposition of metals, nitrogen, persistent organic compounds and microplastics</t>
  </si>
  <si>
    <t>Schröder, W; Nickel, S; Völksen, B; Dreyer, A; Wenzel, M; Kube, C; Türk, J; Wolf, C</t>
  </si>
  <si>
    <t>TI304</t>
  </si>
  <si>
    <t>BIOSAFETY AND HEALTH</t>
  </si>
  <si>
    <t>Heat inactivation of foot-and-mouth disease virus, swine vesicular disease virus and classical swine fever virus when air-dried on plastic and glass surfaces</t>
  </si>
  <si>
    <t>Kristensen, T; Belsham, GJ; Tjornehoj, K</t>
  </si>
  <si>
    <t>TI303</t>
  </si>
  <si>
    <t>CHEMOSPHERE</t>
  </si>
  <si>
    <t>Emission of PAHs, PCBs, PBDEs and heavy metals in air, water and soil around a waste plastic recycling factory in an industrial park, Eastern China</t>
  </si>
  <si>
    <t>Qin, YF; Liu, YQ; Wang, JB; Lu, Y; Xu, ZM</t>
  </si>
  <si>
    <t>TI302</t>
  </si>
  <si>
    <t>APPLIED SCIENCES-BASEL</t>
  </si>
  <si>
    <t>Evaluation of In-Package Atmospheric Dielectric Barrier Discharge Cold Plasma Treatment as an Intervention Technology for Decontaminating Bulk Ready-To-Eat Chicken Breast Cubes in Plastic Containers</t>
  </si>
  <si>
    <t>Lee, ES; Cheigh, CI; Kang, JH; Lee, SY; Min, SC</t>
  </si>
  <si>
    <t>TI301</t>
  </si>
  <si>
    <t>Assessing microplastic characteristics in bottled drinking water and air deposition samples using laser direct infrared imaging</t>
  </si>
  <si>
    <t>Nizamali, J; Mintenig, SM; Koelmans, AA</t>
  </si>
  <si>
    <t>TI300</t>
  </si>
  <si>
    <t>Microplastic atmospheric dustfall pollution in urban environment: Evidence from the types, distribution, and probable sources in Beijing, China</t>
  </si>
  <si>
    <t>Liu, PJ; Shao, LY; Li, YW; Jones, T; Cao, YX; Yang, CX; Zhang, MY; Santosh, M; Feng, XL; BéruBé, K</t>
  </si>
  <si>
    <t>TI299</t>
  </si>
  <si>
    <t>Atmospheric microplastic deposition in a coastal city of India: The influence of a landfill source on monsoon winds</t>
  </si>
  <si>
    <t>Kannankai, MP; Devipriya, SP</t>
  </si>
  <si>
    <t>ENVIRONMENTAL SCIENCE AND POLLUTION RESEARCH</t>
  </si>
  <si>
    <t>Characteristic of microplastics in the atmospheric fallout from Dongguan city, China: preliminary research and first evidence</t>
  </si>
  <si>
    <t>Cai, LQ; Wang, JD; Peng, JP; Tan, Z; Zhan, ZW; Tan, XL; Chen, QQ</t>
  </si>
  <si>
    <t>SUSTAINABILITY</t>
  </si>
  <si>
    <t>Characterization of Microplastics in Total Atmospheric Deposition Sampling from Areas Surrounding Industrial Complexes in Northwestern Colombia</t>
  </si>
  <si>
    <t>Hernández-Fernández, J; Puello-Polo, E; Trilleras, J</t>
  </si>
  <si>
    <t>WATER AIR AND SOIL POLLUTION</t>
  </si>
  <si>
    <t>Comparison of Microplastic Characteristics in the Indoor and Outdoor Air of Urban Areas of South Korea</t>
  </si>
  <si>
    <t>Choi, H; Lee, I; Kim, H; Park, J; Cho, S; Oh, S; Lee, M; Kim, H</t>
  </si>
  <si>
    <t>FRESHWATER BIOLOGY</t>
  </si>
  <si>
    <t>Invasive submerged freshwater macrophytes are more plastic in their response to light intensity than to the availability of free CO2 in air-equilibrated water</t>
  </si>
  <si>
    <t>Eller, F; Alnoee, AB; Boderskov, T; Guo, WY; Kamp, AT; Sorrell, BK; Brix, H</t>
  </si>
  <si>
    <t>TI294</t>
  </si>
  <si>
    <t>IEEE TRANSACTIONS ON INDUSTRY APPLICATIONS</t>
  </si>
  <si>
    <t>Effect of Storage at Different Levels of Relative Humidity of Ambient Air on the Tribo-Electrostatic Separation of Granular Plastics Containing Brominated Flame Retardants</t>
  </si>
  <si>
    <t>Benabderrahmane, A; Dani, C; Medles, K; Zeghloul, T; Tomasella, F; Lungu, M; Dascalescu, L; Parenty, A</t>
  </si>
  <si>
    <t>TI293</t>
  </si>
  <si>
    <t>Global inventory of atmospheric fibrous microplastics input into the ocean: An implication from the indoor origin</t>
  </si>
  <si>
    <t>Liu, K; Wang, XH; Song, ZY; Wei, N; Ye, HD; Cong, X; Zhao, LW; Li, Y; Qu, LM; Zhu, LX; Zhang, F; Zong, CX; Jiang, CH; Li, DJ</t>
  </si>
  <si>
    <t>Occurrence, influencing factors and sources of atmospheric microplastics in peri-urban farmland ecosystems of Beijing, China</t>
  </si>
  <si>
    <t>Lu, LL; Zhang, RX; Wang, K; Tian, JY; Wu, QX; Xu, L</t>
  </si>
  <si>
    <t>Pyr-GC-Orbitrap-MS method for the target/untargeted analysis of microplastics in air</t>
  </si>
  <si>
    <t>Torres-Agullo, A; Zuri, G; Lacorte, S</t>
  </si>
  <si>
    <t>TI290</t>
  </si>
  <si>
    <t>Nickel promoted Si-rich ZSM-5 nanocatalyst remarkably converts LDPE plastic waste to gasoline range hydrocarbons in a dual-bed semi-batch reactor at atmospheric pressure</t>
  </si>
  <si>
    <t>Hajian, M; Rostamizadeh, M</t>
  </si>
  <si>
    <t>TI289</t>
  </si>
  <si>
    <t>Deterioration of single-use biodegradable plastics in high-humidity air and freshwaters over one year: Significant disparities in surface physicochemical characteristics and degradation rates</t>
  </si>
  <si>
    <t>Hu, LL; He, LL; Cai, L; Wang, YM; Wu, G; Zhang, DY; Pan, XL; Wang, YZ</t>
  </si>
  <si>
    <t>TI288</t>
  </si>
  <si>
    <t>ATMOSPHERIC POLLUTION RESEARCH</t>
  </si>
  <si>
    <t>Variation in characteristics of air concentrations of NH3, NO2 and O3 induced by applications of urea in soils of plastic greenhouses in suburban China</t>
  </si>
  <si>
    <t>Jiang, ZH; Zeng, QR; Pi, HJ; Tie, BQ</t>
  </si>
  <si>
    <t>TI287</t>
  </si>
  <si>
    <t>Atmospheric deposition of microplastics in the megalopolis (Shanghai) during rainy season: Characteristics, influence factors, and source</t>
  </si>
  <si>
    <t>Jia, QL; Duan, YS; Han, XL; Sun, XD; Munyaneza, J; Ma, JL; Xiu, GL</t>
  </si>
  <si>
    <t>Occurrence of microplastics in the seawater and atmosphere of the South China Sea: Pollution patterns and interrelationship</t>
  </si>
  <si>
    <t>Liu, BJ; Lu, Y; Deng, HQ; Huang, HF; Wei, N; Jiang, YL; Jiang, YX; Liu, LQQ; Sun, KF; Zheng, H</t>
  </si>
  <si>
    <t>Environmental Deterioration of Biodegradable, Oxo-biodegradable, Compostable, and Conventional Plastic Carrier Bags in the Sea, Soil, and Open-Air Over a 3-Year Period</t>
  </si>
  <si>
    <t>Napper, IE; Thompson, RC</t>
  </si>
  <si>
    <t>TI284</t>
  </si>
  <si>
    <t>JOURNAL OF ENVIRONMENTAL HEALTH SCIENCE AND ENGINEERING</t>
  </si>
  <si>
    <t>Influence of synthetic wastewater on entrapped air on the isotactic and atactic polypropylene microplastic surfaces</t>
  </si>
  <si>
    <t>Nikpay, M; Eqtesadi, S; Krebs, P</t>
  </si>
  <si>
    <t>TI283</t>
  </si>
  <si>
    <t>Differences in microplastic degradation in the atmosphere and coastal water environment from two island nations: Japan and New Zealand</t>
  </si>
  <si>
    <t>Nagato, EG; Noothalapati, H; Kogumasaka, C; Kakii, S; Hossain, S; Iwasaki, K; Takai, Y; Shimasaki, Y; Honda, M; Hayakawa, K; Yamamoto, T; Archer, SDJ</t>
  </si>
  <si>
    <t>BIORESOURCE TECHNOLOGY</t>
  </si>
  <si>
    <t>Pollution characteristics and potential health effects of airborne microplastics and culturable microorganisms during urban haze in Harbin, China</t>
  </si>
  <si>
    <t>Jiang, JH; Ren, HY; Wang, XW; Liu, BF</t>
  </si>
  <si>
    <t>ATMOSPHERIC ENVIRONMENT</t>
  </si>
  <si>
    <t>The abundance and characteristics of atmospheric microplastic deposition in the northwestern South China Sea in the fall</t>
  </si>
  <si>
    <t>Ding, YC; Zou, XQ; Wang, CL; Feng, ZY; Wang, Y; Fan, QY; Chen, HY</t>
  </si>
  <si>
    <t>Spatiotemporal distribution and potential sources of atmospheric microplastic deposition in a semiarid urban environment of Northwest China</t>
  </si>
  <si>
    <t>Liu, Z; Liu, XY; Bai, Y; Wei, HJ; Lu, J</t>
  </si>
  <si>
    <t>NATURE COMMUNICATIONS</t>
  </si>
  <si>
    <t>Occurrence and backtracking of microplastic mass loads including tire wear particles in northern Atlantic air</t>
  </si>
  <si>
    <t>Gossmann, I; Herzke, D; Held, A; Schulz, J; Nikiforov, V; Georgi, C; Evangeliou, N; Eckhardt, S; Gerdts, G; Wurl, O; Scholz-Böttcher, BM</t>
  </si>
  <si>
    <t>Ambient Atmospheric Deposition of Anthropogenic Microfibers and Microplastics on the Western Periphery of Europe (Ireland)</t>
  </si>
  <si>
    <t>Roblin, B; Ryan, M; Vreugdenhil, A; Aherne, J</t>
  </si>
  <si>
    <t>TI277</t>
  </si>
  <si>
    <t>APPLIED SPECTROSCOPY</t>
  </si>
  <si>
    <t>Microplastics Differ Between Indoor and Outdoor Air Masses: Insights from Multiple Microscopy Methodologies</t>
  </si>
  <si>
    <t>Gaston, E; Woo, M; Steele, C; Sukumaran, S; Anderson, S</t>
  </si>
  <si>
    <t>Exploration of microplastic concentration in indoor and outdoor air samples: Morphological, polymeric, and elemental analysis</t>
  </si>
  <si>
    <t>Din, KS; Khokhar, MF; Butt, SI; Qadir, A; Younas, F</t>
  </si>
  <si>
    <t>Potential Impact of Urban Land Use on Microplastic Atmospheric Deposition: A Case Study in Pristina City, Kosovo</t>
  </si>
  <si>
    <t>Cakaj, A; Lisiak-Zielinska, M; Drzewiecka, K; Budka, A; Borowiak, K; Drapikowska, M; Cakaj, A; Qorri, E; Szkudlarz, P</t>
  </si>
  <si>
    <t>ENVIRONMENT INTERNATIONAL</t>
  </si>
  <si>
    <t>Accurate quantification and transport estimation of suspended atmospheric microplastics in megacities: Implications for human health</t>
  </si>
  <si>
    <t>Liu, K; Wang, XH; Wei, N; Song, ZY; Li, DJ</t>
  </si>
  <si>
    <t>TI273</t>
  </si>
  <si>
    <t>BOUNDARY-LAYER METEOROLOGY</t>
  </si>
  <si>
    <t>Effects of Urban Surface Roughness on Potential Sources of Microplastics in the Atmospheric Boundary Layer</t>
  </si>
  <si>
    <t>Cui, YF; Xiao, SL; Giometto, MG; Li, Q</t>
  </si>
  <si>
    <t>TI272</t>
  </si>
  <si>
    <t>JOURNAL OF ENVIRONMENTAL SCIENCES</t>
  </si>
  <si>
    <t>Physicochemical characteristics of airborne microplastics of a typical coastal city in the Yangtze River Delta Region, China</t>
  </si>
  <si>
    <t>Liu, PJ; Shao, LY; Guo, ZY; Zhang, YX; Cao, YX; Ma, XY; Morawska, L</t>
  </si>
  <si>
    <t>INTERNATIONAL JOURNAL OF REFRIGERATION-REVUE INTERNATIONALE DU FROID</t>
  </si>
  <si>
    <t>The effect of plastic film transmittance on heat transfer in a multilayer insulation structure of rectangular air cells for frozen food wrapping</t>
  </si>
  <si>
    <t>Kasperski, J; Grabowska, B</t>
  </si>
  <si>
    <t>TI270</t>
  </si>
  <si>
    <t>Microplastics in Australian indoor air: Abundance, characteristics, and implications for human exposure</t>
  </si>
  <si>
    <t>Perera, K; Ziajahromi, S; Nash, SB; Leusch, FDL</t>
  </si>
  <si>
    <t>Outdoor Microplastic Analysis Using Inlet Filters from an NOx Regulatory Air Quality Monitoring Device</t>
  </si>
  <si>
    <t>Jenner, LC; Kureshi, RR; White, D; Chapman, E; Sadofsky, LR; Rotchell, JM</t>
  </si>
  <si>
    <t>AGRICULTURE-BASEL</t>
  </si>
  <si>
    <t>Comparison of Three Cooling Methods (Hydrocooling, Forced-Air Cooling and Slush Icing) and Plastic Overwrap on Broccoli Quality during Simulated Commercial Handling</t>
  </si>
  <si>
    <t>Theodore, C; Sargent, SA; Brecht, JK; Zotarelli, L; Berry, AD</t>
  </si>
  <si>
    <t>TI267</t>
  </si>
  <si>
    <t>WATER ENVIRONMENT RESEARCH</t>
  </si>
  <si>
    <t>The removal efficiency and mechanism of microplastic enhancement by positive modification dissolved air flotation</t>
  </si>
  <si>
    <t>Wang, YL; Li, YN; Tian, LP; Ju, L; Liu, YL</t>
  </si>
  <si>
    <t>TI266</t>
  </si>
  <si>
    <t>Identifying laboratory sources of microplastic and nanoplastic contamination from the air, water, and consumables</t>
  </si>
  <si>
    <t>Jones, NR; de Jersey, AM; Lavers, JL; Rodemann, T; Rivers-Auty, J</t>
  </si>
  <si>
    <t>TI265</t>
  </si>
  <si>
    <t>Accumulation of microplastics in soil after long-term application of biosolids and atmospheric deposition</t>
  </si>
  <si>
    <t>Adhikari, K; Pearce, CI; Sanguinet, KA; Bary, AI; Chowdhury, I; Eggleston, I; Xing, BS; Flury, M</t>
  </si>
  <si>
    <t>TI264</t>
  </si>
  <si>
    <t>POULTRY SCIENCE</t>
  </si>
  <si>
    <t>Poultry rearing on perforated plastic floors and the effect on air quality, growth performance, and carcass injuries - Experiment 2: Heat stress situation</t>
  </si>
  <si>
    <t>Almeida, EA; Sant'Anna, AC; Crowe, TG; Macari, M; Furlan, RL</t>
  </si>
  <si>
    <t>TI263</t>
  </si>
  <si>
    <t>AIRCRAFT ENGINEERING AND AEROSPACE TECHNOLOGY</t>
  </si>
  <si>
    <t>A simulation of the thermal environment of a plastic body of a new type of launch vehicle at the atmospheric phase of the trajectory</t>
  </si>
  <si>
    <t>Dreus, A; Yemets, V; Dron, M; Yemets, M; Golubek, A</t>
  </si>
  <si>
    <t>TI262</t>
  </si>
  <si>
    <t>FIELD CROPS RESEARCH</t>
  </si>
  <si>
    <t>Straw and plastic management regulate air-soil temperature amplitude and wetting-drying alternation in soil to promote intercrop productivity in arid regions</t>
  </si>
  <si>
    <t>Yin, W; Chai, Q; Guo, Y; Fan, ZL; Hu, FL; Fan, H; Zhao, C; Yu, AZ; Coulter, JA</t>
  </si>
  <si>
    <t>TI261</t>
  </si>
  <si>
    <t>INTERNATIONAL JOURNAL OF AGRICULTURAL AND BIOLOGICAL ENGINEERING</t>
  </si>
  <si>
    <t>Performances of an air thermal energy utilization system developed with fan-coil units in large-scale plastic tunnels covered with external blanket</t>
  </si>
  <si>
    <t>Zong, CJ; Xiao, ZB; Song, WT; Wang, PZ; Zhang, GF; Li, M</t>
  </si>
  <si>
    <t>TI260</t>
  </si>
  <si>
    <t>Characterization and traceability analysis of dry deposition of atmospheric microplastics (MPs) in Wuliangsuhai Lake</t>
  </si>
  <si>
    <t>Wang, K; Liu, Y; Shi, XH; Zhao, SN; Sun, B; Lu, JP; Li, WB</t>
  </si>
  <si>
    <t>Atmospheric deposition of microplastics in the coastal zone: Characteristics and relationship with meteorological factors</t>
  </si>
  <si>
    <t>Szewc, K; Graca, B; Dolega, A</t>
  </si>
  <si>
    <t>Rapid Single Particle Atmospheric Solids Analysis Probe-Mass Spectrometry for Multimodal Analysis of Microplastics</t>
  </si>
  <si>
    <t>Vitali, C; Ruggeri, FS; Janssen, HG; Nielen, MWF</t>
  </si>
  <si>
    <t>TI257</t>
  </si>
  <si>
    <t>Characterization of microplastics in indoor and ambient air in northern New Jersey</t>
  </si>
  <si>
    <t>Yao, Y; Glamoclija, M; Murphy, A; Gao, Y</t>
  </si>
  <si>
    <t>Efficient transport of atmospheric microplastics onto the continent via the East Asian summer monsoon</t>
  </si>
  <si>
    <t>Wang, XH; Liu, K; Zhu, LX; Li, CJ; Song, ZY; Li, DJ</t>
  </si>
  <si>
    <t>MARINE POLLUTION BULLETIN</t>
  </si>
  <si>
    <t>Occurrence, characteristics, and factors influencing the atmospheric microplastics around Jiaozhou Bay, the Yellow Sea</t>
  </si>
  <si>
    <t>Zhao, CH; Liang, JH; Zhu, ML; Zheng, S; Zhao, YF; Sun, XX</t>
  </si>
  <si>
    <t>Foodborne and airborne polyethersulfone nanoplastics respectively induce liver and lung injury in mice: Comparison with microplastics</t>
  </si>
  <si>
    <t>Zha, H; Xia, JF; Wang, KC; Xu, LW; Chang, K; Li, LJ</t>
  </si>
  <si>
    <t>TI253</t>
  </si>
  <si>
    <t>Assessing the level of airborne polystyrene microplastics using thermogravimetry-mass spectrometry: Results for an agricultural area</t>
  </si>
  <si>
    <t>Peñalver, R; Costa-Gómez, I; Arroyo-Manzanares, N; Moreno, JM; López-García, I; Moreno-Grau, S; Córdoba, MH</t>
  </si>
  <si>
    <t>TI252</t>
  </si>
  <si>
    <t>Microplastics in the atmosphere: Adsorb on leaves and their effects on the phyllosphere bacterial community</t>
  </si>
  <si>
    <t>Xu, LB; Li, K; Bai, XY; Zhang, GB; Tian, XD; Tang, Q; Zhang, MJ; Hu, M; Huang, Y</t>
  </si>
  <si>
    <t>TI251</t>
  </si>
  <si>
    <t>ARCTIC SCIENCE</t>
  </si>
  <si>
    <t>Microplastics in the atmosphere and cryosphere in the circumpolar North: a case for multicompartment monitoring</t>
  </si>
  <si>
    <t>Hamilton, BM; Jantunen, L; Bergmann, M; Vorkamp, K; Aherne, J; Magnusson, K; Herzke, D; Granberg, M; Hallanger, IG; Gomiero, A; Peeken, I</t>
  </si>
  <si>
    <t>TI250</t>
  </si>
  <si>
    <t>Characterization of airborne microplastics at different workplaces of the poly(ethylene:propylene:diene) (EPDM) rubber industry</t>
  </si>
  <si>
    <t>Sun, XN; Song, R; Liu, JT; Yan, SS; Li, YX; Jin, XY; Liang, YF; Wu, YD; Mei, L; Pan, RB; Yi, WZ; Song, J; Cheng, J; Su, H</t>
  </si>
  <si>
    <t>TI249</t>
  </si>
  <si>
    <t>Vertical distribution and transport of microplastics in the urban atmosphere: New insights from field observations</t>
  </si>
  <si>
    <t>Yuan, Z; Pei, CL; Li, HX; Lin, L; Hou, R; Liu, S; Zhang, K; Cai, MG; Xu, XR</t>
  </si>
  <si>
    <t>JOURNAL OF FOOD ENGINEERING</t>
  </si>
  <si>
    <t>Effects of packaging parameters on the inactivation of Salmonella contaminating mixed vegetables in plastic packages using atmospheric dielectric barrier discharge cold plasma treatment</t>
  </si>
  <si>
    <t>Kim, SY; Bang, IH; Min, SC</t>
  </si>
  <si>
    <t>TI247</t>
  </si>
  <si>
    <t>Comparative study on air gasification of plastic waste and conventional biomass based on coupling of AHP/TOPSIS multi-criteria decision analysis</t>
  </si>
  <si>
    <t>Mojaver, M; Hasanzadeh, R; Azdast, T; Park, CB</t>
  </si>
  <si>
    <t>TI246</t>
  </si>
  <si>
    <t>Occurrence of plastic additives in outdoor air particulate matters from two industrial parks of Tarragona, Spain: Human inhalation intake risk assessment</t>
  </si>
  <si>
    <t>Maceira, A; Borrull, F; Marcé, RM</t>
  </si>
  <si>
    <t>TI245</t>
  </si>
  <si>
    <t>JOURNAL OF MECHANICAL SCIENCE AND TECHNOLOGY</t>
  </si>
  <si>
    <t>Evaluation of optimal water flow and temperature in response to outdoor air temperature in plastic greenhouse with recirculated water curtain system</t>
  </si>
  <si>
    <t>Kim, HK; Kim, YS; Jeon, JG; Paek, Y; Lee, JH; Khoshimkhujaev, B; Kim, YC</t>
  </si>
  <si>
    <t>TI244</t>
  </si>
  <si>
    <t>Numerical study on the mechanism of air leakage in drainage boreholes: A fully coupled gas-air flow model considering elastic-plastic deformation of coal and its validation</t>
  </si>
  <si>
    <t>Wang, K; Wang, L; Ju, Y; Dong, HZ; Zhao, W; Du, CG; Guo, YY; Lou, Z; Gao, H</t>
  </si>
  <si>
    <t>TI243</t>
  </si>
  <si>
    <t>Occurrence, health risks and soil-air exchange of phthalate acid esters: A case study in plastic film greenhouses of Chongqing, China</t>
  </si>
  <si>
    <t>Li, YT; Wang, J; Yang, S; Zhang, S</t>
  </si>
  <si>
    <t>TI242</t>
  </si>
  <si>
    <t>Concentrations of Airborne Microplastics during the Dry Season at Five Locations in Bangkok Metropolitan Region, Thailand</t>
  </si>
  <si>
    <t>Sarathana, D; Winijkul, E</t>
  </si>
  <si>
    <t>Atmospheric microplastic over the South China Sea and East Indian Ocean: abundance, distribution and source</t>
  </si>
  <si>
    <t>Wang, XH; Li, CJ; Liu, K; Zhu, LX; Song, ZY; Li, DJ</t>
  </si>
  <si>
    <t>Poultry rearing on perforated plastic floors and the effect on air quality, growth performance, and carcass injuries-Experiment 1: Thermal Comfort</t>
  </si>
  <si>
    <t>de Almeida, EA; de Souza, LFA; Sant'Anna, AC; Bahiense, RN; Macari, M; Furlan, RL</t>
  </si>
  <si>
    <t>TI239</t>
  </si>
  <si>
    <t>ANALYST</t>
  </si>
  <si>
    <t>Ion creation, ion focusing, ion/molecule reactions, ion separation, and ion detection in the open air in a small plastic device</t>
  </si>
  <si>
    <t>Baird, Z; Wei, P; Cooks, RG</t>
  </si>
  <si>
    <t>TI238</t>
  </si>
  <si>
    <t>NEWS OF THE NATIONAL ACADEMY OF SCIENCES OF THE REPUBLIC OF KAZAKHSTAN-SERIES CHEMISTRY AND TECHNOLOGY</t>
  </si>
  <si>
    <t>STUDY OF THE EFFECT OF AIR CONSUMPTION, LIQUID LAYER HEIGHT AND TEMPERATURE ON THE PROCESS OF FLOTATION SEPARATION OF GROUND PLASTICS</t>
  </si>
  <si>
    <t>Leudanski, A; Apimakh, Y; Volnenko, A; Zhumadullayev, D</t>
  </si>
  <si>
    <t>TI237</t>
  </si>
  <si>
    <t>Evidence and Mass Quantification of Atmospheric Microplastics in a Coastal New Zealand City</t>
  </si>
  <si>
    <t>Fan, WX; Salmond, JA; Dirks, KN; Sanz, PC; Miskelly, GM; Rindelaub, JD</t>
  </si>
  <si>
    <t>ECOTOXICOLOGY AND ENVIRONMENTAL SAFETY</t>
  </si>
  <si>
    <t>Distribution and possible sources of atmospheric microplastic deposition in a valley basin city (Lanzhou, China)</t>
  </si>
  <si>
    <t>Liu, Z; Bai, Y; Ma, TT; Liu, XY; Wei, HJ; Meng, HX; Fu, YB; Ma, ZL; Zhang, L; Zhao, JT</t>
  </si>
  <si>
    <t>ENERGY TECHNOLOGY</t>
  </si>
  <si>
    <t>Effect of Preparation Solvent and Calcination Atmosphere on Ni@SiO2 Catalyst for Simultaneous Production of Hydrogen and Carbon Nanotubes from Simulated Plastic Waste Syngas</t>
  </si>
  <si>
    <t>Li, WJ; Kuo, JH; Yang, RX; Wey, MY</t>
  </si>
  <si>
    <t>TI234</t>
  </si>
  <si>
    <t>An early comparison of nano to microplastic mass in a remote catchment's atmospheric deposition</t>
  </si>
  <si>
    <t>Allen, S; Materic, D; Allen, D; MacDonald, A; Holzinger, R; Le Roux, G; Phoenix, VR</t>
  </si>
  <si>
    <t>Air conditioner filters become sinks and sources of indoor microplastics fibers</t>
  </si>
  <si>
    <t>Chen, YX; Li, XY; Zhang, XT; Zhang, YL; Gao, W; Wang, RB; He, DF</t>
  </si>
  <si>
    <t>TI232</t>
  </si>
  <si>
    <t>Modelling the Potential Long-Range Dispersion of Atmospheric Microplastics Reaching a Remote Site</t>
  </si>
  <si>
    <t>Martina, M; Castelli, ST</t>
  </si>
  <si>
    <t>TI231</t>
  </si>
  <si>
    <t>Challenges of using leaves as a biomonitoring system to assess airborne microplastic deposition on urban tree canopies</t>
  </si>
  <si>
    <t>Leonard, J; Borthakur, A; Koutnik, VS; Brar, J; Glasman, J; Cowger, W; Dittrich, TM; Mohanty, SK</t>
  </si>
  <si>
    <t>TI230</t>
  </si>
  <si>
    <t>JOURNAL OF WATER PROCESS ENGINEERING</t>
  </si>
  <si>
    <t>A high-efficiency mini-hydrocyclone for microplastic separation from water via air flotation</t>
  </si>
  <si>
    <t>Yuan, FY; Li, XY; Yu, W; Du, JY; Wang, DX; Yang, XJ; Zhou, CH; Wang, J; Yuan, HX</t>
  </si>
  <si>
    <t>TI229</t>
  </si>
  <si>
    <t>ENVIRONMENTAL SCIENCE &amp; TECHNOLOGY LETTERS</t>
  </si>
  <si>
    <t>Individual Exposure to Microplastics through the Inhalation Route: Comparison of Microplastics in Inhaled Indoor Aerosol and Exhaled Breath Air</t>
  </si>
  <si>
    <t>Geng, Y; Zhang, ZC; Zhou, W; Shao, XH; Li, ZF; Zhou, Y</t>
  </si>
  <si>
    <t>TI228</t>
  </si>
  <si>
    <t>Polyethylene scaffold net and synthetic grass fragmentation: a source of microplastics in the atmosphere?</t>
  </si>
  <si>
    <t>Mehmood, T; Peng, LC</t>
  </si>
  <si>
    <t>TI227</t>
  </si>
  <si>
    <t>ENVIRONMENTAL MONITORING AND ASSESSMENT</t>
  </si>
  <si>
    <t>How can contamination be prevented during laboratory analysis of atmospheric samples for microplastics?</t>
  </si>
  <si>
    <t>Bhat, MA; Gaga, EO; Gedik, K</t>
  </si>
  <si>
    <t>TI226</t>
  </si>
  <si>
    <t>ENVIRONMENTAL POLLUTANTS AND BIOAVAILABILITY</t>
  </si>
  <si>
    <t>Microplastic emissions via air and compost from an industrial composting facility in England</t>
  </si>
  <si>
    <t>Zapata, R; Douglas, P; Chan, KLA; Barratt, B; Wright, SL</t>
  </si>
  <si>
    <t>TI225</t>
  </si>
  <si>
    <t>Long-range transport of atmospheric microplastics deposited onto glacier in southeast Tibetan Plateau</t>
  </si>
  <si>
    <t>Wang, ZQ; Zhang, YL; Kang, SC; Yang, L; Luo, X; Chen, PF; Guo, JM; Hu, ZF; Yang, CD; Yang, ZZ; Gao, TG</t>
  </si>
  <si>
    <t>TI224</t>
  </si>
  <si>
    <t>First quantification and chemical characterization of atmospheric microplastics observed in Seoul, South Korea</t>
  </si>
  <si>
    <t>Chang, DY; Jeong, S; Shin, J; Park, J; Park, CR; Choi, S; Chun, CH; Chae, MY; Lim, BC</t>
  </si>
  <si>
    <t>ENVIRONMENTAL SCIENCE &amp; POLICY</t>
  </si>
  <si>
    <t>Implementation of a structured decision-making framework to evaluate and advance understanding of airborne microplastics</t>
  </si>
  <si>
    <t>Tiernan, H; Friedman, S; Clube, RKM; Burgman, MA; Castillo, AC; Stettler, MEJ; Kazarian, SG; Wright, S; De Nazelle, A</t>
  </si>
  <si>
    <t>TI222</t>
  </si>
  <si>
    <t>Combined effect of plastic litter and increased atmospheric nitrogen deposition on vegetative propagules of dune plants: A further threat to coastal ecosystems</t>
  </si>
  <si>
    <t>Menicagli, V; Balestri, E; Vallerini, F; Castelli, A; Lardicci, C</t>
  </si>
  <si>
    <t>TI221</t>
  </si>
  <si>
    <t>JOURNAL OF ENERGY STORAGE</t>
  </si>
  <si>
    <t>Techno-economic assessment and design optimization of compressed air energy storage using filament wound carbon fiber reinforced plastic pressure vessels</t>
  </si>
  <si>
    <t>Nikravesh, Y; Muralidharan, K; Frantziskonis, G</t>
  </si>
  <si>
    <t>TI220</t>
  </si>
  <si>
    <t>SENSORS</t>
  </si>
  <si>
    <t>Air-Coupled Excitation of a Slow A0 Mode Wave in Thin Plastic Films by an Ultrasonic PMN-32%PT Array</t>
  </si>
  <si>
    <t>Kazys, RJ; Mazeika, L; Sliteris, R; Sestoke, J</t>
  </si>
  <si>
    <t>TI219</t>
  </si>
  <si>
    <t>ENVIRONMENTAL CHEMISTRY LETTERS</t>
  </si>
  <si>
    <t>Airborne hydrophilic microplastics in cloud water at high altitudes and their role in cloud formation</t>
  </si>
  <si>
    <t>Wang, YZ; Okochi, H; Tani, Y; Hayami, H; Minami, Y; Katsumi, N; Takeuchi, M; Sorimachi, A; Fujii, Y; Kajino, M; Adachi, K; Ishihara, Y; Iwamoto, Y; Niida, Y</t>
  </si>
  <si>
    <t>TI218</t>
  </si>
  <si>
    <t>ROBOTICS AND COMPUTER-INTEGRATED MANUFACTURING</t>
  </si>
  <si>
    <t>A method to predict early-ejected plastic part air-cooling behavior towards quality mold design and less molding cycle time</t>
  </si>
  <si>
    <t>Fu, JY; Ma, YS</t>
  </si>
  <si>
    <t>TI217</t>
  </si>
  <si>
    <t>Direct analysis of airborne microplastics collected on quartz filters by pyrolysis-gas chromatography/mass spectrometry</t>
  </si>
  <si>
    <t>Mizuguchi, H; Takeda, H; Kinoshita, K; Takeuchi, M; Takayanagi, T; Teramae, N; Pipkin, W; Matsui, K; Watanabe, A; Watanabe, C</t>
  </si>
  <si>
    <t>TI216</t>
  </si>
  <si>
    <t>INTERNATIONAL JOURNAL OF ADHESION AND ADHESIVES</t>
  </si>
  <si>
    <t>Surface modification and improved adhesion of wood-plastic composites (WPCs) made with different polymers by treatment with atmospheric pressure rotating plasma jet</t>
  </si>
  <si>
    <t>Yáñez-Pacios, AJ; Martín-Martínez, JM</t>
  </si>
  <si>
    <t>TI215</t>
  </si>
  <si>
    <t>PLASMA PROCESSES AND POLYMERS</t>
  </si>
  <si>
    <t>Preparation of nano-silver electromagnetic interference shielding functional coating on PC plus ABS plastic via Ar/H2 mixed atmospheric pressure plasma jet</t>
  </si>
  <si>
    <t>Zhang, XM; Ma, XP; Li, MY; Zhang, YW; Fan, JY; Ji, PY; Tan, HY; Huang, TY; Zhuge, LJ; Wu, XM</t>
  </si>
  <si>
    <t>TI214</t>
  </si>
  <si>
    <t>COVID-19 restrictions and their influences on ambient air, surface water and plastic waste in a coastal megacity, Chennai, India</t>
  </si>
  <si>
    <t>Robin, RS; Purvaja, R; Ganguly, D; Hariharan, G; Paneerselvam, A; Sundari, RT; Karthik, R; Neethu, CS; Saravanakumar, C; Semanti, P; Prasad, MHK; Mugilarasan, M; Rohan, S; Arumugam, K; Samuel, VD; Ramesh, R</t>
  </si>
  <si>
    <t>TI213</t>
  </si>
  <si>
    <t>SUSTAINABLE ENERGY TECHNOLOGIES AND ASSESSMENTS</t>
  </si>
  <si>
    <t>Experimental investigation of thermal performance, kinetic triplets, and synergistic effect for bamboo-waste plastic (PP &amp; PE) blends using thermogravimetric analyser in N2 atmosphere</t>
  </si>
  <si>
    <t>Pattanayak, S; Loha, C; Singh, RK; Saha, D</t>
  </si>
  <si>
    <t>Atmospheric microplastic transport and deposition to urban and pristine tropical locations in Southeast Asia</t>
  </si>
  <si>
    <t>Hee, YY; Hanif, NM; Weston, K; Latif, MT; Suratman, S; Rusli, MU; Mayes, AG</t>
  </si>
  <si>
    <t>Atmospheric deposition of microplastics in a rural region of North China Plain</t>
  </si>
  <si>
    <t>Li, JJ; Zhang, JR; Ren, SY; Huang, DQ; Liu, FB; Li, Z; Zhang, HY; Zhao, MY; Cao, YX; Mofolo, S; Liang, JX; Xu, W; Jones, DL; Chadwick, DR; Liu, XJ; Wang, K</t>
  </si>
  <si>
    <t>Investigation of microplastic removal from greywater by coagulation and dissolved air flotation</t>
  </si>
  <si>
    <t>Esfandiari, A; Mowla, D</t>
  </si>
  <si>
    <t>TI209</t>
  </si>
  <si>
    <t>The deposition of atmospheric microplastics in Jakarta-Indonesia: The coastal urban area</t>
  </si>
  <si>
    <t>Purwiyanto, AIS; Prartono, T; Riani, E; Naulita, Y; Cordova, MR; Koropitan, AF</t>
  </si>
  <si>
    <t>TI208</t>
  </si>
  <si>
    <t>1-2</t>
  </si>
  <si>
    <t>Synthetic fibers in atmospheric fallout: A source of microplastics in the environment?</t>
  </si>
  <si>
    <t>Dris, R; Gasperi, J; Saad, M; Mirande, C; Tassin, B</t>
  </si>
  <si>
    <t>TI207</t>
  </si>
  <si>
    <t>POLYMERS</t>
  </si>
  <si>
    <t>Comparative Adhesion, Ageing Resistance, and Surface Properties of Wood Plastic Composite Treated with Low Pressure Plasma and Atmospheric Pressure Plasma Jet</t>
  </si>
  <si>
    <t>TI206</t>
  </si>
  <si>
    <t>Are we ignoring the role of urban forests in intercepting atmospheric microplastics?</t>
  </si>
  <si>
    <t>Huang, XH; Chen, Y; Meng, YC; Liu, GD; Yang, MX</t>
  </si>
  <si>
    <t>Airborne microplastics in indoor and outdoor environments of a coastal city in Eastern China</t>
  </si>
  <si>
    <t>Liao, ZL; Ji, XL; Ma, Y; Lv, BQ; Huang, W; Zhu, X; Fang, MZ; Wang, Q; Wang, XD; Dahlgren, R; Shang, X</t>
  </si>
  <si>
    <t>Simultaneous degradation of microplastics and sludge during wet air oxidation</t>
  </si>
  <si>
    <t>Wang, L; Liu, JY; Li, H</t>
  </si>
  <si>
    <t>TI203</t>
  </si>
  <si>
    <t>EMERGING CONTAMINANTS</t>
  </si>
  <si>
    <t>Is atmospheric pathway a significant contributor to microplastics in the marine environment?</t>
  </si>
  <si>
    <t>Habibi, N; Uddin, S; Behbehani, M; Lee, JY</t>
  </si>
  <si>
    <t>TI202</t>
  </si>
  <si>
    <t>Terrestrial plants as a potential temporary sink of atmospheric microplastics during transport</t>
  </si>
  <si>
    <t>Liu, K; Wang, XH; Song, ZY; Wei, N; Li, DJ</t>
  </si>
  <si>
    <t>TI201</t>
  </si>
  <si>
    <t>Atmospheric deposition of anthropogenic particles and microplastics in south-central Ontario, Canada</t>
  </si>
  <si>
    <t>Welsh, B; Aherne, J; Paterson, AM; Yao, HX; McConnell, C</t>
  </si>
  <si>
    <t>Quantification of the Emission of Atmospheric Microplastics and Nanoplastics via Sea Spray</t>
  </si>
  <si>
    <t>Harb, C; Pokhrel, N; Foroutan, H</t>
  </si>
  <si>
    <t>TI199</t>
  </si>
  <si>
    <t>PLANTS-BASEL</t>
  </si>
  <si>
    <t>Biomonitoring of Airborne Microplastic Deposition in Semi-Natural and Rural Sites Using the Moss Hypnum cupressiforme</t>
  </si>
  <si>
    <t>Capozzi, F; Sorrentino, MC; Cascone, E; Iuliano, M; De Tommaso, G; Granata, A; Giordano, S; Spagnuolo, V</t>
  </si>
  <si>
    <t>TI198</t>
  </si>
  <si>
    <t>JOURNAL OF GEOPHYSICAL RESEARCH-SOLID EARTH</t>
  </si>
  <si>
    <t>Joint measurement of the atmospheric muon flux through the Puy de Dome volcano with plastic scintillators and Resistive Plate Chambers detectors</t>
  </si>
  <si>
    <t>Ambrosino, F; Anastasio, A; Bross, A; Béné, S; Boivin, P; Bonechi, L; Cârloganu, C; Ciaranfi, R; Cimmino, L; Combaret, C; D'Alessandro, R; Durand, S; Fehr, F; Français, V; Garufi, F; Gailler, L; Labazuy, P; Laktineh, I; Lénat, JF; Masone, V; Miallier, D; Mirabito, L; Morel, L; Mori, N; Niess, V; Noli, P; Pla-Dalmau, A; Portal, A; Rubinov, P; Saracino, G; Scarlini, E; Strolin, P; Vulpescu, B</t>
  </si>
  <si>
    <t>TI197</t>
  </si>
  <si>
    <t>NUCLEAR INSTRUMENTS &amp; METHODS IN PHYSICS RESEARCH SECTION A-ACCELERATORS SPECTROMETERS DETECTORS AND ASSOCIATED EQUIPMENT</t>
  </si>
  <si>
    <t>A method to measure the integral vertical intensity and angular distribution of atmospheric muons with a stationary plastic scintillator bar detector</t>
  </si>
  <si>
    <t>Yáñez, BO; Aguilar-Arevalo, AA</t>
  </si>
  <si>
    <t>TI196</t>
  </si>
  <si>
    <t>JOURNAL OF THE BRAZILIAN SOCIETY OF MECHANICAL SCIENCES AND ENGINEERING</t>
  </si>
  <si>
    <t>Development of plastic passenger air bag (PAB) housing for replacing the steel PAB housing and reducing the automobile weight</t>
  </si>
  <si>
    <t>Han, SR; Park, JI; Cho, JR</t>
  </si>
  <si>
    <t>TI195</t>
  </si>
  <si>
    <t>APPLIED THERMAL ENGINEERING</t>
  </si>
  <si>
    <t>Experimental study of the energy and exergy performance of a plastic mesh evaporative pad used in air conditioning applications</t>
  </si>
  <si>
    <t>Martínez, P; Ruiz, J; Martínez, PJ; Kaiser, AS; Lucas, M</t>
  </si>
  <si>
    <t>TI194</t>
  </si>
  <si>
    <t>Inhalable microplastics prevails in air: Exploring the size detection limit</t>
  </si>
  <si>
    <t>Xie, YC; Li, Y; Feng, Y; Cheng, W; Wang, Y</t>
  </si>
  <si>
    <t>Airborne microplastics in a suburban location in the desert southwest: Occurrence and identification challenges</t>
  </si>
  <si>
    <t>Chandrakanthan, K; Fraser, MP; Herckes, P</t>
  </si>
  <si>
    <t>AGRONOMY-BASEL</t>
  </si>
  <si>
    <t>Economic Evaluation of Biodegradable Plastic Films and Paper Mulches Used in Open-Air Grown Pepper (Capsicum annum L.) Crop</t>
  </si>
  <si>
    <t>Mari, AI; Pardo, G; Cirujeda, A; Martínez, Y</t>
  </si>
  <si>
    <t>TI191</t>
  </si>
  <si>
    <t>JOURNAL OF ENVIRONMENTAL MANAGEMENT</t>
  </si>
  <si>
    <t>Thermal degradation of waste plastics under non-sweeping atmosphere: Part 2: Effect of process temperature on product characteristics and their future applications</t>
  </si>
  <si>
    <t>Singh, RK; Ruj, B; Sadhukhan, AK; Gupta, P</t>
  </si>
  <si>
    <t>TI190</t>
  </si>
  <si>
    <t>Characterising microplastics in indoor air: Insights from Raman imaging analysis of air filter samples</t>
  </si>
  <si>
    <t>Fang, C; Awoyemi, OS; Saianand, G; Xu, L; Niu, JF; Naidu, R</t>
  </si>
  <si>
    <t>TI189</t>
  </si>
  <si>
    <t>Is the impact of atmospheric microplastics on human health underestimated? Uncertainty in risk assessment: A case study of urban atmosphere in Xi'an, Northwest China</t>
  </si>
  <si>
    <t>Liu, Z; Huang, QE; Chen, L; Li, JH; Jia, HZ</t>
  </si>
  <si>
    <t>Man-made natural and regenerated cellulosic fibres greatly outnumber microplastic fibres in the atmosphere*</t>
  </si>
  <si>
    <t>Finnegan, AMD; Süsserott, R; Gabbott, SE; Gouramanis, C</t>
  </si>
  <si>
    <t>TI187</t>
  </si>
  <si>
    <t>Microplastic in atmospheric fallouts of a developing Southeast Asian megacity under tropical climate</t>
  </si>
  <si>
    <t>Truong, TNS; Strady, E; Kieu-Le, TC; Tran, QV; Le, TMT; Thuong, QT</t>
  </si>
  <si>
    <t>Indoor microplastics and bacteria in the atmospheric fallout in urban homes</t>
  </si>
  <si>
    <t>Cui, JW; Chen, C; Gan, Q; Wang, TF; Li, W; Zeng, W; Xu, XW; Chen, G; Wang, L; Lu, ZG; Li, JA; Jin, B</t>
  </si>
  <si>
    <t>TI185</t>
  </si>
  <si>
    <t>THERMAL SCIENCE AND ENGINEERING PROGRESS</t>
  </si>
  <si>
    <t>Numerical modelling of Fanno flows in micro channels: a quasi-static application to air vents for plastic moulding</t>
  </si>
  <si>
    <t>Cavazzuti, M; Corticelli, MA</t>
  </si>
  <si>
    <t>TI184</t>
  </si>
  <si>
    <t>ENVIRONMENTAL SCIENCE-PROCESSES &amp; IMPACTS</t>
  </si>
  <si>
    <t>An emerging mobile air pollution source: outdoor plastic liner manufacturing sites discharge VOCs into urban and rural areas</t>
  </si>
  <si>
    <t>Sendesi, SMT; Noh, Y; Nuruddin, M; Boor, BE; Howarter, JA; Youngblood, JP; Jafvert, CT; Whelton, AJ</t>
  </si>
  <si>
    <t>TI183</t>
  </si>
  <si>
    <t>Prevalent phthalates in air-soil-vegetable systems of plastic greenhouses in a subtropical city and health risk assessments</t>
  </si>
  <si>
    <t>Zeng, LJ; Huang, YH; Chen, XT; Chen, XH; Mo, CH; Feng, YX; Lü, HX; Xiang, L; Li, YW; Li, H; Cai, QY; Wong, MH</t>
  </si>
  <si>
    <t>TI182</t>
  </si>
  <si>
    <t>3-4</t>
  </si>
  <si>
    <t>OXIDATION OF METALS</t>
  </si>
  <si>
    <t>Roles of Mn in the High-Temperature Air Oxidation of 9Cr Ferritic-Martensitic Steel After Severe Plastic Deformation</t>
  </si>
  <si>
    <t>Chen, SH; Rong, LJ</t>
  </si>
  <si>
    <t>TI181</t>
  </si>
  <si>
    <t>Plasma Processes and Polymers</t>
  </si>
  <si>
    <t>Role of Carbon Bridge Length of Organosilicate Precursors on the Atmospheric Plasma Deposition of Transparent Bilayer Protective Coatings on Plastics</t>
  </si>
  <si>
    <t>Dong, SM; Han, JH; Zhao, ZL; Dauskardt, RH</t>
  </si>
  <si>
    <t>TI180</t>
  </si>
  <si>
    <t>ENVIRONMENTAL SCIENCE-ATMOSPHERES</t>
  </si>
  <si>
    <t>A fluorescence approach for an online measurement technique of atmospheric microplastics</t>
  </si>
  <si>
    <t>Gratzl, J; Seifried, TM; Stolzenburg, D; Grothe, H</t>
  </si>
  <si>
    <t>TI179</t>
  </si>
  <si>
    <t>JOURNAL OF THE SCIENCE OF FOOD AND AGRICULTURE</t>
  </si>
  <si>
    <t>Air speed and plastic crate vent-holes for wine grape quality during postharvest dehydration: commercial and laboratory studies</t>
  </si>
  <si>
    <t>Santini, G; Bianchi, A; Pettinelli, S; Modesti, M; Cerreta, R; Bellincontro, A</t>
  </si>
  <si>
    <t>TI178</t>
  </si>
  <si>
    <t>Identification of fibrous suspended atmospheric microplastics in Bandung Metropolitan Area, Indonesia</t>
  </si>
  <si>
    <t>Syafina, PR; Yudison, AP; Sembiring, E; Irsyad, M; Tomo, HS</t>
  </si>
  <si>
    <t>Microplastic appraisal of soil, water, ditch sediment and airborne dust: The case of agricultural systems</t>
  </si>
  <si>
    <t>Lwanga, EH; van Roshum, I; Munhoz, DR; Meng, K; Rezaei, M; Goossens, D; Bijsterbosch, J; Alexandre, N; Oosterwijk, J; Krol, M; Peters, P; Geissen, V; Ritsema, C</t>
  </si>
  <si>
    <t>TI176</t>
  </si>
  <si>
    <t>MATERIALS SCIENCE &amp; ENGINEERING C-MATERIALS FOR BIOLOGICAL APPLICATIONS</t>
  </si>
  <si>
    <t>UV/ozone surface modification combined with atmospheric pressure plasma irradiation for cell culture plastics to improve pluripotent stem cell culture</t>
  </si>
  <si>
    <t>Suzuki, H; Kasai, K; Kimura, Y; Miyata, S</t>
  </si>
  <si>
    <t>TI175</t>
  </si>
  <si>
    <t>EUROPEAN JOURNAL OF ANAESTHESIOLOGY</t>
  </si>
  <si>
    <t>Preventing hypothermia in outpatient plastic surgery by self-warming or forced-air-warming blanket A randomised controlled trial</t>
  </si>
  <si>
    <t>Tyvold, SS</t>
  </si>
  <si>
    <t>TI174</t>
  </si>
  <si>
    <t>Atmospheric transport is a major pathway of microplastics to remote regions</t>
  </si>
  <si>
    <t>Evangeliou, N; Grythe, H; Klimont, Z; Heyes, C; Eckhardt, S; Lopez-Aparicio, S; Stohl, A</t>
  </si>
  <si>
    <t>TI173</t>
  </si>
  <si>
    <t>+</t>
  </si>
  <si>
    <t>NATURE GEOSCIENCE</t>
  </si>
  <si>
    <t>Atmospheric transport and deposition of microplastics in a remote mountain catchment</t>
  </si>
  <si>
    <t>Allen, S; Allen, D; Phoenix, VR; Le Roux, G; Jiménez, PD; Simonneau, A; Binet, S; Galop, D</t>
  </si>
  <si>
    <t>Potential impacts of atmospheric microplastics and nanoplastics on cloud formation processes</t>
  </si>
  <si>
    <t>Aeschlimann, M; Li, GY; Kanji, ZA; Mitrano, DM</t>
  </si>
  <si>
    <t>TI171</t>
  </si>
  <si>
    <t>Source and potential risk assessment of suspended atmospheric microplastics in Shanghai</t>
  </si>
  <si>
    <t>Liu, K; Wang, XH; Fang, T; Xu, P; Zhu, LX; Li, DJ</t>
  </si>
  <si>
    <t>Comparison of Deposition Sampling Methods to Collect Airborne Microplastics in Christchurch, New Zealand</t>
  </si>
  <si>
    <t>Knobloch, E; Ruffell, H; Aves, A; Pantos, O; Gaw, S; Revell, LE</t>
  </si>
  <si>
    <t>TI169</t>
  </si>
  <si>
    <t>Quantification and characterization of airborne microplastics in the coastal area of Terengganu, Malaysia</t>
  </si>
  <si>
    <t>Chenappan, NK; Ibrahim, YS; Anuar, ST; Yusof, KMKK; Jaafar, M; Ahamad, F; Sulaiman, WZW; Mohamad, N</t>
  </si>
  <si>
    <t>Atmospheric microplastics in the Northwestern Pacific Ocean: Distribution, source, and deposition</t>
  </si>
  <si>
    <t>Ding, JF; Sun, CJ; He, CF; Zheng, L; Dai, DJ; Li, FM</t>
  </si>
  <si>
    <t>Microplastics in the urban atmosphere: Sources, occurrences, distribution, and potential health implications</t>
  </si>
  <si>
    <t>Jahandari, A</t>
  </si>
  <si>
    <t>TI166</t>
  </si>
  <si>
    <t>Airborne polystyrene microplastics and nanoplastics induce nasal and lung microbial dysbiosis in mice</t>
  </si>
  <si>
    <t>Zha, H; Xia, JF; Li, SJ; Lv, JW; Zhuge, AX; Tang, RQ; Wang, ST; Wang, KC; Chang, KV; Li, LJ</t>
  </si>
  <si>
    <t>TI165</t>
  </si>
  <si>
    <t>A Flow-through Passive Sampler for Microplastics in Air</t>
  </si>
  <si>
    <t>Dong, HK; Wang, XP; Xu, L; Ding, JN; Wania, F</t>
  </si>
  <si>
    <t>TI164</t>
  </si>
  <si>
    <t>Atmospheric transport and deposition of microplastics in a subtropical urban environment</t>
  </si>
  <si>
    <t>Huang, YM; He, T; Yan, MT; Yang, L; Gong, H; Wang, WJ; Qing, X; Wang, J</t>
  </si>
  <si>
    <t>A reliable method to determine airborne microplastics using quantum cascade laser infrared spectrometry</t>
  </si>
  <si>
    <t>López-Rosales, A; Ferreiro, B; Andrade, J; Fernández-Amado, M; González-Pleiter, M; López-Mahía, P; Rosal, R; Muniategui-Lorenzo, S</t>
  </si>
  <si>
    <t>Chemical characterization of microplastic particles formed in airborne waste discharged from sewer pipe repairs</t>
  </si>
  <si>
    <t>Peterson, BN; Morales, AC; Tomlin, JM; Gorman, CGW; Christ, PE; Sharpe, SAL; Huston, SM; Rivera-Adorno, FA; O'Callahan, BT; Fraund, M; Noh, Y; Pahari, P; Whelton, AJ; El-Khoury, PZ; Moffet, RC; Zelenyuk, A; Laskin, A</t>
  </si>
  <si>
    <t>TI161</t>
  </si>
  <si>
    <t>Microplastic abundance in atmospheric deposition within the Metropolitan area of Hamburg, Germany</t>
  </si>
  <si>
    <t>Klein, M; Fischer, EK</t>
  </si>
  <si>
    <t>Atmospheric microplastic deposition in an urban environment and an evaluation of transport</t>
  </si>
  <si>
    <t>Wright, SL; Ulke, J; Font, A; Chan, KLA; Kelly, FJ</t>
  </si>
  <si>
    <t>Atmospheric microplastic fallout in outdoor and indoor environments in Sao Paulo megacity</t>
  </si>
  <si>
    <t>Amato-Lourenço, LF; Galvao, LD; Wiebeck, H; Carvalho-Oliveira, R; Mauad, T</t>
  </si>
  <si>
    <t>ACS OMEGA</t>
  </si>
  <si>
    <t>TiO2 Coatings Via Atmospheric-Pressure Plasma-Enhanced Chemical Vapor Deposition for Enhancing the UV-Resistant Properties of Transparent Plastics</t>
  </si>
  <si>
    <t>Xu, J; Nagasawa, H; Kanezashi, M; Tsuru, T</t>
  </si>
  <si>
    <t>TI157</t>
  </si>
  <si>
    <t>ISPRS INTERNATIONAL JOURNAL OF GEO-INFORMATION</t>
  </si>
  <si>
    <t>Effects of Atmospheric Correction and Image Enhancement on Effective Plastic Greenhouse Segments Based on a Semi-Automatic Extraction Method</t>
  </si>
  <si>
    <t>Yao, Y; Wang, SX</t>
  </si>
  <si>
    <t>TI156</t>
  </si>
  <si>
    <t>RECYCLING</t>
  </si>
  <si>
    <t>Improving the Separation of PS and ABS Plastics Using Modified Induced Air Flotation with A Mixing Device</t>
  </si>
  <si>
    <t>Fagkaew, P; Chawaloesphonsiya, N; Bun, S; Painmanakul, P</t>
  </si>
  <si>
    <t>TI155</t>
  </si>
  <si>
    <t>Microplastics in atmospheric dust samples of Sistan: sources and distribution</t>
  </si>
  <si>
    <t>Shahraki, M; Kahkha, MRR; Piri, J; Sharafi, A; Kaykhaii, M</t>
  </si>
  <si>
    <t>TI154</t>
  </si>
  <si>
    <t>https://pubmed.ncbi.nlm.nih.gov/28655940/</t>
  </si>
  <si>
    <t>ACTA MEDICA OKAYAMA</t>
  </si>
  <si>
    <t>Evaluating the Effects of Air Pollution from a Plastic Recycling Facility on the Health of Nearby Residents</t>
  </si>
  <si>
    <t>Zhao, X; Tsuda, T; Doi, H</t>
  </si>
  <si>
    <t>TI153</t>
  </si>
  <si>
    <t>Phototransformation of Plastic Containing Brominated Flame Retardants: Enhanced Fragmentation and Release of Photoproducts to Water and Air</t>
  </si>
  <si>
    <t>Khaled, A; Rivaton, A; Richard, C; Jaber, F; Sleiman, M</t>
  </si>
  <si>
    <t>TI152</t>
  </si>
  <si>
    <t>Upgrading of plastic waste-derived wax through air gasification using promoted Ni/Al2O3 catalysts for H2 generation</t>
  </si>
  <si>
    <t>Khani, Y; Valizadeh, S; Yim, H; Chen, WH; Ko, CH; Lee, SH; Jung, SC; Park, YK</t>
  </si>
  <si>
    <t>TI151</t>
  </si>
  <si>
    <t>PACKAGING TECHNOLOGY AND SCIENCE</t>
  </si>
  <si>
    <t>Prediction of plastic film thickness based on gas permeability and validation with Kyoho' table grapes for optimal modified atmosphere packaging</t>
  </si>
  <si>
    <t>Chen, SJ; Wang, HO; Fu, QQ; Wang, RR; Zhang, W; Cai, XN</t>
  </si>
  <si>
    <t>TI150</t>
  </si>
  <si>
    <t>https://www.dl.begellhouse.com/journals/46784ef93dddff27,53789a1245d8aaae,4ea7823337e15e82.html</t>
  </si>
  <si>
    <t>HEAT TRANSFER RESEARCH</t>
  </si>
  <si>
    <t>NUMERICAL AND EXPERIMENTAL ANALYSIS OF LONGITUDINAL TUBULAR SOLAR AIR HEATERS MADE FROM PLASTIC AND METAL WASTE MATERIALS</t>
  </si>
  <si>
    <t>Khanlari, A; Sözen, A; Tuncer, AD; Afshari, F; Gürbüz, EY; Bilge, YC</t>
  </si>
  <si>
    <t>TI149</t>
  </si>
  <si>
    <t>CHEMICAL ENGINEERING RESEARCH &amp; DESIGN</t>
  </si>
  <si>
    <t>Simultaneous monitoring of flow patterns, and bubble, and plastics micro-particle characteristics in Dissolved Air Flotation (DAF)</t>
  </si>
  <si>
    <t>Swart, B; Chew, YMJ; Wenk, J</t>
  </si>
  <si>
    <t>TI148</t>
  </si>
  <si>
    <t>Airborne microplastics in urban, rural and wildland environments on the Tibetan Plateau</t>
  </si>
  <si>
    <t>Luo, DH; Wang, ZF; Liao, ZL; Chen, G; Ji, XL; Sang, YF; Qu, LY; Chen, Z; Wang, ZG; Dahlgren, RA; Zhang, MH; Shang, X</t>
  </si>
  <si>
    <t>Long-range atmospheric transport of microplastics across the southern hemisphere</t>
  </si>
  <si>
    <t>Chen, QQ; Shi, GT; Revell, LE; Zhang, J; Zuo, CC; Wang, DH; Le Ru, EC; Wu, GM; Mitrano, DM</t>
  </si>
  <si>
    <t>Simulating human exposure to indoor airborne microplastics using a Breathing Thermal Manikin</t>
  </si>
  <si>
    <t>Vianello, A; Jensen, RL; Liu, L; Vollertsen, J</t>
  </si>
  <si>
    <t>TI145</t>
  </si>
  <si>
    <t>Emission of airborne microplastics from municipal solid waste transfer stations in downtown</t>
  </si>
  <si>
    <t>Hu, TY; He, PJ; Yang, Z; Wang, W; Zhang, H; Shao, LM; Lü, F</t>
  </si>
  <si>
    <t>e0232746</t>
  </si>
  <si>
    <t>PLOS ONE</t>
  </si>
  <si>
    <t>Examination of the ocean as a source for atmospheric microplastics</t>
  </si>
  <si>
    <t>Allen, S; Allen, D; Moss, K; Le Roux, G; Phoenix, VR; Sonke, JE</t>
  </si>
  <si>
    <t>TI143</t>
  </si>
  <si>
    <t>Accumulation of airborne microplastics in lichens from a landfill dumping site (Italy)</t>
  </si>
  <si>
    <t>Loppi, S; Roblin, B; Paoli, L; Aherne, J</t>
  </si>
  <si>
    <t>TI142</t>
  </si>
  <si>
    <t>Quantification and identification of airborne small microplastics (&lt;100 μm) and other microlitter components in atmospheric aerosol via a novel elutriation and oleo-extraction method</t>
  </si>
  <si>
    <t>Rosso, B; Corami, F; Barbante, C; Gambaro, A</t>
  </si>
  <si>
    <t>TI141</t>
  </si>
  <si>
    <t>Efficient Atmospheric Transport of Microplastics over Asia and Adjacent Oceans</t>
  </si>
  <si>
    <t>Long, X; Fu, TM; Yang, X; Tang, YY; Zheng, Y; Zhu, L; Shen, HZ; Ye, JH; Wang, C; Wang, T; Li, BJ</t>
  </si>
  <si>
    <t>TI140</t>
  </si>
  <si>
    <t>WATER RESEARCH</t>
  </si>
  <si>
    <t>Mitigating airborne microplastics pollution from perspectives of precipitation and underlying surface types</t>
  </si>
  <si>
    <t>Huang, XH; Chen, Y; Meng, YC; Liu, GD</t>
  </si>
  <si>
    <t>BIOSCIENCE</t>
  </si>
  <si>
    <t>Silent Scourge: Microplastics in Water, Food, and Air</t>
  </si>
  <si>
    <t>Dybas, CL</t>
  </si>
  <si>
    <t>TI138</t>
  </si>
  <si>
    <t>Mangrove plants are promising bioindicator of coastal atmospheric microplastics pollution</t>
  </si>
  <si>
    <t>Huang, YY; Zhu, ZY; Li, TM; Li, MQ; Cai, ZM; Wang, XC; Gong, H; Yan, MT</t>
  </si>
  <si>
    <t>TI137</t>
  </si>
  <si>
    <t>Degradation of microplastics during wet air oxidation treatment</t>
  </si>
  <si>
    <t>Wang, L; Li, H; Cai, JB</t>
  </si>
  <si>
    <t>TI136</t>
  </si>
  <si>
    <t>BIOLOGY-BASEL</t>
  </si>
  <si>
    <t>Moss Bags as Biomonitors of Atmospheric Microplastic Deposition in Urban Environments</t>
  </si>
  <si>
    <t>Bertrim, C; Aherne, J</t>
  </si>
  <si>
    <t>TI135</t>
  </si>
  <si>
    <t>Freshwater and airborne textile fibre populations are dominated by 'natural', not microplastic, fibres</t>
  </si>
  <si>
    <t>Stanton, T; Johnson, M; Nathanail, P; MacNaughtan, W; Gomes, RL</t>
  </si>
  <si>
    <t>TI134</t>
  </si>
  <si>
    <t>ACS ENVIRONMENTAL AU</t>
  </si>
  <si>
    <t>Plastic Burning Impacts on Atmospheric Fine Particulate Matter at Urban and Rural Sites in the USA and Bangladesh</t>
  </si>
  <si>
    <t>Islam, MR; Welker, J; Salam, A; Stone, EA</t>
  </si>
  <si>
    <t>TI133</t>
  </si>
  <si>
    <t>GC-FTICR mass spectrometry with dopant assisted atmospheric pressure photoionization: application to the characterization of plastic pyrolysis oil</t>
  </si>
  <si>
    <t>Mase, C; Maillard, JF; Piparo, M; Friederici, L; Rüger, CP; Marceau, S; Paupy, B; Hubert-Roux, M; Afonso, C; Giusti, P</t>
  </si>
  <si>
    <t>TI132</t>
  </si>
  <si>
    <t>ENERGIES</t>
  </si>
  <si>
    <t>Pyrolysis Oils from Used Tires and Plastic Waste: A Comparison of a Co-Processing with Atmospheric Gas Oil</t>
  </si>
  <si>
    <t>Psenicka, M; Roudová, A; Vráblík, A; Cerny, R</t>
  </si>
  <si>
    <t>TI131</t>
  </si>
  <si>
    <t>Thermal degradation of waste plastics under non-sweeping atmosphere: Part 1: Effect of temperature, product optimization, and degradation mechanism</t>
  </si>
  <si>
    <t>TI130</t>
  </si>
  <si>
    <t>ENERGY &amp; FUELS</t>
  </si>
  <si>
    <t>Thermal Cracking of Virgin and Waste Plastics of PP and LDPE in a Semibatch Reactor under Atmospheric Pressure</t>
  </si>
  <si>
    <t>Yan, GX; Jing, XD; Wen, H; Xiang, SG</t>
  </si>
  <si>
    <t>TI129</t>
  </si>
  <si>
    <t>BIOSYSTEMS ENGINEERING</t>
  </si>
  <si>
    <t>Investigating air leakage and wind pressure coefficients of single-span plastic greenhouses using computational fluid dynamics</t>
  </si>
  <si>
    <t>Kuroyanagi, T</t>
  </si>
  <si>
    <t>TI128</t>
  </si>
  <si>
    <t>JOURNAL OF PHYSICAL CHEMISTRY C</t>
  </si>
  <si>
    <t>Phase Retransformation and Void Evolution of Previously Heated HMX-Based Plastic-Bonded Explosive in Wet Air</t>
  </si>
  <si>
    <t>Yan, GY; Fan, ZJ; Huang, SL; Liu, JH; Wang, YL; Tian, Q; Bai, LF; Gong, J; Sun, GA; Wang, XL</t>
  </si>
  <si>
    <t>TI127</t>
  </si>
  <si>
    <t>INTERNATIONAL JOURNAL OF MECHANICAL SCIENCES</t>
  </si>
  <si>
    <t>On momentum transfer and external work done to clamped elasto-plastic beams in an air blast</t>
  </si>
  <si>
    <t>Yuan, Y; Tan, PJ; Shojaei, KA; Wrobel, P</t>
  </si>
  <si>
    <t>TI126</t>
  </si>
  <si>
    <t>Regulatory Significance of Plastic Manufacturing Air Pollution Discharged into Terrestrial Environments and Real-Time Sensing Challenges</t>
  </si>
  <si>
    <t>Noh, Y; Xia, L; Zyaykina, NN; Boor, BE; Shannahan, JH; Whelton, AJ</t>
  </si>
  <si>
    <t>TI125</t>
  </si>
  <si>
    <t>Unveiling the suspended atmospheric microplastic pollution in a coastal urban landscape</t>
  </si>
  <si>
    <t>Du, RP; Lin, HT; Sun, JC; Zhang, JR; Luo, JJ; Huang, XJ; Pan, Z</t>
  </si>
  <si>
    <t>Phthalate pollution andmigration in soil-air-vegetable systems in typical plastic agricultural greenhouses in northwestern China</t>
  </si>
  <si>
    <t>Wang, XK; Zhang, YX; Huang, BA; Chen, ZK; Zhong, M; Lu, QQ; Fan, YN; Liu, XF; Ji, QS</t>
  </si>
  <si>
    <t>TI123</t>
  </si>
  <si>
    <t>INTERNATIONAL JOURNAL OF PRECISION ENGINEERING AND MANUFACTURING-GREEN TECHNOLOGY</t>
  </si>
  <si>
    <t>Development of Coating Removing from GFRP Surface by Abrasive Air Jet Using Amino Thermoset Plastic Abrasive</t>
  </si>
  <si>
    <t>Zhu, YS; Sun, D; Lu, WZ; Ko, TJ</t>
  </si>
  <si>
    <t>TI122</t>
  </si>
  <si>
    <t>Long-distance atmospheric transport of microplastic fibres influenced by their shapes</t>
  </si>
  <si>
    <t>Xiao, SL; Cui, YF; Brahney, J; Mahowald, NM; Li, Q</t>
  </si>
  <si>
    <t>TI121</t>
  </si>
  <si>
    <t>Atmospheric microplastic and nanoplastic: The toxicological paradigm on the cellular system</t>
  </si>
  <si>
    <t>Choudhury, A; Simnani, FZ; Singh, D; Patel, P; Sinha, A; Nandi, A; Ghosh, A; Saha, U; Kumari, K; Jaganathan, SK; Kaushik, NK; Panda, PK; Suar, M; Verma, SK</t>
  </si>
  <si>
    <t>TI120</t>
  </si>
  <si>
    <t>ACS SUSTAINABLE CHEMISTRY &amp; ENGINEERING</t>
  </si>
  <si>
    <t>Characteristics of Air Gasification of 10 Different Types of Plastic in a Two-Stage Gasification Process</t>
  </si>
  <si>
    <t>Jeong, YS; Kim, JW; Ra, HW; Seo, MW; Mun, TY; Kim, JS</t>
  </si>
  <si>
    <t>TI119</t>
  </si>
  <si>
    <t>FUDAN JOURNAL OF THE HUMANITIES AND SOCIAL SCIENCES</t>
  </si>
  <si>
    <t>'All Solid Things Vanish Into Thin Air.' The Space in Modern and Late Modern Plastic Art</t>
  </si>
  <si>
    <t>Carcel, JAR; Pasín, AEC</t>
  </si>
  <si>
    <t>TI118</t>
  </si>
  <si>
    <t>Atmospheric microplastics and nanoplastics as vectors of primary air pollutants- A theoretical study on the polyethylene terephthalate (PET) case</t>
  </si>
  <si>
    <t>Ortega, DE; Cortés-Arriagada, D</t>
  </si>
  <si>
    <t>TI117</t>
  </si>
  <si>
    <t>e22210399</t>
  </si>
  <si>
    <t>BRAZILIAN ARCHIVES OF BIOLOGY AND TECHNOLOGY</t>
  </si>
  <si>
    <t>How to Control the Airborne Contamination in Laboratory Analyses of Microplastics?</t>
  </si>
  <si>
    <t>Paiva, BO; de Souza, AKM; Soares, PL; Palma, ART; Vendel, AL</t>
  </si>
  <si>
    <t>TI116</t>
  </si>
  <si>
    <t>AEROSOL AND AIR QUALITY RESEARCH</t>
  </si>
  <si>
    <t>Airborne Microplastics from Waste as a Transmission Vector for COVID-19</t>
  </si>
  <si>
    <t>Liu, QY; Schauer, J</t>
  </si>
  <si>
    <t>TI115</t>
  </si>
  <si>
    <t>Robinia pseudoacacia L. (Black Locust) Leaflets as Biomonitors of Airborne Microplastics</t>
  </si>
  <si>
    <t>Jafarova, M; Grifoni, L; Renzi, M; Bentivoglio, T; Anselmi, S; Winkler, A; Di Lella, LA; Spagnuolo, L; Aherne, J; Loppi, S</t>
  </si>
  <si>
    <t>TI114</t>
  </si>
  <si>
    <t>s11356-023-29897-5</t>
  </si>
  <si>
    <t>Characterization of microplastics in the atmosphere of megacity Tehran (Iran)</t>
  </si>
  <si>
    <t>Dehhaghi, S; Pardakhti, A</t>
  </si>
  <si>
    <t>Airborne microplastics detected in the lungs of wild birds in Japan</t>
  </si>
  <si>
    <t>Tokunaga, Y; Okochi, H; Tani, Y; Niida, Y; Tachibana, T; Saigawa, K; Katayama, K; Moriguchi, S; Kato, T; Hayama, S</t>
  </si>
  <si>
    <t>TI112</t>
  </si>
  <si>
    <t>Entrainment and horizontal atmospheric transport of microplastics from soil</t>
  </si>
  <si>
    <t>Abbasi, S; Rezaei, M; Mina, M; Sameni, A; Oleszczuk, P; Turner, A; Ritsema, C</t>
  </si>
  <si>
    <t>Microplastics washout from the atmosphere during a monsoon rain event</t>
  </si>
  <si>
    <t>Abbasi, S</t>
  </si>
  <si>
    <t>TI110</t>
  </si>
  <si>
    <t>Consistent Transport of Terrestrial Microplastics to the Ocean through Atmosphere</t>
  </si>
  <si>
    <t>Liu, K; Wu, TN; Wang, XH; Song, ZY; Zong, CX; Wei, NA; Li, DJ</t>
  </si>
  <si>
    <t>Occurrence and characteristics of atmospheric microplastics in Mexico City</t>
  </si>
  <si>
    <t>Shruti, VC; Kutralam-Muniasamy, G; Pérez-Guevara, F; Roy, PD; Martínez, IE</t>
  </si>
  <si>
    <t>EUROPEAN JOURNAL OF AGRONOMY</t>
  </si>
  <si>
    <t>Response of plastic film mulched maize to soil and atmospheric water stresses in an arid irrigation area</t>
  </si>
  <si>
    <t>Li, C; Wang, JG; Zhang, YX; Feng, H; Zhang, WX; Siddique, KHM</t>
  </si>
  <si>
    <t>TI107</t>
  </si>
  <si>
    <t>FRONTIERS OF AGRICULTURAL SCIENCE AND ENGINEERING</t>
  </si>
  <si>
    <t>Modeling water and heat transfer in soil-plant-atmosphere continuum applied to maize growth under plastic film mulching</t>
  </si>
  <si>
    <t>Duan, M; Xie, J; Mao, XM</t>
  </si>
  <si>
    <t>TI106</t>
  </si>
  <si>
    <t>LAND DEGRADATION &amp; DEVELOPMENT</t>
  </si>
  <si>
    <t>An important source of terrestrial microplastics-atmospheric deposition: A microplastics survey based on Shaanxi, China</t>
  </si>
  <si>
    <t>Wang, XX; Ouyang, ZZ; He, YF; Ding, L; Liang, XJ; Guo, XT</t>
  </si>
  <si>
    <t>An inexpensive atmospheric microplastic collector for use in remote areas</t>
  </si>
  <si>
    <t>Postma, JV</t>
  </si>
  <si>
    <t>Air-Coupled Reception of a Slow Ultrasonic A0 Mode Wave Propagating in Thin Plastic Film</t>
  </si>
  <si>
    <t>Kazys, RJ; Vilpisauskas, A</t>
  </si>
  <si>
    <t>TI103</t>
  </si>
  <si>
    <t>JOURNAL OF ANALYTICAL CHEMISTRY</t>
  </si>
  <si>
    <t>Rapid gas-chromatographic determination of marking agents added to the industrial plastic explosives in air</t>
  </si>
  <si>
    <t>Gruznov, V; Baldin, M; Efimenko, A; Maksimov, E; Naumenko, I; Pronin, V</t>
  </si>
  <si>
    <t>TI102</t>
  </si>
  <si>
    <t>AIR QUALITY ATMOSPHERE AND HEALTH</t>
  </si>
  <si>
    <t>Airborne microplastic contamination across diverse university indoor environments: A comprehensive ambient analysis</t>
  </si>
  <si>
    <t>Bhat, MA</t>
  </si>
  <si>
    <t>TI101</t>
  </si>
  <si>
    <t>IEEE PHOTONICS TECHNOLOGY LETTERS</t>
  </si>
  <si>
    <t>Achieving 1 Gbps Over Step-Index Plastic Optical Fiber Using Spatial Mode Air-Gap Filter</t>
  </si>
  <si>
    <t>Albakay, NA; Nguyen, L</t>
  </si>
  <si>
    <t>TI100</t>
  </si>
  <si>
    <t>Temporal Archive of Atmospheric Microplastic Deposition Presented in Ombrotrophic Peat</t>
  </si>
  <si>
    <t>Allen, D; Allen, S; Le Roux, G; Simonneau, A; Galop, D; Phoenix, VR</t>
  </si>
  <si>
    <t>TI99</t>
  </si>
  <si>
    <t>Shape Matters: Long-Range Transport of Microplastic Fibers in the Atmosphere</t>
  </si>
  <si>
    <t>Tatsii, D; Bucci, S; Bhowmick, T; Guettler, J; Bakels, L; Bagheri, G; Stohl, A</t>
  </si>
  <si>
    <t>TI98</t>
  </si>
  <si>
    <t>Effects of Shape and Size on Microplastic Atmospheric Settling Velocity</t>
  </si>
  <si>
    <t>Preston, CA; Neuman, CLM; Aherne, J</t>
  </si>
  <si>
    <t>TI97</t>
  </si>
  <si>
    <t>pgad397</t>
  </si>
  <si>
    <t>PNAS NEXUS</t>
  </si>
  <si>
    <t>Plastic additive components of PM2.5 increase corrected QT interval: Screening for exposure markers based on airborne exposome</t>
  </si>
  <si>
    <t>Liu, XT; Wang, YW; Fang, JL; Chen, RJ; Sun, Y; Tang, SQ; Wang, MH; Kan, HD; Li, TT; Chen, D</t>
  </si>
  <si>
    <t>TI96</t>
  </si>
  <si>
    <t>To what extent are we really free from airborne microplastics?</t>
  </si>
  <si>
    <t>Song, ZY; Liu, K; Wang, XH; Wei, N; Zong, CX; Li, CJ; Jiang, CH; He, YA; Li, DJ</t>
  </si>
  <si>
    <t>TI95</t>
  </si>
  <si>
    <t>Comparison of Lichens and Mosses as Biomonitors of Airborne Microplastics</t>
  </si>
  <si>
    <t>Jafarova, M; Grifoni, L; Aherne, J; Loppi, S</t>
  </si>
  <si>
    <t>TI94</t>
  </si>
  <si>
    <t>Atmospheric transport of microplastics during a dust storm</t>
  </si>
  <si>
    <t>Abbasi, S; Rezaei, M; Ahmadi, F; Turner, A</t>
  </si>
  <si>
    <t>TI93</t>
  </si>
  <si>
    <t>OPTICS EXPRESS</t>
  </si>
  <si>
    <t>Top-of-atmosphere hyper and multispectral signatures of submerged plastic litter with changing water clarity and depth</t>
  </si>
  <si>
    <t>Garaba, SP; Harmel, T</t>
  </si>
  <si>
    <t>TI92</t>
  </si>
  <si>
    <t>The importance of contamination control in airborne fibers and microplastic sampling: Experiences from indoor and outdoor air sampling in Aveiro, Portugal</t>
  </si>
  <si>
    <t>Prata, JC; Castro, JL; da Costa, JP; Duarte, AC; Rocha-Santos, T; Cerqueira, M</t>
  </si>
  <si>
    <t>Study of Cold Atmospheric Plasma Jet at the End of Flexible Plastic Tube for Microbial Decontamination</t>
  </si>
  <si>
    <t>Kostov, KG; Nishime, TMC; Machida, M; Borges, AC; Prysiazhnyi, V; Koga-Ito, CY</t>
  </si>
  <si>
    <t>TI90</t>
  </si>
  <si>
    <t>Characteristics and influencing factors of airborne microplastics in nail salons</t>
  </si>
  <si>
    <t>Chen, EY; Lin, KT; Jung, CC; Chang, CL; Chen, CY</t>
  </si>
  <si>
    <t>Exponential decrease of airborne microplastics: From megacity to open ocean</t>
  </si>
  <si>
    <t>Wang, XH; Wei, N; Liu, K; Zhu, LX; Li, CJ; Zong, CX; Li, DJ</t>
  </si>
  <si>
    <t>From plastics to methane and carbon spheres: The evolution of pyrolysis products during pyrolysis under autogenic atmosphere</t>
  </si>
  <si>
    <t>Zhou, XL; He, PJ; Peng, W; Lu, F; Shao, LM; Zhang, H</t>
  </si>
  <si>
    <t>TI87</t>
  </si>
  <si>
    <t>Characteristics of microplastics in the atmosphere of Anyang City</t>
  </si>
  <si>
    <t>Wang, CY; Guo, MX; Yan, B; Wei, JY; Liu, FX; Li, QL; Bo, YM</t>
  </si>
  <si>
    <t>Sources, analysis, and health implications of atmospheric microplastics</t>
  </si>
  <si>
    <t>Ahmad, M; Chen, J; Khan, MT; Yu, Q; Phairuang, W; Furuuchi, M; Ali, SW; Nawab, A; Panyametheekul, S</t>
  </si>
  <si>
    <t>TI85</t>
  </si>
  <si>
    <t>Atmospheric deposition studies of microplastics in Central Germany</t>
  </si>
  <si>
    <t>Kernchen, S; Schmalz, H; Löder, MGJ; Georgi, C; Einhorn, A; Greiner, A; Nölscher, AC; Laforsch, C; Held, A</t>
  </si>
  <si>
    <t>High temporal resolution records of outdoor and indoor airborne microplastics</t>
  </si>
  <si>
    <t>Boakes, LC; Patmore, IR; Bancone, CEP; Rose, NL</t>
  </si>
  <si>
    <t>TI83</t>
  </si>
  <si>
    <t>FUEL</t>
  </si>
  <si>
    <t>Co-combustion of refuse plastic fuel from marine plastics with wood pellets in a fixed-bed: Identification of minimum cofiring ratio and ideal air flow rate</t>
  </si>
  <si>
    <t>Park, J; Yu, S; Kim, H; Jo, H; Min, K; Lee, J; Heo, J; Ryu, C</t>
  </si>
  <si>
    <t>TI82</t>
  </si>
  <si>
    <t>JOURNAL OF SENSORS AND SENSOR SYSTEMS</t>
  </si>
  <si>
    <t>Integrated defect sensor for the inspection of fiber-reinforced plastics using air-coupled ultrasound</t>
  </si>
  <si>
    <t>Bernhardt, Y; Kreutzbruck, M</t>
  </si>
  <si>
    <t>TI81</t>
  </si>
  <si>
    <t>APPLIED RADIATION AND ISOTOPES</t>
  </si>
  <si>
    <t>Prototype apparatus for the measurement of tritium in expired air using plastic scintillator pellets</t>
  </si>
  <si>
    <t>Furuta, E; Ito, T</t>
  </si>
  <si>
    <t>TI80</t>
  </si>
  <si>
    <t>GREEN CHEMISTRY</t>
  </si>
  <si>
    <t>Metal-free upcycling of plastic waste: photo-induced oxidative degradation of polystyrene in air</t>
  </si>
  <si>
    <t>Xu, SY; Liu, SX; Song, WZ; Zheng, N</t>
  </si>
  <si>
    <t>TI79</t>
  </si>
  <si>
    <t>e20230315</t>
  </si>
  <si>
    <t>MATERIA-RIO DE JANEIRO</t>
  </si>
  <si>
    <t>Mechanical and chemical analysis of degraded plastic bags exposed in air, water, and soil</t>
  </si>
  <si>
    <t>Oliveira, WL; Uliana Jr, PS; Lins, VDC</t>
  </si>
  <si>
    <t>TI78</t>
  </si>
  <si>
    <t>Experimental evidence of plastic particles transfer at the water-air interface through bubble bursting</t>
  </si>
  <si>
    <t>Masry, M; Rossignol, S; Roussel, BT; Bourgogne, D; Bussi, PO; R'mili, B; Wong-Wah-Chung, P</t>
  </si>
  <si>
    <t>TI77</t>
  </si>
  <si>
    <t>Airborne and marine microplastics from an oceanographic survey at the Baltic Sea: An emerging role of air-sea interaction?</t>
  </si>
  <si>
    <t>Ferrero, L; Scibetta, L; Markuszewski, P; Mazurkiewicz, M; Drozdowska, V; Makuch, P; Jutrzenka-Trzebiatowska, P; Zaleska-Medynska, A; Andò, S; Saliu, F; Nilsson, ED; Bolzacchini, E</t>
  </si>
  <si>
    <t>INTERNATIONAL JOURNAL OF ENVIRONMENTAL RESEARCH AND PUBLIC HEALTH</t>
  </si>
  <si>
    <t>Airborne Microplastic in the Atmospheric Deposition and How to Identify and Quantify the Threat: Semi-Quantitative Approach Based on Krakow Case Study</t>
  </si>
  <si>
    <t>Jarosz, K; Janus, R; Wadrzyk, M; Wilczynska-Michalik, W; Natkanski, P; Michalik, M</t>
  </si>
  <si>
    <t>TI75</t>
  </si>
  <si>
    <t>Microplastic ingestion from atmospheric deposition during dining/drinking activities</t>
  </si>
  <si>
    <t>Fang, MZ; Liao, ZL; Ji, XL; Zhu, X; Wang, ZF; Lu, CJ; Shi, CW; Chen, Z; Ge, LY; Zhang, MH; Dahlgren, RA; Shang, X</t>
  </si>
  <si>
    <t>TI74</t>
  </si>
  <si>
    <t>Airborne Microplastic Concentrations in Five Megacities of Northern and Southeast China</t>
  </si>
  <si>
    <t>Zhu, X; Huang, W; Fang, MZ; Liao, ZL; Wang, YQ; Xu, LS; Mu, QQ; Shi, CW; Lu, CJ; Deng, HH; Dahlgren, R; Shang, X</t>
  </si>
  <si>
    <t>COVID lockdown significantly impacted microplastic bulk atmospheric deposition rates</t>
  </si>
  <si>
    <t>Beaurepaire, M; Gasperi, J; Tassin, B; Dris, R</t>
  </si>
  <si>
    <t>Comparison of waste plastics pyrolysis under nitrogen and carbon dioxide atmospheres: A thermogravimetric and kinetic study</t>
  </si>
  <si>
    <t>Saad, JM; Williams, PT; Zhang, YS; Yao, DD; Yang, HP; Zhou, H</t>
  </si>
  <si>
    <t>TI71</t>
  </si>
  <si>
    <t>Thermogravimetric analyses of co-combustion of plastic, rubber, leather in N2/O2 and CO2/O2 atmospheres</t>
  </si>
  <si>
    <t>Tang, YT; Ma, XQ; Lai, ZY; Fan, YX</t>
  </si>
  <si>
    <t>TI70</t>
  </si>
  <si>
    <t>MATERIALS LETTERS</t>
  </si>
  <si>
    <t>Atmospheric-pressure plasma-enhanced chemical vapor deposition of UV-shielding TiO2 coatings on transparent plastics</t>
  </si>
  <si>
    <t>Nagasawa, H; Xu, J; Kanezashi, M; Tsuru, T</t>
  </si>
  <si>
    <t>TI69</t>
  </si>
  <si>
    <t>WASTE MANAGEMENT</t>
  </si>
  <si>
    <t>Catalytic fast pyrolysis of polyethylene terephthalate plastic for the selective production of terephthalonitrile under ammonia atmosphere</t>
  </si>
  <si>
    <t>Xu, LJ; Zhang, LY; Song, H; Dong, Q; Dong, GH; Kong, X; Fang, Z</t>
  </si>
  <si>
    <t>TI68</t>
  </si>
  <si>
    <t>Dynamic fluctuations in plant leaf interception of airborne microplastics</t>
  </si>
  <si>
    <t>Jiao, M; Wang, YJ; Yang, F; Zhao, Z; Wei, YH; Li, RL; Wang, YH</t>
  </si>
  <si>
    <t>TI67</t>
  </si>
  <si>
    <t>Microbubble-microplastic interactions in batch air flotation</t>
  </si>
  <si>
    <t>Swart, B; Pihlajamäki, A; Chew, YMJ; Wenk, J</t>
  </si>
  <si>
    <t>TI66</t>
  </si>
  <si>
    <t>Microplastics in the atmosphere of Ahvaz City, Iran</t>
  </si>
  <si>
    <t>Abbasi, S; Jaafarzadeh, N; Zahedi, A; Ravanbakhsh, M; Abbaszadeh, S; Turner, A</t>
  </si>
  <si>
    <t>NATURE REVIEWS EARTH &amp; ENVIRONMENT</t>
  </si>
  <si>
    <t>Microplastics and nanoplastics in the marine-atmosphere environment</t>
  </si>
  <si>
    <t>Allen, D; Allen, S; Abbasi, S; Baker, A; Bergmann, M; Brahney, J; Butler, T; Duce, RA; Eckhardt, S; Evangeliou, N; Jickells, T; Kanakidou, M; Kershaw, P; Laj, P; Levermore, J; Li, DJ; Liss, P; Liu, K; Mahowald, N; Masque, P; Materic, D; Mayes, AG; McGinnity, P; Osvath, I; Prather, KA; Prospero, JM; Revell, LE; Sander, SG; Shim, WJ; Slade, J; Stein, A; Tarasova, O; Wright, S</t>
  </si>
  <si>
    <t>TI64</t>
  </si>
  <si>
    <t>EXPERIMENTAL THERMAL AND FLUID SCIENCE</t>
  </si>
  <si>
    <t>An experimental study on the jet breakup of Bingham plastic slurries in air</t>
  </si>
  <si>
    <t>Csizmadia, P; Till, S; Hos, C</t>
  </si>
  <si>
    <t>TI63</t>
  </si>
  <si>
    <t>ENERGY FOR SUSTAINABLE DEVELOPMENT</t>
  </si>
  <si>
    <t>Evaluation of a novel, low-cost plastic solar air heater for turkey brooding</t>
  </si>
  <si>
    <t>Poole, MR; Shah, SB; Grimes, JL; Boyette, MD; Stikeleather, LF</t>
  </si>
  <si>
    <t>TI62</t>
  </si>
  <si>
    <t>A synthetic microplastic fiber-manufacturing method and analysis of airborne microplastic fiber transport behavior in porous media</t>
  </si>
  <si>
    <t>Luscher, SM; Jo, HY</t>
  </si>
  <si>
    <t>TI61</t>
  </si>
  <si>
    <t>https://rus.ucf.edu.cu/index.php/rus/article/view/4158</t>
  </si>
  <si>
    <t>REVISTA UNIVERSIDAD Y SOCIEDAD</t>
  </si>
  <si>
    <t>MICROPLASTICS IN ATMOSPHERIC DEPOSITION IN CIENFUEGOS, CUBA</t>
  </si>
  <si>
    <t>Pescoso-Torres, BM; Garcia-Varens, M; Helguera-Pedraza, Y; Morera-Gómez, Y</t>
  </si>
  <si>
    <t>TI60</t>
  </si>
  <si>
    <t>Lichen Biomonitoring of Airborne Microplastics in Milan (N Italy)</t>
  </si>
  <si>
    <t>Jafarova, M; Contardo, T; Aherne, J; Loppi, S</t>
  </si>
  <si>
    <t>TI59</t>
  </si>
  <si>
    <t>Atmospheric deposition of microplastics in Shiraz, Iran</t>
  </si>
  <si>
    <t>Abbasi, S; Ahmadi, F; Khodabakhshloo, N; Pourmahmood, H; Esfandiari, A; Mokhtarzadeh, Z; Rahnama, S; Dehbandi, R; Vazirzadeh, A; Turner, A</t>
  </si>
  <si>
    <t>Airborne microplastic concentrations and deposition across the Weser River catchment</t>
  </si>
  <si>
    <t>Kernchen, S; Löder, MGJ; Fischer, F; Fischer, D; Moses, SR; Georgi, C; Nölscher, AC; Held, A; Laforsch, C</t>
  </si>
  <si>
    <t>Airborne microplastic particle concentrations and characterization in indoor urban microenvironments</t>
  </si>
  <si>
    <t>Torres-Agullo, A; Karanasiou, A; Moreno, T; Lacorte, S</t>
  </si>
  <si>
    <t>TI56</t>
  </si>
  <si>
    <t>MATERIALS</t>
  </si>
  <si>
    <t>Surface Activation of Polylactic Acid-Based Wood-Plastic Composite by Atmospheric Pressure Plasma Treatment</t>
  </si>
  <si>
    <t>Sauerbier, P; Köhler, R; Renner, G; Militz, H</t>
  </si>
  <si>
    <t>TI55</t>
  </si>
  <si>
    <t>Quantification and Characterization of Fine Plastic Particles as Considerable Components in Atmospheric Fine Particles</t>
  </si>
  <si>
    <t>Chen, YQ; Jing, SY; Wang, YT; Song, Z; Xie, LF; Shang, XA; Fu, HB; Yang, XD; Wang, HM; Wu, MH; Chen, YJ; Li, Q; Zhang, Y; Wang, W; Zhang, LW; Wang, R; Fang, ML; Zhang, YZ; Li, WJ; Zhao, DF; Li, CL; Rudich, Y; Wang, L; Zhang, RH; Liu, WP; Wanger, TC; Yu, SC; Chen, JM</t>
  </si>
  <si>
    <t>Evidence of plasma-driven decomposition of common plastics exposed to an atmospheric nonthermal discharge</t>
  </si>
  <si>
    <t>Walker, RZ; Gershman, S; Doughty, DE; Foster, JE</t>
  </si>
  <si>
    <t>TI53</t>
  </si>
  <si>
    <t>PLASMA SOURCES SCIENCE &amp; TECHNOLOGY</t>
  </si>
  <si>
    <t>Transfer of a cold atmospheric pressure plasma jet through a long flexible plastic tube</t>
  </si>
  <si>
    <t>Kostov, KG; Machida, M; Prysiazhnyi, V; Honda, RY</t>
  </si>
  <si>
    <t>TI52</t>
  </si>
  <si>
    <t>PRZEMYSL CHEMICZNY</t>
  </si>
  <si>
    <t>Effect of dusty atmosphere based on plastic powders on the operation of fire protection systems</t>
  </si>
  <si>
    <t>Wnek, W</t>
  </si>
  <si>
    <t>TI51</t>
  </si>
  <si>
    <t>Performance evaluation of plastic solar air heater with different cross sectional configuration</t>
  </si>
  <si>
    <t>Abdullah, AS; EI-Samadony, YAF; Omara, ZM</t>
  </si>
  <si>
    <t>TI50</t>
  </si>
  <si>
    <t>NATURE HUMAN BEHAVIOUR</t>
  </si>
  <si>
    <t>Air pollution as a determinant of food delivery and related plastic waste</t>
  </si>
  <si>
    <t>Chu, JH; Liu, HM; Salvo, A</t>
  </si>
  <si>
    <t>TI49</t>
  </si>
  <si>
    <t>RADIATION PHYSICS AND CHEMISTRY</t>
  </si>
  <si>
    <t>Radiation-stimulated oxidation of the plastic surface in a water-air flow</t>
  </si>
  <si>
    <t>Khusyainova, DN; Shapagin, AV; Ponomarev, AV</t>
  </si>
  <si>
    <t>TI48</t>
  </si>
  <si>
    <t>REVIEW OF SCIENTIFIC INSTRUMENTS</t>
  </si>
  <si>
    <t>Multi-channel plastic-scintillator-based detection system for monitoring tritium in air</t>
  </si>
  <si>
    <t>Bae, JW; Kang, KJ; Kim, HR; Jeon, S</t>
  </si>
  <si>
    <t>TI47</t>
  </si>
  <si>
    <t>JOURNAL OF MANUFACTURING PROCESSES</t>
  </si>
  <si>
    <t>Manufacturing and performance of 3D printed plastic tools for air bending applications</t>
  </si>
  <si>
    <t>Zaragoza, VG; Rane, K; Strano, M; Monno, M</t>
  </si>
  <si>
    <t>TI46</t>
  </si>
  <si>
    <t>Presence of airborne microplastics in human lung tissue</t>
  </si>
  <si>
    <t>Amato-Lourenço, LF; Carvalho-Oliveira, R; Ribeiro, G; Galvao, LD; Ando, RA; Mauad, T</t>
  </si>
  <si>
    <t>TI45</t>
  </si>
  <si>
    <t>IEEE SENSORS JOURNAL</t>
  </si>
  <si>
    <t>Structural Health Monitoring Suitable for Airborne Components Using the Speckle Pattern in Plastic Optical Fibers</t>
  </si>
  <si>
    <t>Reis, FM; Antunes, PFD; Maia, NMM; Carvalho, AR; André, PSD</t>
  </si>
  <si>
    <t>TI44</t>
  </si>
  <si>
    <t>NANOTOXICOLOGY</t>
  </si>
  <si>
    <t>Microplastics and nanoplastics science: collecting and characterizing airborne microplastics in fine particulate matter</t>
  </si>
  <si>
    <t>Rahman, L; Mallach, G; Kulka, R; Halappanavar, S</t>
  </si>
  <si>
    <t>TI43</t>
  </si>
  <si>
    <t>Airborne emissions of microplastic fibres from domestic laundry dryers</t>
  </si>
  <si>
    <t>O'Brien, S; Okoffo, ED; O'Brien, JW; Ribeiro, F; Wang, XY; Wright, SL; Samanipour, S; Rauert, C; Toapanta, TYA; Albarracin, R; Thomas, KV</t>
  </si>
  <si>
    <t>TI42</t>
  </si>
  <si>
    <t>COMBUSTION AND FLAME</t>
  </si>
  <si>
    <t>Buoyant-flow downward flame spread over carbon fiber reinforced plastic in variable oxygen atmospheres</t>
  </si>
  <si>
    <t>Kobayashi, Y; Oiwa, R; Tokoro, M; Takahashi, S</t>
  </si>
  <si>
    <t>TI41</t>
  </si>
  <si>
    <t>ENERGY CONVERSION AND MANAGEMENT</t>
  </si>
  <si>
    <t>Effect of catalyst contact mode and gas atmosphere during catalytic pyrolysis of waste plastics</t>
  </si>
  <si>
    <t>Xue, Y; Johnston, P; Bai, XL</t>
  </si>
  <si>
    <t>TI40</t>
  </si>
  <si>
    <t>Comparative pyrolysis characteristics of representative commercial thermosetting plastic waste in inert and oxygenous atmosphere</t>
  </si>
  <si>
    <t>Chen, RY; Li, QW; Xu, XK; Zhang, DD</t>
  </si>
  <si>
    <t>TI39</t>
  </si>
  <si>
    <t>ADVANCED MATERIALS INTERFACES</t>
  </si>
  <si>
    <t>Optically Transparent Protective Coating for Plastics Using Dual Spray and Atmospheric Plasma Deposition</t>
  </si>
  <si>
    <t>Ding, YC; Dong, SM; Han, JH; He, DJ; Zhao, ZL; Dauskardt, RH</t>
  </si>
  <si>
    <t>TI38</t>
  </si>
  <si>
    <t>ISIJ INTERNATIONAL</t>
  </si>
  <si>
    <t>Desulfurization Behavior of Low-sulfur Plastic Die Steel during ESR Process under Different Atmospheres</t>
  </si>
  <si>
    <t>Kang, CP; Liu, FB; Geng, X; Jiang, ZH; Chen, K; Gao, JZ; An, RD</t>
  </si>
  <si>
    <t>TI37</t>
  </si>
  <si>
    <t>JOURNAL OF TESTING AND EVALUATION</t>
  </si>
  <si>
    <t>Effects of Atmospheric Pressure on Water Absorption in Plastic Insulation - A Laboratory Investigation</t>
  </si>
  <si>
    <t>Andenæs, E; Stagrum, AE; Kvande, T; Lohne, J</t>
  </si>
  <si>
    <t>TI36</t>
  </si>
  <si>
    <t>Plastic is in the air: Impact of micro-nanoplastics from airborne pollution on Tillandsia usneoides (L.) L. (Bromeliaceae) as a possible green sensor</t>
  </si>
  <si>
    <t>Falsini, S; Colzi, I; Chelazzi, D; Dainelli, M; Schiff, S; Papini, A; Coppi, A; Gonnelli, C; Ristori, S</t>
  </si>
  <si>
    <t>TI35</t>
  </si>
  <si>
    <t>A nationwide monitoring of atmospheric microplastic deposition</t>
  </si>
  <si>
    <t>Edo, C; Fernández-Piñas, F; Leganes, F; Gómez, M; Martínez, I; Herrera, A; Hernández-Sánchez, C; González-Sálamo, J; Borges, JH; López-Castellanos, J; Bayo, J; Romera-Castillo, C; Elustondo, D; Santamaría, C; Alonso, R; García-Gómez, H; Gonzalez-Cascon, R; Martínez-Hernández, V; Landaburu-Aguirre, J; Incera, M; Gago, J; Noya, B; Beiras, R; Muniategui-Lorenzo, S; Rosal, R; González-Pleiter, M</t>
  </si>
  <si>
    <t>Environmental impact assessment of air-permeable plastic runway production in China</t>
  </si>
  <si>
    <t>Zhang, Y; Li, F; Peng, NJ; Peng, LH</t>
  </si>
  <si>
    <t>TI33</t>
  </si>
  <si>
    <t>ENERGY AND BUILDINGS</t>
  </si>
  <si>
    <t>Convective heat transfer coefficients between horizontal plastic shading nets and air</t>
  </si>
  <si>
    <t>Abdel-Ghany, AM; Al-Helal, IM; Shady, MR; Ibrahim, AA</t>
  </si>
  <si>
    <t>TI32</t>
  </si>
  <si>
    <t>INFRARED PHYSICS &amp; TECHNOLOGY</t>
  </si>
  <si>
    <t>Monitoring of air voids at plastic-metal interfaces by terahertz radiation</t>
  </si>
  <si>
    <t>Palka, N; Rybak, A; Jakubowski, T; Florkowski, M; Kowalski, M; Zagrajek, P; Zyczkowski, M; Ciurapinski, W; Jodlowski, L; Walczakowski, M</t>
  </si>
  <si>
    <t>TI31</t>
  </si>
  <si>
    <t>BULLETIN OF THE BRAZILIAN MATHEMATICAL SOCIETY</t>
  </si>
  <si>
    <t>Computational study of shock waves propagating through air-plastic-water interfaces</t>
  </si>
  <si>
    <t>Del Razo, MJ; LeVeque, RJ</t>
  </si>
  <si>
    <t>TI30</t>
  </si>
  <si>
    <t>chrome-extension://efaidnbmnnnibpcajpcglclefindmkaj/https://jestec.taylors.edu.my/Vol%2018%20Issue%205%20October%202023/18_5_08.pdf</t>
  </si>
  <si>
    <t>JOURNAL OF ENGINEERING SCIENCE AND TECHNOLOGY</t>
  </si>
  <si>
    <t>INDOOR AIR QUALITY ASSESSMENT AT A PLASTIC-TO-DIESEL CONVERSION PLANT</t>
  </si>
  <si>
    <t>Jarkoni, MNK; Mansor, WNW; Abd Kadir, NH; Ramli, A; Abdullah, S; Jalaludin, J; Hashim, F; Yusof, MA; Saad, MF; Lin, SL; Chao, HR</t>
  </si>
  <si>
    <t>TI29</t>
  </si>
  <si>
    <t>ACS APPLIED MATERIALS &amp; INTERFACES</t>
  </si>
  <si>
    <t>Dual Precursor Atmospheric Plasma Deposition of Transparent Bilayer Protective Coatings on Plastics</t>
  </si>
  <si>
    <t>Dong, SM; Zhao, ZL; Dauskardt, RH</t>
  </si>
  <si>
    <t>TI28</t>
  </si>
  <si>
    <t>JOURNAL OF SUSTAINABLE DEVELOPMENT OF ENERGY WATER AND ENVIRONMENT SYSTEMS-JSDEWES</t>
  </si>
  <si>
    <t>Thermogravimetric Analysis Investigation of Polyurethane Plastic Thermal Properties Under Different Atmospheric Conditions</t>
  </si>
  <si>
    <t>Mikulcic, H; Jin, QM; Stancin, H; Wang, XB; Li, SS; Tan, HZ; Duic, N</t>
  </si>
  <si>
    <t>TI27</t>
  </si>
  <si>
    <t>THERMOCHIMICA ACTA</t>
  </si>
  <si>
    <t>Study on pyrolysis characteristics and kinetics of mixed waste plastics under different atmospheres</t>
  </si>
  <si>
    <t>Shan, TL; Bian, HG; Wang, KS; Li, ZY; Qiu, J; Zhu, DL; Wang, CS; Tian, XL</t>
  </si>
  <si>
    <t>TI26</t>
  </si>
  <si>
    <t>MEDYCYNA PRACY</t>
  </si>
  <si>
    <t>EXPOSURE TO AIRBORNE FUNGI DURING SORTING OF RECYCLABLE PLASTICS IN WASTE TREATMENT FACILITIES</t>
  </si>
  <si>
    <t>Cerná, K; Wittlingerová, Z; Zimová, M; Janovsky, Z</t>
  </si>
  <si>
    <t>TI25</t>
  </si>
  <si>
    <t>Characterising the deterioration of different plastics in air and seawater</t>
  </si>
  <si>
    <t>Biber, NFA; Foggo, A; Thompson, RC</t>
  </si>
  <si>
    <t>TI24</t>
  </si>
  <si>
    <t>NATURE</t>
  </si>
  <si>
    <t>Direct radiative effects of airborne microplastics</t>
  </si>
  <si>
    <t>Revell, LE; Kuma, P; Le Ru, EC; Somerville, WRC; Gaw, S</t>
  </si>
  <si>
    <t>TI23</t>
  </si>
  <si>
    <t>Atmospheric phthalate pollution in plastic agricultural greenhouses in Shaanxi Province, China</t>
  </si>
  <si>
    <t>Wang, XK; Zhang, YX; Huang, B; Chen, ZK; Zhong, M; Wang, WX; Liu, XF; Fan, YN; Hu, WY</t>
  </si>
  <si>
    <t>TI22</t>
  </si>
  <si>
    <t>DATA</t>
  </si>
  <si>
    <t>Airborne Spectral Reflectance Dataset of Submerged Plastic Targets in a Coastal Environment</t>
  </si>
  <si>
    <t>Papakonstantinou, A; Moustakas, A; Kolokoussis, P; Papageorgiou, D; de Vries, R; Topouzelis, K</t>
  </si>
  <si>
    <t>TI21</t>
  </si>
  <si>
    <t>Abundant bacteria and fungi attached to airborne particulates in vegetable plastic greenhouses</t>
  </si>
  <si>
    <t>Nie, CL; Geng, XY; Ouyang, HL; Wang, LN; Li, ZZ; Wang, MY; Sun, XM; Wu, Y; Qin, YH; Xu, YX; Tang, X; Chen, JM</t>
  </si>
  <si>
    <t>TI20</t>
  </si>
  <si>
    <t>INTERNATIONAL JOURNAL OF LIFE CYCLE ASSESSMENT</t>
  </si>
  <si>
    <t>Life cycle assessment of a plastic air intake manifold</t>
  </si>
  <si>
    <t>Delogu, M; Del Pero, F; Romoli, F; Pierini, M</t>
  </si>
  <si>
    <t>TI19</t>
  </si>
  <si>
    <t>Atmospheric micro (nano) plastics: future growing concerns for human health</t>
  </si>
  <si>
    <t>Bhat, MA; Gedik, K; Gaga, EO</t>
  </si>
  <si>
    <t>TI18</t>
  </si>
  <si>
    <t>Plastic rain-Atmospheric microplastics deposition in urban and peri-urban areas of Patna City, Bihar, India: Distribution, characteristics, transport, and source analysis</t>
  </si>
  <si>
    <t>Parashar, N; Hait, S</t>
  </si>
  <si>
    <t>Micro(nano)plastics in the atmosphere of the Atlantic Ocean</t>
  </si>
  <si>
    <t>Caracci, E; Vega-Herrera, A; Dachs, J; Berrojalbiz, N; Buonanno, G; Abad, E; Llorca, M; Moreno, T; Farré, M</t>
  </si>
  <si>
    <t>TI16</t>
  </si>
  <si>
    <t>EUROPEAN PHYSICAL JOURNAL C</t>
  </si>
  <si>
    <t>Probing atmospheric effects using GRAPES-3 plastic scintillator detectors</t>
  </si>
  <si>
    <t>Zuberi, M; Ahmad, S; Chakraborty, M; Chandra, A; Dugad, SR; Goswami, UD; Gupta, SK; Hariharan, B; Hayashi, Y; Jagadeesan, P; Jain, A; Jain, P; Jhansi, VB; Kawakami, S; Kojima, H; Mahapatra, S; Mohanty, PK; Muraki, Y; Nayak, PK; Nonaka, T; Oshima, A; Pattanaik, D; Rameez, M; Ramesh, K; Reddy, LV; Shibata, S; Varsi, F</t>
  </si>
  <si>
    <t>TI15</t>
  </si>
  <si>
    <t>Sensing Ocean Plastics with an Airborne Hyperspectral Shortwave Infrared Imager</t>
  </si>
  <si>
    <t>Garaba, SP; Aitken, J; Slat, B; Dierssen, HM; Lebreton, L; Zielinski, O; Reisser, J</t>
  </si>
  <si>
    <t>TI14</t>
  </si>
  <si>
    <t>JURNAL KEJURUTERAAN</t>
  </si>
  <si>
    <t>Air Vent to Solve Plastic Product Defects</t>
  </si>
  <si>
    <t>Tamri, N; ZulkifliJabatan, R</t>
  </si>
  <si>
    <t>TI13</t>
  </si>
  <si>
    <t>FACETS</t>
  </si>
  <si>
    <t>Impact of plastic pollution on atmospheric carbon dioxide</t>
  </si>
  <si>
    <t>Gurgacz, NS; Kvale, K; Eby, M; Weaver, AJ</t>
  </si>
  <si>
    <t>TI12</t>
  </si>
  <si>
    <t>e2020719118</t>
  </si>
  <si>
    <t>PROCEEDINGS OF THE NATIONAL ACADEMY OF SCIENCES OF THE UNITED STATES OF AMERICA</t>
  </si>
  <si>
    <t>Constraining the atmospheric limb of the plastic cycle</t>
  </si>
  <si>
    <t>Brahney, J; Mahowald, N; Prank, M; Cornwell, G; Klimont, Z; Matsui, H; Prather, KA</t>
  </si>
  <si>
    <t>TI11</t>
  </si>
  <si>
    <t>Understanding the fragmentation of microplastics into nano-plastics and removal of nano/microplastics from wastewater using membrane, air flotation and nano-ferrofluid processes</t>
  </si>
  <si>
    <t>Pramanik, BK; Pramanik, SK; Monira, S</t>
  </si>
  <si>
    <t>TI10</t>
  </si>
  <si>
    <t>New insights into the role of marine plastic-gels in microplastic transfer from water to the atmosphere via bubble bursting</t>
  </si>
  <si>
    <t>Shiu, RF; Chen, LY; Lee, HJ; Gong, GC; Lee, CP</t>
  </si>
  <si>
    <t>TI9</t>
  </si>
  <si>
    <t>Plastic in the air?!-Spider webs as spatial and temporal mirror for microplastics including tire wear particles in urban air</t>
  </si>
  <si>
    <t>Gossmann, I; Suessmuth, R; Scholz-Böttcher, BM</t>
  </si>
  <si>
    <t>TI8</t>
  </si>
  <si>
    <t>Aging of biodegradable blended plastic generates microplastics and attached bacterial communities in air and aqueous environments</t>
  </si>
  <si>
    <t>Bao, RQ; Pu, JR; Xie, CL; Mehmood, T; Chen, W; Gao, L; Lin, WL; Su, YY; Lin, XB; Peng, LC</t>
  </si>
  <si>
    <t>TI7</t>
  </si>
  <si>
    <t>ADVANCED MATERIALS</t>
  </si>
  <si>
    <t>Photothermal Mineralization of Polyolefin Microplastics via TiO2 Hierarchical Porous Layer-Based Semiwetting Air-Plastic-Solid Interfaces</t>
  </si>
  <si>
    <t>Zhao, JQ; Miao, P; Zhang, XR; Wang, P; Li, ZH; Wu, LZ; Shi, R; Zhang, TR</t>
  </si>
  <si>
    <t>TI6</t>
  </si>
  <si>
    <t>Biodegradable plastics in the air and soil environment: Low degradation rate and high microplastics formation</t>
  </si>
  <si>
    <t>Liao, J; Chen, QQ</t>
  </si>
  <si>
    <t>TI5</t>
  </si>
  <si>
    <t>Y</t>
  </si>
  <si>
    <t>The atmospheric microplastics deposition contributes to microplastic pollution in urban waters</t>
  </si>
  <si>
    <t>Sun, J; Peng, ZT; Zhu, ZR; Fu, W; Dai, XH; Ni, BJ</t>
  </si>
  <si>
    <t>TI4</t>
  </si>
  <si>
    <t>SUSTAINABLE PRODUCTION AND CONSUMPTION</t>
  </si>
  <si>
    <t>The impacts of plastic products on air pollution - A simulation study for advanced life cycle inventories of plastics covering secondary microplastic production</t>
  </si>
  <si>
    <t>Vega, GC; Gross, A; Birkved, M</t>
  </si>
  <si>
    <t>TI3</t>
  </si>
  <si>
    <t>COMMUNICATIONS EARTH &amp; ENVIRONMENT</t>
  </si>
  <si>
    <t>Airborne microplastic particles detected in the remote marine atmosphere</t>
  </si>
  <si>
    <t>Trainic, M; Flores, JM; Pinkas, I; Pedrotti, ML; Lombard, F; Bourdin, G; Gorsky, G; Boss, E; Rudich, Y; Vardi, A; Koren, I</t>
  </si>
  <si>
    <t>TI2</t>
  </si>
  <si>
    <t>Breathing plastics in Metro Manila, Philippines: presence of suspended atmospheric microplastics in ambient air</t>
  </si>
  <si>
    <t>Romarate, RR; Ancla, SMB; Patilan, DMM; Inocente, SAT; Pacilan, CJM; Sinco, AL; Guihawan, JQ; Capangpangan, RY; Lubguban, AA; Bacosa, HP</t>
  </si>
  <si>
    <t>filed observation (Y/N)</t>
  </si>
  <si>
    <t>research paper (Y/N)</t>
  </si>
  <si>
    <t>DOI Link</t>
  </si>
  <si>
    <t>Article Number</t>
  </si>
  <si>
    <t>End Page</t>
  </si>
  <si>
    <t>Start Page</t>
  </si>
  <si>
    <t>Issue</t>
  </si>
  <si>
    <t>Volume</t>
  </si>
  <si>
    <t>Publication Year</t>
  </si>
  <si>
    <t>Source Title</t>
  </si>
  <si>
    <t>Article Title</t>
  </si>
  <si>
    <t>Authors</t>
  </si>
  <si>
    <r>
      <t>2.1 × 10</t>
    </r>
    <r>
      <rPr>
        <vertAlign val="superscript"/>
        <sz val="11"/>
        <rFont val="Calibri"/>
        <family val="2"/>
      </rPr>
      <t>3</t>
    </r>
    <r>
      <rPr>
        <sz val="11"/>
        <rFont val="Calibri"/>
        <family val="2"/>
      </rPr>
      <t>±1.0 × 10</t>
    </r>
    <r>
      <rPr>
        <vertAlign val="superscript"/>
        <sz val="11"/>
        <rFont val="Calibri"/>
        <family val="2"/>
      </rPr>
      <t>3</t>
    </r>
  </si>
  <si>
    <r>
      <t>3 ± 2 (fibers m</t>
    </r>
    <r>
      <rPr>
        <vertAlign val="superscript"/>
        <sz val="11"/>
        <rFont val="Aptos Narrow"/>
        <family val="2"/>
        <scheme val="minor"/>
      </rPr>
      <t>-2</t>
    </r>
    <r>
      <rPr>
        <sz val="11"/>
        <rFont val="Aptos Narrow"/>
        <family val="2"/>
        <scheme val="minor"/>
      </rPr>
      <t xml:space="preserve"> d</t>
    </r>
    <r>
      <rPr>
        <vertAlign val="superscript"/>
        <sz val="11"/>
        <rFont val="Aptos Narrow"/>
        <family val="2"/>
        <scheme val="minor"/>
      </rPr>
      <t>-1</t>
    </r>
    <r>
      <rPr>
        <sz val="11"/>
        <rFont val="Aptos Narrow"/>
        <family val="2"/>
        <scheme val="minor"/>
      </rPr>
      <t>)</t>
    </r>
  </si>
  <si>
    <r>
      <t>Lebak Siliwangi</t>
    </r>
    <r>
      <rPr>
        <sz val="8"/>
        <rFont val="Georgia"/>
        <family val="1"/>
      </rPr>
      <t> </t>
    </r>
  </si>
  <si>
    <r>
      <t>(1.12 ± 0.49) × 10</t>
    </r>
    <r>
      <rPr>
        <vertAlign val="superscript"/>
        <sz val="11"/>
        <rFont val="Calibri"/>
        <family val="2"/>
      </rPr>
      <t>−4</t>
    </r>
  </si>
  <si>
    <r>
      <t>0.52  × 10</t>
    </r>
    <r>
      <rPr>
        <vertAlign val="superscript"/>
        <sz val="11"/>
        <rFont val="Calibri"/>
        <family val="2"/>
      </rPr>
      <t>−2</t>
    </r>
  </si>
  <si>
    <r>
      <t>0.38 × 10</t>
    </r>
    <r>
      <rPr>
        <vertAlign val="superscript"/>
        <sz val="11"/>
        <rFont val="Calibri"/>
        <family val="2"/>
      </rPr>
      <t>−2</t>
    </r>
  </si>
  <si>
    <r>
      <t>0.83 × 10</t>
    </r>
    <r>
      <rPr>
        <vertAlign val="superscript"/>
        <sz val="11"/>
        <rFont val="Calibri"/>
        <family val="2"/>
      </rPr>
      <t>−2</t>
    </r>
  </si>
  <si>
    <r>
      <t>0.39 × 10</t>
    </r>
    <r>
      <rPr>
        <vertAlign val="superscript"/>
        <sz val="11"/>
        <rFont val="Calibri"/>
        <family val="2"/>
      </rPr>
      <t>−2</t>
    </r>
  </si>
  <si>
    <r>
      <t>0.71 × 10</t>
    </r>
    <r>
      <rPr>
        <vertAlign val="superscript"/>
        <sz val="11"/>
        <rFont val="Calibri"/>
        <family val="2"/>
      </rPr>
      <t>−2</t>
    </r>
  </si>
  <si>
    <r>
      <t>0.41 × 10</t>
    </r>
    <r>
      <rPr>
        <vertAlign val="superscript"/>
        <sz val="11"/>
        <rFont val="Calibri"/>
        <family val="2"/>
      </rPr>
      <t>−2</t>
    </r>
  </si>
  <si>
    <r>
      <t>0.67 × 10</t>
    </r>
    <r>
      <rPr>
        <vertAlign val="superscript"/>
        <sz val="11"/>
        <rFont val="Calibri"/>
        <family val="2"/>
      </rPr>
      <t>−2</t>
    </r>
  </si>
  <si>
    <r>
      <t>0.7 × 10</t>
    </r>
    <r>
      <rPr>
        <vertAlign val="superscript"/>
        <sz val="11"/>
        <rFont val="Calibri"/>
        <family val="2"/>
      </rPr>
      <t>−2</t>
    </r>
  </si>
  <si>
    <r>
      <t>1.29 × 10</t>
    </r>
    <r>
      <rPr>
        <vertAlign val="superscript"/>
        <sz val="11"/>
        <rFont val="Calibri"/>
        <family val="2"/>
      </rPr>
      <t>−2</t>
    </r>
  </si>
  <si>
    <r>
      <t>1.31 × 10</t>
    </r>
    <r>
      <rPr>
        <vertAlign val="superscript"/>
        <sz val="11"/>
        <rFont val="Calibri"/>
        <family val="2"/>
      </rPr>
      <t>−2</t>
    </r>
  </si>
  <si>
    <r>
      <t>0.69 × 10</t>
    </r>
    <r>
      <rPr>
        <vertAlign val="superscript"/>
        <sz val="11"/>
        <rFont val="Calibri"/>
        <family val="2"/>
      </rPr>
      <t>−2</t>
    </r>
  </si>
  <si>
    <r>
      <t>1.04 × 10</t>
    </r>
    <r>
      <rPr>
        <vertAlign val="superscript"/>
        <sz val="11"/>
        <rFont val="Calibri"/>
        <family val="2"/>
      </rPr>
      <t>−2</t>
    </r>
  </si>
  <si>
    <r>
      <t>1.252 × 10</t>
    </r>
    <r>
      <rPr>
        <vertAlign val="superscript"/>
        <sz val="11"/>
        <rFont val="Aptos Narrow"/>
        <family val="2"/>
        <scheme val="minor"/>
      </rPr>
      <t>6</t>
    </r>
  </si>
  <si>
    <r>
      <t>2.472 × 10</t>
    </r>
    <r>
      <rPr>
        <vertAlign val="superscript"/>
        <sz val="11"/>
        <rFont val="Calibri"/>
        <family val="2"/>
      </rPr>
      <t>6</t>
    </r>
  </si>
  <si>
    <r>
      <t>7.56 × 10</t>
    </r>
    <r>
      <rPr>
        <vertAlign val="superscript"/>
        <sz val="11"/>
        <rFont val="Calibri"/>
        <family val="2"/>
      </rPr>
      <t>5</t>
    </r>
  </si>
  <si>
    <r>
      <t>PM</t>
    </r>
    <r>
      <rPr>
        <vertAlign val="subscript"/>
        <sz val="11"/>
        <rFont val="Aptos Narrow"/>
        <family val="2"/>
        <scheme val="minor"/>
      </rPr>
      <t>10</t>
    </r>
  </si>
  <si>
    <r>
      <t>PM</t>
    </r>
    <r>
      <rPr>
        <vertAlign val="subscript"/>
        <sz val="11"/>
        <rFont val="Aptos Narrow"/>
        <family val="2"/>
        <scheme val="minor"/>
      </rPr>
      <t>2.5</t>
    </r>
  </si>
  <si>
    <t>=HYPERLINK("http://dx.doi.org/10.1007/s11270-022-05650-5","http://dx.doi.org/10.1007/s11270-022-05650-5")</t>
  </si>
  <si>
    <t>latitude</t>
  </si>
  <si>
    <t>longitude</t>
  </si>
  <si>
    <t>deposition</t>
  </si>
  <si>
    <t>abundance</t>
  </si>
  <si>
    <t>group</t>
  </si>
  <si>
    <t>value</t>
  </si>
  <si>
    <t>TI269_1</t>
  </si>
  <si>
    <t>urban_rural</t>
  </si>
  <si>
    <t>rural?</t>
  </si>
  <si>
    <t>20 ~ 33</t>
  </si>
  <si>
    <t>75 ~ 95</t>
  </si>
  <si>
    <r>
      <t>deposition (MPs/m</t>
    </r>
    <r>
      <rPr>
        <vertAlign val="superscript"/>
        <sz val="11"/>
        <color theme="0"/>
        <rFont val="Calibri"/>
        <family val="2"/>
      </rPr>
      <t>2</t>
    </r>
    <r>
      <rPr>
        <sz val="11"/>
        <color theme="0"/>
        <rFont val="Calibri"/>
        <family val="2"/>
      </rPr>
      <t xml:space="preserve"> d)</t>
    </r>
  </si>
  <si>
    <r>
      <t>abundance (MPs/m</t>
    </r>
    <r>
      <rPr>
        <vertAlign val="superscript"/>
        <sz val="11"/>
        <color theme="0"/>
        <rFont val="Calibri"/>
        <family val="2"/>
      </rPr>
      <t>3</t>
    </r>
    <r>
      <rPr>
        <sz val="11"/>
        <color theme="0"/>
        <rFont val="Calibri"/>
        <family val="2"/>
      </rPr>
      <t>)</t>
    </r>
  </si>
  <si>
    <t>SampleID</t>
  </si>
  <si>
    <t>Country</t>
  </si>
  <si>
    <t>City</t>
  </si>
  <si>
    <t>PaperID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</si>
</sst>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sz val="11"/>
      <color rgb="FFFF0000"/>
      <name val="Aptos Narrow"/>
      <family val="2"/>
      <scheme val="minor"/>
    </font>
    <font>
      <sz val="8"/>
      <name val="Aptos Narrow"/>
      <family val="2"/>
      <scheme val="minor"/>
    </font>
    <font>
      <sz val="10"/>
      <name val="Arial"/>
      <family val="2"/>
    </font>
    <font>
      <sz val="11"/>
      <name val="Aptos Narrow"/>
      <family val="2"/>
      <scheme val="minor"/>
    </font>
    <font>
      <vertAlign val="superscript"/>
      <sz val="11"/>
      <name val="Calibri"/>
      <family val="2"/>
    </font>
    <font>
      <sz val="11"/>
      <name val="Calibri"/>
      <family val="2"/>
    </font>
    <font>
      <vertAlign val="superscript"/>
      <sz val="11"/>
      <name val="Aptos Narrow"/>
      <family val="2"/>
      <scheme val="minor"/>
    </font>
    <font>
      <sz val="8"/>
      <name val="Georgia"/>
      <family val="1"/>
    </font>
    <font>
      <vertAlign val="subscript"/>
      <sz val="11"/>
      <name val="Aptos Narrow"/>
      <family val="2"/>
      <scheme val="minor"/>
    </font>
    <font>
      <sz val="9"/>
      <name val="Aptos Narrow"/>
      <family val="3"/>
      <charset val="134"/>
      <scheme val="minor"/>
    </font>
    <font>
      <sz val="11"/>
      <color theme="0"/>
      <name val="Aptos Narrow"/>
      <family val="2"/>
      <scheme val="minor"/>
    </font>
    <font>
      <vertAlign val="superscript"/>
      <sz val="11"/>
      <color theme="0"/>
      <name val="Calibri"/>
      <family val="2"/>
    </font>
    <font>
      <sz val="11"/>
      <color theme="0"/>
      <name val="Calibri"/>
      <family val="2"/>
    </font>
  </fonts>
  <fills count="4">
    <fill>
      <patternFill patternType="none"/>
    </fill>
    <fill>
      <patternFill patternType="gray125"/>
    </fill>
    <fill>
      <patternFill patternType="solid">
        <fgColor theme="4" tint="0.79998168889431442"/>
        <bgColor indexed="64"/>
      </patternFill>
    </fill>
    <fill>
      <patternFill patternType="solid">
        <fgColor theme="3" tint="0.499984740745262"/>
        <bgColor indexed="64"/>
      </patternFill>
    </fill>
  </fills>
  <borders count="10">
    <border>
      <left/>
      <right/>
      <top/>
      <bottom/>
      <diagonal/>
    </border>
    <border>
      <left style="thin">
        <color indexed="64"/>
      </left>
      <right style="thin">
        <color theme="3" tint="0.24994659260841701"/>
      </right>
      <top style="thin">
        <color indexed="64"/>
      </top>
      <bottom style="thin">
        <color theme="3" tint="0.24994659260841701"/>
      </bottom>
      <diagonal/>
    </border>
    <border>
      <left style="thin">
        <color theme="3" tint="0.24994659260841701"/>
      </left>
      <right style="thin">
        <color theme="3" tint="0.24994659260841701"/>
      </right>
      <top style="thin">
        <color indexed="64"/>
      </top>
      <bottom style="thin">
        <color theme="3" tint="0.24994659260841701"/>
      </bottom>
      <diagonal/>
    </border>
    <border>
      <left style="thin">
        <color theme="3" tint="0.24994659260841701"/>
      </left>
      <right style="thin">
        <color indexed="64"/>
      </right>
      <top style="thin">
        <color indexed="64"/>
      </top>
      <bottom style="thin">
        <color theme="3" tint="0.24994659260841701"/>
      </bottom>
      <diagonal/>
    </border>
    <border>
      <left style="thin">
        <color indexed="64"/>
      </left>
      <right style="thin">
        <color theme="3" tint="0.24994659260841701"/>
      </right>
      <top style="thin">
        <color theme="3" tint="0.24994659260841701"/>
      </top>
      <bottom style="thin">
        <color theme="3" tint="0.24994659260841701"/>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24994659260841701"/>
      </left>
      <right style="thin">
        <color indexed="64"/>
      </right>
      <top style="thin">
        <color theme="3" tint="0.24994659260841701"/>
      </top>
      <bottom style="thin">
        <color theme="3" tint="0.24994659260841701"/>
      </bottom>
      <diagonal/>
    </border>
    <border>
      <left style="thin">
        <color indexed="64"/>
      </left>
      <right style="thin">
        <color theme="3" tint="0.24994659260841701"/>
      </right>
      <top style="thin">
        <color theme="3" tint="0.24994659260841701"/>
      </top>
      <bottom style="thin">
        <color indexed="64"/>
      </bottom>
      <diagonal/>
    </border>
    <border>
      <left style="thin">
        <color theme="3" tint="0.24994659260841701"/>
      </left>
      <right style="thin">
        <color theme="3" tint="0.24994659260841701"/>
      </right>
      <top style="thin">
        <color theme="3" tint="0.24994659260841701"/>
      </top>
      <bottom style="thin">
        <color indexed="64"/>
      </bottom>
      <diagonal/>
    </border>
    <border>
      <left style="thin">
        <color theme="3" tint="0.24994659260841701"/>
      </left>
      <right style="thin">
        <color indexed="64"/>
      </right>
      <top style="thin">
        <color theme="3" tint="0.24994659260841701"/>
      </top>
      <bottom style="thin">
        <color indexed="64"/>
      </bottom>
      <diagonal/>
    </border>
  </borders>
  <cellStyleXfs count="2">
    <xf numFmtId="0" fontId="0" fillId="0" borderId="0"/>
    <xf numFmtId="0" fontId="3" fillId="0" borderId="0"/>
  </cellStyleXfs>
  <cellXfs count="15">
    <xf numFmtId="0" fontId="0" fillId="0" borderId="0" xfId="0"/>
    <xf numFmtId="0" fontId="1" fillId="0" borderId="0" xfId="0" applyFont="1"/>
    <xf numFmtId="0" fontId="3" fillId="0" borderId="0" xfId="1"/>
    <xf numFmtId="0" fontId="3" fillId="2" borderId="0" xfId="1" applyFill="1"/>
    <xf numFmtId="0" fontId="11" fillId="3" borderId="1" xfId="0" applyFont="1" applyFill="1" applyBorder="1"/>
    <xf numFmtId="0" fontId="11" fillId="3" borderId="2" xfId="0" applyFont="1" applyFill="1" applyBorder="1"/>
    <xf numFmtId="0" fontId="11" fillId="3" borderId="3" xfId="0" applyFont="1" applyFill="1" applyBorder="1"/>
    <xf numFmtId="0" fontId="4" fillId="0" borderId="4" xfId="0" applyFont="1" applyBorder="1"/>
    <xf numFmtId="0" fontId="4" fillId="0" borderId="5" xfId="0" applyFont="1" applyBorder="1"/>
    <xf numFmtId="0" fontId="0" fillId="0" borderId="5" xfId="0" applyBorder="1"/>
    <xf numFmtId="0" fontId="4" fillId="0" borderId="6" xfId="0" applyFont="1" applyBorder="1"/>
    <xf numFmtId="0" fontId="4" fillId="0" borderId="7" xfId="0" applyFont="1" applyBorder="1"/>
    <xf numFmtId="0" fontId="4" fillId="0" borderId="8" xfId="0" applyFont="1" applyBorder="1"/>
    <xf numFmtId="0" fontId="0" fillId="0" borderId="8" xfId="0" applyBorder="1"/>
    <xf numFmtId="0" fontId="4" fillId="0" borderId="9" xfId="0" applyFont="1" applyBorder="1"/>
  </cellXfs>
  <cellStyles count="2">
    <cellStyle name="常规" xfId="0" builtinId="0"/>
    <cellStyle name="常规 2" xfId="1" xr:uid="{E57A32E0-4968-4FAD-A086-FB14ECCEB75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rus.ucf.edu.cu/index.php/rus/article/view/415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0E373-715B-4F4D-9E25-74EA684576E1}">
  <dimension ref="A1:DR359"/>
  <sheetViews>
    <sheetView tabSelected="1" zoomScale="115" zoomScaleNormal="115" workbookViewId="0"/>
  </sheetViews>
  <sheetFormatPr defaultColWidth="9" defaultRowHeight="12.75" x14ac:dyDescent="0.2"/>
  <cols>
    <col min="1" max="1" width="10.28515625" style="2" customWidth="1"/>
    <col min="2" max="2" width="17" style="2" customWidth="1"/>
    <col min="3" max="3" width="26.5703125" style="2" customWidth="1"/>
    <col min="4" max="4" width="29.42578125" style="2" customWidth="1"/>
    <col min="5" max="5" width="15.5703125" style="2" bestFit="1" customWidth="1"/>
    <col min="6" max="6" width="7.7109375" style="2" bestFit="1" customWidth="1"/>
    <col min="7" max="7" width="5.7109375" style="2" bestFit="1" customWidth="1"/>
    <col min="8" max="8" width="9.7109375" style="2" bestFit="1" customWidth="1"/>
    <col min="9" max="9" width="9" style="2" bestFit="1" customWidth="1"/>
    <col min="10" max="10" width="19.85546875" style="2" bestFit="1" customWidth="1"/>
    <col min="11" max="11" width="42.42578125" style="2" customWidth="1"/>
    <col min="12" max="12" width="19.5703125" style="2" customWidth="1"/>
    <col min="13" max="13" width="21" style="2" bestFit="1" customWidth="1"/>
    <col min="14" max="16384" width="9" style="2"/>
  </cols>
  <sheetData>
    <row r="1" spans="1:13" ht="15" x14ac:dyDescent="0.25">
      <c r="A1" s="4" t="s">
        <v>2396</v>
      </c>
      <c r="B1" s="5" t="s">
        <v>2357</v>
      </c>
      <c r="C1" s="5" t="s">
        <v>2356</v>
      </c>
      <c r="D1" s="5" t="s">
        <v>2355</v>
      </c>
      <c r="E1" s="5" t="s">
        <v>2354</v>
      </c>
      <c r="F1" s="5" t="s">
        <v>2353</v>
      </c>
      <c r="G1" s="5" t="s">
        <v>2352</v>
      </c>
      <c r="H1" s="5" t="s">
        <v>2351</v>
      </c>
      <c r="I1" s="5" t="s">
        <v>2350</v>
      </c>
      <c r="J1" s="5" t="s">
        <v>2349</v>
      </c>
      <c r="K1" s="5" t="s">
        <v>2348</v>
      </c>
      <c r="L1" s="5" t="s">
        <v>2347</v>
      </c>
      <c r="M1" s="5" t="s">
        <v>2346</v>
      </c>
    </row>
    <row r="2" spans="1:13" ht="15" x14ac:dyDescent="0.25">
      <c r="A2" s="7" t="s">
        <v>491</v>
      </c>
      <c r="B2" s="8" t="s">
        <v>2345</v>
      </c>
      <c r="C2" s="8" t="s">
        <v>2344</v>
      </c>
      <c r="D2" s="8" t="s">
        <v>1386</v>
      </c>
      <c r="E2" s="8">
        <v>2023</v>
      </c>
      <c r="F2" s="8">
        <v>30</v>
      </c>
      <c r="G2" s="8">
        <v>18</v>
      </c>
      <c r="H2" s="9">
        <v>53662</v>
      </c>
      <c r="I2" s="9">
        <v>53673</v>
      </c>
      <c r="J2" s="8" t="s">
        <v>1186</v>
      </c>
      <c r="K2" s="8" t="str">
        <f>HYPERLINK("http://dx.doi.org/10.1007/s11356-023-26117-y","http://dx.doi.org/10.1007/s11356-023-26117-y")</f>
        <v>http://dx.doi.org/10.1007/s11356-023-26117-y</v>
      </c>
      <c r="L2" s="8"/>
      <c r="M2" s="8" t="s">
        <v>2332</v>
      </c>
    </row>
    <row r="3" spans="1:13" ht="15" x14ac:dyDescent="0.25">
      <c r="A3" s="7" t="s">
        <v>2343</v>
      </c>
      <c r="B3" s="8" t="s">
        <v>2342</v>
      </c>
      <c r="C3" s="8" t="s">
        <v>2341</v>
      </c>
      <c r="D3" s="8" t="s">
        <v>2340</v>
      </c>
      <c r="E3" s="8">
        <v>2020</v>
      </c>
      <c r="F3" s="8">
        <v>1</v>
      </c>
      <c r="G3" s="8">
        <v>1</v>
      </c>
      <c r="H3" s="9" t="s">
        <v>1186</v>
      </c>
      <c r="I3" s="9" t="s">
        <v>1186</v>
      </c>
      <c r="J3" s="8">
        <v>64</v>
      </c>
      <c r="K3" s="8" t="str">
        <f>HYPERLINK("http://dx.doi.org/10.1038/s43247-020-00061-y","http://dx.doi.org/10.1038/s43247-020-00061-y")</f>
        <v>http://dx.doi.org/10.1038/s43247-020-00061-y</v>
      </c>
      <c r="L3" s="8"/>
      <c r="M3" s="8" t="s">
        <v>2332</v>
      </c>
    </row>
    <row r="4" spans="1:13" ht="15" x14ac:dyDescent="0.25">
      <c r="A4" s="7" t="s">
        <v>2339</v>
      </c>
      <c r="B4" s="8" t="s">
        <v>2338</v>
      </c>
      <c r="C4" s="8" t="s">
        <v>2337</v>
      </c>
      <c r="D4" s="8" t="s">
        <v>2336</v>
      </c>
      <c r="E4" s="8">
        <v>2021</v>
      </c>
      <c r="F4" s="8">
        <v>28</v>
      </c>
      <c r="G4" s="8" t="s">
        <v>1186</v>
      </c>
      <c r="H4" s="9">
        <v>848</v>
      </c>
      <c r="I4" s="9">
        <v>865</v>
      </c>
      <c r="J4" s="8" t="s">
        <v>1186</v>
      </c>
      <c r="K4" s="8" t="str">
        <f>HYPERLINK("http://dx.doi.org/10.1016/j.spc.2021.07.008","http://dx.doi.org/10.1016/j.spc.2021.07.008")</f>
        <v>http://dx.doi.org/10.1016/j.spc.2021.07.008</v>
      </c>
      <c r="L4" s="8" t="s">
        <v>2332</v>
      </c>
      <c r="M4" s="8"/>
    </row>
    <row r="5" spans="1:13" ht="15" x14ac:dyDescent="0.25">
      <c r="A5" s="7" t="s">
        <v>2335</v>
      </c>
      <c r="B5" s="8" t="s">
        <v>2334</v>
      </c>
      <c r="C5" s="8" t="s">
        <v>2333</v>
      </c>
      <c r="D5" s="8" t="s">
        <v>1879</v>
      </c>
      <c r="E5" s="8">
        <v>2022</v>
      </c>
      <c r="F5" s="8">
        <v>225</v>
      </c>
      <c r="G5" s="8" t="s">
        <v>1186</v>
      </c>
      <c r="H5" s="9" t="s">
        <v>1186</v>
      </c>
      <c r="I5" s="9" t="s">
        <v>1186</v>
      </c>
      <c r="J5" s="8">
        <v>119116</v>
      </c>
      <c r="K5" s="8" t="str">
        <f>HYPERLINK("http://dx.doi.org/10.1016/j.watres.2022.119116","http://dx.doi.org/10.1016/j.watres.2022.119116")</f>
        <v>http://dx.doi.org/10.1016/j.watres.2022.119116</v>
      </c>
      <c r="L5" s="8"/>
      <c r="M5" s="8" t="s">
        <v>2332</v>
      </c>
    </row>
    <row r="6" spans="1:13" ht="15" x14ac:dyDescent="0.25">
      <c r="A6" s="7" t="s">
        <v>2331</v>
      </c>
      <c r="B6" s="8" t="s">
        <v>2330</v>
      </c>
      <c r="C6" s="8" t="s">
        <v>2329</v>
      </c>
      <c r="D6" s="8" t="s">
        <v>1195</v>
      </c>
      <c r="E6" s="8">
        <v>2021</v>
      </c>
      <c r="F6" s="8">
        <v>418</v>
      </c>
      <c r="G6" s="8" t="s">
        <v>1186</v>
      </c>
      <c r="H6" s="9" t="s">
        <v>1186</v>
      </c>
      <c r="I6" s="9" t="s">
        <v>1186</v>
      </c>
      <c r="J6" s="8">
        <v>126329</v>
      </c>
      <c r="K6" s="8" t="str">
        <f>HYPERLINK("http://dx.doi.org/10.1016/j.jhazmat.2021.126329","http://dx.doi.org/10.1016/j.jhazmat.2021.126329")</f>
        <v>http://dx.doi.org/10.1016/j.jhazmat.2021.126329</v>
      </c>
      <c r="L6" s="8" t="s">
        <v>1185</v>
      </c>
      <c r="M6" s="8"/>
    </row>
    <row r="7" spans="1:13" ht="15" x14ac:dyDescent="0.25">
      <c r="A7" s="7" t="s">
        <v>2328</v>
      </c>
      <c r="B7" s="8" t="s">
        <v>2327</v>
      </c>
      <c r="C7" s="8" t="s">
        <v>2326</v>
      </c>
      <c r="D7" s="8" t="s">
        <v>2325</v>
      </c>
      <c r="E7" s="8">
        <v>2024</v>
      </c>
      <c r="F7" s="8" t="s">
        <v>1186</v>
      </c>
      <c r="G7" s="8" t="s">
        <v>1186</v>
      </c>
      <c r="H7" s="9" t="s">
        <v>1186</v>
      </c>
      <c r="I7" s="9" t="s">
        <v>1186</v>
      </c>
      <c r="J7" s="8" t="s">
        <v>1186</v>
      </c>
      <c r="K7" s="8" t="str">
        <f>HYPERLINK("http://dx.doi.org/10.1002/adma.202400681","http://dx.doi.org/10.1002/adma.202400681")</f>
        <v>http://dx.doi.org/10.1002/adma.202400681</v>
      </c>
      <c r="L7" s="8" t="s">
        <v>1185</v>
      </c>
      <c r="M7" s="8"/>
    </row>
    <row r="8" spans="1:13" ht="15" x14ac:dyDescent="0.25">
      <c r="A8" s="7" t="s">
        <v>2324</v>
      </c>
      <c r="B8" s="8" t="s">
        <v>2323</v>
      </c>
      <c r="C8" s="8" t="s">
        <v>2322</v>
      </c>
      <c r="D8" s="8" t="s">
        <v>1195</v>
      </c>
      <c r="E8" s="8">
        <v>2022</v>
      </c>
      <c r="F8" s="8">
        <v>434</v>
      </c>
      <c r="G8" s="8" t="s">
        <v>1186</v>
      </c>
      <c r="H8" s="9" t="s">
        <v>1186</v>
      </c>
      <c r="I8" s="9" t="s">
        <v>1186</v>
      </c>
      <c r="J8" s="8">
        <v>128891</v>
      </c>
      <c r="K8" s="8" t="str">
        <f>HYPERLINK("http://dx.doi.org/10.1016/j.jhazmat.2022.128891","http://dx.doi.org/10.1016/j.jhazmat.2022.128891")</f>
        <v>http://dx.doi.org/10.1016/j.jhazmat.2022.128891</v>
      </c>
      <c r="L8" s="8" t="s">
        <v>1185</v>
      </c>
      <c r="M8" s="8"/>
    </row>
    <row r="9" spans="1:13" ht="15" x14ac:dyDescent="0.25">
      <c r="A9" s="7" t="s">
        <v>2321</v>
      </c>
      <c r="B9" s="8" t="s">
        <v>2320</v>
      </c>
      <c r="C9" s="8" t="s">
        <v>2319</v>
      </c>
      <c r="D9" s="8" t="s">
        <v>1214</v>
      </c>
      <c r="E9" s="8">
        <v>2022</v>
      </c>
      <c r="F9" s="8">
        <v>832</v>
      </c>
      <c r="G9" s="8" t="s">
        <v>1186</v>
      </c>
      <c r="H9" s="9" t="s">
        <v>1186</v>
      </c>
      <c r="I9" s="9" t="s">
        <v>1186</v>
      </c>
      <c r="J9" s="8">
        <v>155008</v>
      </c>
      <c r="K9" s="8" t="str">
        <f>HYPERLINK("http://dx.doi.org/10.1016/j.scitotenv.2022.155008","http://dx.doi.org/10.1016/j.scitotenv.2022.155008")</f>
        <v>http://dx.doi.org/10.1016/j.scitotenv.2022.155008</v>
      </c>
      <c r="L9" s="8"/>
      <c r="M9" s="8" t="s">
        <v>1185</v>
      </c>
    </row>
    <row r="10" spans="1:13" ht="15" x14ac:dyDescent="0.25">
      <c r="A10" s="7" t="s">
        <v>2318</v>
      </c>
      <c r="B10" s="8" t="s">
        <v>2317</v>
      </c>
      <c r="C10" s="8" t="s">
        <v>2316</v>
      </c>
      <c r="D10" s="8" t="s">
        <v>1879</v>
      </c>
      <c r="E10" s="8">
        <v>2022</v>
      </c>
      <c r="F10" s="8">
        <v>222</v>
      </c>
      <c r="G10" s="8" t="s">
        <v>1186</v>
      </c>
      <c r="H10" s="9" t="s">
        <v>1186</v>
      </c>
      <c r="I10" s="9" t="s">
        <v>1186</v>
      </c>
      <c r="J10" s="8">
        <v>118856</v>
      </c>
      <c r="K10" s="8" t="str">
        <f>HYPERLINK("http://dx.doi.org/10.1016/j.watres.2022.118856","http://dx.doi.org/10.1016/j.watres.2022.118856")</f>
        <v>http://dx.doi.org/10.1016/j.watres.2022.118856</v>
      </c>
      <c r="L10" s="8" t="s">
        <v>1185</v>
      </c>
      <c r="M10" s="8"/>
    </row>
    <row r="11" spans="1:13" ht="15" x14ac:dyDescent="0.25">
      <c r="A11" s="7" t="s">
        <v>2315</v>
      </c>
      <c r="B11" s="8" t="s">
        <v>2314</v>
      </c>
      <c r="C11" s="8" t="s">
        <v>2313</v>
      </c>
      <c r="D11" s="8" t="s">
        <v>1370</v>
      </c>
      <c r="E11" s="8">
        <v>2021</v>
      </c>
      <c r="F11" s="8">
        <v>282</v>
      </c>
      <c r="G11" s="8" t="s">
        <v>1186</v>
      </c>
      <c r="H11" s="9" t="s">
        <v>1186</v>
      </c>
      <c r="I11" s="9" t="s">
        <v>1186</v>
      </c>
      <c r="J11" s="8">
        <v>131053</v>
      </c>
      <c r="K11" s="8" t="str">
        <f>HYPERLINK("http://dx.doi.org/10.1016/j.chemosphere.2021.131053","http://dx.doi.org/10.1016/j.chemosphere.2021.131053")</f>
        <v>http://dx.doi.org/10.1016/j.chemosphere.2021.131053</v>
      </c>
      <c r="L11" s="8" t="s">
        <v>1185</v>
      </c>
      <c r="M11" s="8"/>
    </row>
    <row r="12" spans="1:13" ht="15" x14ac:dyDescent="0.25">
      <c r="A12" s="7" t="s">
        <v>2312</v>
      </c>
      <c r="B12" s="8" t="s">
        <v>2311</v>
      </c>
      <c r="C12" s="8" t="s">
        <v>2310</v>
      </c>
      <c r="D12" s="8" t="s">
        <v>2309</v>
      </c>
      <c r="E12" s="8">
        <v>2021</v>
      </c>
      <c r="F12" s="8">
        <v>118</v>
      </c>
      <c r="G12" s="8">
        <v>16</v>
      </c>
      <c r="H12" s="9" t="s">
        <v>1186</v>
      </c>
      <c r="I12" s="9" t="s">
        <v>1186</v>
      </c>
      <c r="J12" s="8" t="s">
        <v>2308</v>
      </c>
      <c r="K12" s="8" t="str">
        <f>HYPERLINK("http://dx.doi.org/10.1073/pnas.2020719118","http://dx.doi.org/10.1073/pnas.2020719118")</f>
        <v>http://dx.doi.org/10.1073/pnas.2020719118</v>
      </c>
      <c r="L12" s="8"/>
      <c r="M12" s="8" t="s">
        <v>1185</v>
      </c>
    </row>
    <row r="13" spans="1:13" ht="15" x14ac:dyDescent="0.25">
      <c r="A13" s="7" t="s">
        <v>2307</v>
      </c>
      <c r="B13" s="8" t="s">
        <v>2306</v>
      </c>
      <c r="C13" s="8" t="s">
        <v>2305</v>
      </c>
      <c r="D13" s="8" t="s">
        <v>2304</v>
      </c>
      <c r="E13" s="8">
        <v>2023</v>
      </c>
      <c r="F13" s="8">
        <v>8</v>
      </c>
      <c r="G13" s="8" t="s">
        <v>1186</v>
      </c>
      <c r="H13" s="9">
        <v>1</v>
      </c>
      <c r="I13" s="9">
        <v>7</v>
      </c>
      <c r="J13" s="8" t="s">
        <v>1186</v>
      </c>
      <c r="K13" s="8" t="str">
        <f>HYPERLINK("http://dx.doi.org/10.1139/facets-2023-0061","http://dx.doi.org/10.1139/facets-2023-0061")</f>
        <v>http://dx.doi.org/10.1139/facets-2023-0061</v>
      </c>
      <c r="L13" s="8" t="s">
        <v>1185</v>
      </c>
      <c r="M13" s="8"/>
    </row>
    <row r="14" spans="1:13" ht="15" x14ac:dyDescent="0.25">
      <c r="A14" s="7" t="s">
        <v>2303</v>
      </c>
      <c r="B14" s="8" t="s">
        <v>2302</v>
      </c>
      <c r="C14" s="8" t="s">
        <v>2301</v>
      </c>
      <c r="D14" s="8" t="s">
        <v>2300</v>
      </c>
      <c r="E14" s="8">
        <v>2022</v>
      </c>
      <c r="F14" s="8">
        <v>34</v>
      </c>
      <c r="G14" s="8">
        <v>2</v>
      </c>
      <c r="H14" s="9">
        <v>299</v>
      </c>
      <c r="I14" s="9">
        <v>307</v>
      </c>
      <c r="J14" s="8" t="s">
        <v>1186</v>
      </c>
      <c r="K14" s="8" t="str">
        <f>HYPERLINK("http://dx.doi.org/10.17576/jkukm-2022-34(2)-13","http://dx.doi.org/10.17576/jkukm-2022-34(2)-13")</f>
        <v>http://dx.doi.org/10.17576/jkukm-2022-34(2)-13</v>
      </c>
      <c r="L14" s="8" t="s">
        <v>1185</v>
      </c>
      <c r="M14" s="8"/>
    </row>
    <row r="15" spans="1:13" ht="15" x14ac:dyDescent="0.25">
      <c r="A15" s="7" t="s">
        <v>2299</v>
      </c>
      <c r="B15" s="8" t="s">
        <v>2298</v>
      </c>
      <c r="C15" s="8" t="s">
        <v>2297</v>
      </c>
      <c r="D15" s="8" t="s">
        <v>1251</v>
      </c>
      <c r="E15" s="8">
        <v>2018</v>
      </c>
      <c r="F15" s="8">
        <v>52</v>
      </c>
      <c r="G15" s="8">
        <v>20</v>
      </c>
      <c r="H15" s="9">
        <v>11699</v>
      </c>
      <c r="I15" s="9">
        <v>11707</v>
      </c>
      <c r="J15" s="8" t="s">
        <v>1186</v>
      </c>
      <c r="K15" s="8" t="str">
        <f>HYPERLINK("http://dx.doi.org/10.1021/acs.est.8b02855","http://dx.doi.org/10.1021/acs.est.8b02855")</f>
        <v>http://dx.doi.org/10.1021/acs.est.8b02855</v>
      </c>
      <c r="L15" s="8" t="s">
        <v>1185</v>
      </c>
      <c r="M15" s="8"/>
    </row>
    <row r="16" spans="1:13" ht="15" x14ac:dyDescent="0.25">
      <c r="A16" s="7" t="s">
        <v>2296</v>
      </c>
      <c r="B16" s="8" t="s">
        <v>2295</v>
      </c>
      <c r="C16" s="8" t="s">
        <v>2294</v>
      </c>
      <c r="D16" s="8" t="s">
        <v>2293</v>
      </c>
      <c r="E16" s="8">
        <v>2024</v>
      </c>
      <c r="F16" s="8">
        <v>84</v>
      </c>
      <c r="G16" s="8">
        <v>3</v>
      </c>
      <c r="H16" s="9" t="s">
        <v>1186</v>
      </c>
      <c r="I16" s="9" t="s">
        <v>1186</v>
      </c>
      <c r="J16" s="8">
        <v>255</v>
      </c>
      <c r="K16" s="8" t="str">
        <f>HYPERLINK("http://dx.doi.org/10.1140/epjc/s10052-024-12529-8","http://dx.doi.org/10.1140/epjc/s10052-024-12529-8")</f>
        <v>http://dx.doi.org/10.1140/epjc/s10052-024-12529-8</v>
      </c>
      <c r="L16" s="8" t="s">
        <v>1185</v>
      </c>
      <c r="M16" s="8"/>
    </row>
    <row r="17" spans="1:13" ht="15" x14ac:dyDescent="0.25">
      <c r="A17" s="7" t="s">
        <v>2292</v>
      </c>
      <c r="B17" s="8" t="s">
        <v>2291</v>
      </c>
      <c r="C17" s="8" t="s">
        <v>2290</v>
      </c>
      <c r="D17" s="8" t="s">
        <v>1195</v>
      </c>
      <c r="E17" s="8">
        <v>2023</v>
      </c>
      <c r="F17" s="8">
        <v>450</v>
      </c>
      <c r="G17" s="8" t="s">
        <v>1186</v>
      </c>
      <c r="H17" s="9" t="s">
        <v>1186</v>
      </c>
      <c r="I17" s="9" t="s">
        <v>1186</v>
      </c>
      <c r="J17" s="8">
        <v>131036</v>
      </c>
      <c r="K17" s="8" t="str">
        <f>HYPERLINK("http://dx.doi.org/10.1016/j.jhazmat.2023.131036","http://dx.doi.org/10.1016/j.jhazmat.2023.131036")</f>
        <v>http://dx.doi.org/10.1016/j.jhazmat.2023.131036</v>
      </c>
      <c r="L17" s="8"/>
      <c r="M17" s="8" t="s">
        <v>1185</v>
      </c>
    </row>
    <row r="18" spans="1:13" ht="15" x14ac:dyDescent="0.25">
      <c r="A18" s="7" t="s">
        <v>337</v>
      </c>
      <c r="B18" s="8" t="s">
        <v>2289</v>
      </c>
      <c r="C18" s="8" t="s">
        <v>2288</v>
      </c>
      <c r="D18" s="8" t="s">
        <v>1195</v>
      </c>
      <c r="E18" s="8">
        <v>2023</v>
      </c>
      <c r="F18" s="8">
        <v>458</v>
      </c>
      <c r="G18" s="8" t="s">
        <v>1186</v>
      </c>
      <c r="H18" s="9" t="s">
        <v>1186</v>
      </c>
      <c r="I18" s="9" t="s">
        <v>1186</v>
      </c>
      <c r="J18" s="8">
        <v>131883</v>
      </c>
      <c r="K18" s="8" t="str">
        <f>HYPERLINK("http://dx.doi.org/10.1016/j.jhazmat.2023.131883","http://dx.doi.org/10.1016/j.jhazmat.2023.131883")</f>
        <v>http://dx.doi.org/10.1016/j.jhazmat.2023.131883</v>
      </c>
      <c r="L18" s="8"/>
      <c r="M18" s="8" t="s">
        <v>1185</v>
      </c>
    </row>
    <row r="19" spans="1:13" ht="15" x14ac:dyDescent="0.25">
      <c r="A19" s="7" t="s">
        <v>2287</v>
      </c>
      <c r="B19" s="8" t="s">
        <v>2286</v>
      </c>
      <c r="C19" s="8" t="s">
        <v>2285</v>
      </c>
      <c r="D19" s="8" t="s">
        <v>2004</v>
      </c>
      <c r="E19" s="8">
        <v>2023</v>
      </c>
      <c r="F19" s="8">
        <v>16</v>
      </c>
      <c r="G19" s="8">
        <v>2</v>
      </c>
      <c r="H19" s="9">
        <v>233</v>
      </c>
      <c r="I19" s="9">
        <v>262</v>
      </c>
      <c r="J19" s="8" t="s">
        <v>1186</v>
      </c>
      <c r="K19" s="8" t="str">
        <f>HYPERLINK("http://dx.doi.org/10.1007/s11869-022-01272-2","http://dx.doi.org/10.1007/s11869-022-01272-2")</f>
        <v>http://dx.doi.org/10.1007/s11869-022-01272-2</v>
      </c>
      <c r="L19" s="8" t="s">
        <v>1184</v>
      </c>
      <c r="M19" s="8" t="s">
        <v>1184</v>
      </c>
    </row>
    <row r="20" spans="1:13" ht="15" x14ac:dyDescent="0.25">
      <c r="A20" s="7" t="s">
        <v>2284</v>
      </c>
      <c r="B20" s="8" t="s">
        <v>2283</v>
      </c>
      <c r="C20" s="8" t="s">
        <v>2282</v>
      </c>
      <c r="D20" s="8" t="s">
        <v>2281</v>
      </c>
      <c r="E20" s="8">
        <v>2015</v>
      </c>
      <c r="F20" s="8">
        <v>20</v>
      </c>
      <c r="G20" s="8">
        <v>10</v>
      </c>
      <c r="H20" s="9">
        <v>1429</v>
      </c>
      <c r="I20" s="9">
        <v>1443</v>
      </c>
      <c r="J20" s="8" t="s">
        <v>1186</v>
      </c>
      <c r="K20" s="8" t="str">
        <f>HYPERLINK("http://dx.doi.org/10.1007/s11367-015-0946-z","http://dx.doi.org/10.1007/s11367-015-0946-z")</f>
        <v>http://dx.doi.org/10.1007/s11367-015-0946-z</v>
      </c>
      <c r="L20" s="8" t="s">
        <v>1185</v>
      </c>
      <c r="M20" s="8"/>
    </row>
    <row r="21" spans="1:13" ht="15" x14ac:dyDescent="0.25">
      <c r="A21" s="7" t="s">
        <v>2280</v>
      </c>
      <c r="B21" s="8" t="s">
        <v>2279</v>
      </c>
      <c r="C21" s="8" t="s">
        <v>2278</v>
      </c>
      <c r="D21" s="8" t="s">
        <v>1214</v>
      </c>
      <c r="E21" s="8">
        <v>2023</v>
      </c>
      <c r="F21" s="8">
        <v>857</v>
      </c>
      <c r="G21" s="8" t="s">
        <v>1186</v>
      </c>
      <c r="H21" s="9" t="s">
        <v>1186</v>
      </c>
      <c r="I21" s="9" t="s">
        <v>1186</v>
      </c>
      <c r="J21" s="8">
        <v>159507</v>
      </c>
      <c r="K21" s="8" t="str">
        <f>HYPERLINK("http://dx.doi.org/10.1016/j.scitotenv.2022.159507","http://dx.doi.org/10.1016/j.scitotenv.2022.159507")</f>
        <v>http://dx.doi.org/10.1016/j.scitotenv.2022.159507</v>
      </c>
      <c r="L21" s="8" t="s">
        <v>1185</v>
      </c>
      <c r="M21" s="8"/>
    </row>
    <row r="22" spans="1:13" ht="15" x14ac:dyDescent="0.25">
      <c r="A22" s="7" t="s">
        <v>2277</v>
      </c>
      <c r="B22" s="8" t="s">
        <v>2276</v>
      </c>
      <c r="C22" s="8" t="s">
        <v>2275</v>
      </c>
      <c r="D22" s="8" t="s">
        <v>2274</v>
      </c>
      <c r="E22" s="8">
        <v>2023</v>
      </c>
      <c r="F22" s="8">
        <v>8</v>
      </c>
      <c r="G22" s="8">
        <v>1</v>
      </c>
      <c r="H22" s="9" t="s">
        <v>1186</v>
      </c>
      <c r="I22" s="9" t="s">
        <v>1186</v>
      </c>
      <c r="J22" s="8">
        <v>19</v>
      </c>
      <c r="K22" s="8" t="str">
        <f>HYPERLINK("http://dx.doi.org/10.3390/data8010019","http://dx.doi.org/10.3390/data8010019")</f>
        <v>http://dx.doi.org/10.3390/data8010019</v>
      </c>
      <c r="L22" s="8" t="s">
        <v>1185</v>
      </c>
      <c r="M22" s="8"/>
    </row>
    <row r="23" spans="1:13" ht="15" x14ac:dyDescent="0.25">
      <c r="A23" s="7" t="s">
        <v>2273</v>
      </c>
      <c r="B23" s="8" t="s">
        <v>2272</v>
      </c>
      <c r="C23" s="8" t="s">
        <v>2271</v>
      </c>
      <c r="D23" s="8" t="s">
        <v>1233</v>
      </c>
      <c r="E23" s="8">
        <v>2021</v>
      </c>
      <c r="F23" s="8">
        <v>269</v>
      </c>
      <c r="G23" s="8" t="s">
        <v>1186</v>
      </c>
      <c r="H23" s="9" t="s">
        <v>1186</v>
      </c>
      <c r="I23" s="9" t="s">
        <v>1186</v>
      </c>
      <c r="J23" s="8">
        <v>116096</v>
      </c>
      <c r="K23" s="8" t="str">
        <f>HYPERLINK("http://dx.doi.org/10.1016/j.envpol.2020.116096","http://dx.doi.org/10.1016/j.envpol.2020.116096")</f>
        <v>http://dx.doi.org/10.1016/j.envpol.2020.116096</v>
      </c>
      <c r="L23" s="8" t="s">
        <v>1185</v>
      </c>
      <c r="M23" s="8"/>
    </row>
    <row r="24" spans="1:13" ht="15" x14ac:dyDescent="0.25">
      <c r="A24" s="7" t="s">
        <v>2270</v>
      </c>
      <c r="B24" s="8" t="s">
        <v>2269</v>
      </c>
      <c r="C24" s="8" t="s">
        <v>2268</v>
      </c>
      <c r="D24" s="8" t="s">
        <v>2267</v>
      </c>
      <c r="E24" s="8">
        <v>2021</v>
      </c>
      <c r="F24" s="8">
        <v>598</v>
      </c>
      <c r="G24" s="8">
        <v>7881</v>
      </c>
      <c r="H24" s="9">
        <v>462</v>
      </c>
      <c r="I24" s="9" t="s">
        <v>1779</v>
      </c>
      <c r="J24" s="8" t="s">
        <v>1186</v>
      </c>
      <c r="K24" s="8" t="str">
        <f>HYPERLINK("http://dx.doi.org/10.1038/s41586-021-03864-x","http://dx.doi.org/10.1038/s41586-021-03864-x")</f>
        <v>http://dx.doi.org/10.1038/s41586-021-03864-x</v>
      </c>
      <c r="L24" s="8" t="s">
        <v>1185</v>
      </c>
      <c r="M24" s="8"/>
    </row>
    <row r="25" spans="1:13" ht="15" x14ac:dyDescent="0.25">
      <c r="A25" s="7" t="s">
        <v>2266</v>
      </c>
      <c r="B25" s="8" t="s">
        <v>2265</v>
      </c>
      <c r="C25" s="8" t="s">
        <v>2264</v>
      </c>
      <c r="D25" s="8" t="s">
        <v>1514</v>
      </c>
      <c r="E25" s="8">
        <v>2019</v>
      </c>
      <c r="F25" s="8">
        <v>141</v>
      </c>
      <c r="G25" s="8" t="s">
        <v>1186</v>
      </c>
      <c r="H25" s="9">
        <v>595</v>
      </c>
      <c r="I25" s="9">
        <v>602</v>
      </c>
      <c r="J25" s="8" t="s">
        <v>1186</v>
      </c>
      <c r="K25" s="8" t="str">
        <f>HYPERLINK("http://dx.doi.org/10.1016/j.marpolbul.2019.02.068","http://dx.doi.org/10.1016/j.marpolbul.2019.02.068")</f>
        <v>http://dx.doi.org/10.1016/j.marpolbul.2019.02.068</v>
      </c>
      <c r="L25" s="8" t="s">
        <v>1185</v>
      </c>
      <c r="M25" s="8"/>
    </row>
    <row r="26" spans="1:13" ht="15" x14ac:dyDescent="0.25">
      <c r="A26" s="7" t="s">
        <v>2263</v>
      </c>
      <c r="B26" s="8" t="s">
        <v>2262</v>
      </c>
      <c r="C26" s="8" t="s">
        <v>2261</v>
      </c>
      <c r="D26" s="8" t="s">
        <v>2260</v>
      </c>
      <c r="E26" s="8">
        <v>2017</v>
      </c>
      <c r="F26" s="8">
        <v>68</v>
      </c>
      <c r="G26" s="8">
        <v>1</v>
      </c>
      <c r="H26" s="9">
        <v>1</v>
      </c>
      <c r="I26" s="9">
        <v>9</v>
      </c>
      <c r="J26" s="8" t="s">
        <v>1186</v>
      </c>
      <c r="K26" s="8" t="str">
        <f>HYPERLINK("http://dx.doi.org/10.13075/mp.5893.00520","http://dx.doi.org/10.13075/mp.5893.00520")</f>
        <v>http://dx.doi.org/10.13075/mp.5893.00520</v>
      </c>
      <c r="L26" s="8" t="s">
        <v>1185</v>
      </c>
      <c r="M26" s="8"/>
    </row>
    <row r="27" spans="1:13" ht="15" x14ac:dyDescent="0.25">
      <c r="A27" s="7" t="s">
        <v>2259</v>
      </c>
      <c r="B27" s="8" t="s">
        <v>2258</v>
      </c>
      <c r="C27" s="8" t="s">
        <v>2257</v>
      </c>
      <c r="D27" s="8" t="s">
        <v>2256</v>
      </c>
      <c r="E27" s="8">
        <v>2023</v>
      </c>
      <c r="F27" s="8">
        <v>722</v>
      </c>
      <c r="G27" s="8" t="s">
        <v>1186</v>
      </c>
      <c r="H27" s="9" t="s">
        <v>1186</v>
      </c>
      <c r="I27" s="9" t="s">
        <v>1186</v>
      </c>
      <c r="J27" s="8">
        <v>179467</v>
      </c>
      <c r="K27" s="8" t="str">
        <f>HYPERLINK("http://dx.doi.org/10.1016/j.tca.2023.179467","http://dx.doi.org/10.1016/j.tca.2023.179467")</f>
        <v>http://dx.doi.org/10.1016/j.tca.2023.179467</v>
      </c>
      <c r="L27" s="8" t="s">
        <v>1185</v>
      </c>
      <c r="M27" s="8"/>
    </row>
    <row r="28" spans="1:13" ht="15" x14ac:dyDescent="0.25">
      <c r="A28" s="7" t="s">
        <v>2255</v>
      </c>
      <c r="B28" s="8" t="s">
        <v>2254</v>
      </c>
      <c r="C28" s="8" t="s">
        <v>2253</v>
      </c>
      <c r="D28" s="8" t="s">
        <v>2252</v>
      </c>
      <c r="E28" s="8">
        <v>2019</v>
      </c>
      <c r="F28" s="8">
        <v>7</v>
      </c>
      <c r="G28" s="8">
        <v>2</v>
      </c>
      <c r="H28" s="9">
        <v>355</v>
      </c>
      <c r="I28" s="9">
        <v>367</v>
      </c>
      <c r="J28" s="8" t="s">
        <v>1186</v>
      </c>
      <c r="K28" s="8" t="str">
        <f>HYPERLINK("http://dx.doi.org/10.13044/j.sdewes.d6.0254","http://dx.doi.org/10.13044/j.sdewes.d6.0254")</f>
        <v>http://dx.doi.org/10.13044/j.sdewes.d6.0254</v>
      </c>
      <c r="L28" s="8" t="s">
        <v>1185</v>
      </c>
      <c r="M28" s="8"/>
    </row>
    <row r="29" spans="1:13" ht="15" x14ac:dyDescent="0.25">
      <c r="A29" s="7" t="s">
        <v>2251</v>
      </c>
      <c r="B29" s="8" t="s">
        <v>2250</v>
      </c>
      <c r="C29" s="8" t="s">
        <v>2249</v>
      </c>
      <c r="D29" s="8" t="s">
        <v>2248</v>
      </c>
      <c r="E29" s="8">
        <v>2015</v>
      </c>
      <c r="F29" s="8">
        <v>7</v>
      </c>
      <c r="G29" s="8">
        <v>32</v>
      </c>
      <c r="H29" s="9">
        <v>17929</v>
      </c>
      <c r="I29" s="9">
        <v>17934</v>
      </c>
      <c r="J29" s="8" t="s">
        <v>1186</v>
      </c>
      <c r="K29" s="8" t="str">
        <f>HYPERLINK("http://dx.doi.org/10.1021/acsami.5b04622","http://dx.doi.org/10.1021/acsami.5b04622")</f>
        <v>http://dx.doi.org/10.1021/acsami.5b04622</v>
      </c>
      <c r="L29" s="8" t="s">
        <v>1185</v>
      </c>
      <c r="M29" s="8"/>
    </row>
    <row r="30" spans="1:13" ht="15" x14ac:dyDescent="0.25">
      <c r="A30" s="7" t="s">
        <v>2247</v>
      </c>
      <c r="B30" s="8" t="s">
        <v>2246</v>
      </c>
      <c r="C30" s="8" t="s">
        <v>2245</v>
      </c>
      <c r="D30" s="8" t="s">
        <v>2244</v>
      </c>
      <c r="E30" s="8">
        <v>2023</v>
      </c>
      <c r="F30" s="8">
        <v>18</v>
      </c>
      <c r="G30" s="8">
        <v>5</v>
      </c>
      <c r="H30" s="9">
        <v>2371</v>
      </c>
      <c r="I30" s="9">
        <v>2387</v>
      </c>
      <c r="J30" s="8" t="s">
        <v>1186</v>
      </c>
      <c r="K30" s="8" t="s">
        <v>2243</v>
      </c>
      <c r="L30" s="8" t="s">
        <v>1185</v>
      </c>
      <c r="M30" s="8"/>
    </row>
    <row r="31" spans="1:13" ht="15" x14ac:dyDescent="0.25">
      <c r="A31" s="7" t="s">
        <v>2242</v>
      </c>
      <c r="B31" s="8" t="s">
        <v>2241</v>
      </c>
      <c r="C31" s="8" t="s">
        <v>2240</v>
      </c>
      <c r="D31" s="8" t="s">
        <v>2239</v>
      </c>
      <c r="E31" s="8">
        <v>2016</v>
      </c>
      <c r="F31" s="8">
        <v>47</v>
      </c>
      <c r="G31" s="8">
        <v>2</v>
      </c>
      <c r="H31" s="9">
        <v>685</v>
      </c>
      <c r="I31" s="9">
        <v>700</v>
      </c>
      <c r="J31" s="8" t="s">
        <v>1186</v>
      </c>
      <c r="K31" s="8" t="str">
        <f>HYPERLINK("http://dx.doi.org/10.1007/s00574-016-0178-2","http://dx.doi.org/10.1007/s00574-016-0178-2")</f>
        <v>http://dx.doi.org/10.1007/s00574-016-0178-2</v>
      </c>
      <c r="L31" s="8" t="s">
        <v>1185</v>
      </c>
      <c r="M31" s="8"/>
    </row>
    <row r="32" spans="1:13" ht="15" x14ac:dyDescent="0.25">
      <c r="A32" s="7" t="s">
        <v>2238</v>
      </c>
      <c r="B32" s="8" t="s">
        <v>2237</v>
      </c>
      <c r="C32" s="8" t="s">
        <v>2236</v>
      </c>
      <c r="D32" s="8" t="s">
        <v>2235</v>
      </c>
      <c r="E32" s="8">
        <v>2020</v>
      </c>
      <c r="F32" s="8">
        <v>104</v>
      </c>
      <c r="G32" s="8" t="s">
        <v>1186</v>
      </c>
      <c r="H32" s="9" t="s">
        <v>1186</v>
      </c>
      <c r="I32" s="9" t="s">
        <v>1186</v>
      </c>
      <c r="J32" s="8">
        <v>103119</v>
      </c>
      <c r="K32" s="8" t="str">
        <f>HYPERLINK("http://dx.doi.org/10.1016/j.infrared.2019.103119","http://dx.doi.org/10.1016/j.infrared.2019.103119")</f>
        <v>http://dx.doi.org/10.1016/j.infrared.2019.103119</v>
      </c>
      <c r="L32" s="8" t="s">
        <v>1185</v>
      </c>
      <c r="M32" s="8"/>
    </row>
    <row r="33" spans="1:13" ht="15" x14ac:dyDescent="0.25">
      <c r="A33" s="7" t="s">
        <v>2234</v>
      </c>
      <c r="B33" s="8" t="s">
        <v>2233</v>
      </c>
      <c r="C33" s="8" t="s">
        <v>2232</v>
      </c>
      <c r="D33" s="8" t="s">
        <v>2231</v>
      </c>
      <c r="E33" s="8">
        <v>2015</v>
      </c>
      <c r="F33" s="8">
        <v>93</v>
      </c>
      <c r="G33" s="8" t="s">
        <v>1186</v>
      </c>
      <c r="H33" s="9">
        <v>119</v>
      </c>
      <c r="I33" s="9">
        <v>125</v>
      </c>
      <c r="J33" s="8" t="s">
        <v>1186</v>
      </c>
      <c r="K33" s="8" t="str">
        <f>HYPERLINK("http://dx.doi.org/10.1016/j.enbuild.2015.02.010","http://dx.doi.org/10.1016/j.enbuild.2015.02.010")</f>
        <v>http://dx.doi.org/10.1016/j.enbuild.2015.02.010</v>
      </c>
      <c r="L33" s="8" t="s">
        <v>1185</v>
      </c>
      <c r="M33" s="8"/>
    </row>
    <row r="34" spans="1:13" ht="15" x14ac:dyDescent="0.25">
      <c r="A34" s="7" t="s">
        <v>2230</v>
      </c>
      <c r="B34" s="8" t="s">
        <v>2229</v>
      </c>
      <c r="C34" s="8" t="s">
        <v>2228</v>
      </c>
      <c r="D34" s="8" t="s">
        <v>1214</v>
      </c>
      <c r="E34" s="8">
        <v>2020</v>
      </c>
      <c r="F34" s="8">
        <v>730</v>
      </c>
      <c r="G34" s="8" t="s">
        <v>1186</v>
      </c>
      <c r="H34" s="9" t="s">
        <v>1186</v>
      </c>
      <c r="I34" s="9" t="s">
        <v>1186</v>
      </c>
      <c r="J34" s="8">
        <v>139073</v>
      </c>
      <c r="K34" s="8" t="str">
        <f>HYPERLINK("http://dx.doi.org/10.1016/j.scitotenv.2020.139073","http://dx.doi.org/10.1016/j.scitotenv.2020.139073")</f>
        <v>http://dx.doi.org/10.1016/j.scitotenv.2020.139073</v>
      </c>
      <c r="L34" s="8" t="s">
        <v>1185</v>
      </c>
      <c r="M34" s="8"/>
    </row>
    <row r="35" spans="1:13" ht="15" x14ac:dyDescent="0.25">
      <c r="A35" s="7" t="s">
        <v>145</v>
      </c>
      <c r="B35" s="8" t="s">
        <v>2227</v>
      </c>
      <c r="C35" s="8" t="s">
        <v>2226</v>
      </c>
      <c r="D35" s="8" t="s">
        <v>1214</v>
      </c>
      <c r="E35" s="8">
        <v>2023</v>
      </c>
      <c r="F35" s="8">
        <v>905</v>
      </c>
      <c r="G35" s="8" t="s">
        <v>1186</v>
      </c>
      <c r="H35" s="9" t="s">
        <v>1186</v>
      </c>
      <c r="I35" s="9" t="s">
        <v>1186</v>
      </c>
      <c r="J35" s="8">
        <v>166923</v>
      </c>
      <c r="K35" s="8" t="str">
        <f>HYPERLINK("http://dx.doi.org/10.1016/j.scitotenv.2023.166923","http://dx.doi.org/10.1016/j.scitotenv.2023.166923")</f>
        <v>http://dx.doi.org/10.1016/j.scitotenv.2023.166923</v>
      </c>
      <c r="L35" s="8"/>
      <c r="M35" s="8" t="s">
        <v>1185</v>
      </c>
    </row>
    <row r="36" spans="1:13" ht="15" x14ac:dyDescent="0.25">
      <c r="A36" s="7" t="s">
        <v>2225</v>
      </c>
      <c r="B36" s="8" t="s">
        <v>2224</v>
      </c>
      <c r="C36" s="8" t="s">
        <v>2223</v>
      </c>
      <c r="D36" s="8" t="s">
        <v>1195</v>
      </c>
      <c r="E36" s="8">
        <v>2022</v>
      </c>
      <c r="F36" s="8">
        <v>437</v>
      </c>
      <c r="G36" s="8" t="s">
        <v>1186</v>
      </c>
      <c r="H36" s="9" t="s">
        <v>1186</v>
      </c>
      <c r="I36" s="9" t="s">
        <v>1186</v>
      </c>
      <c r="J36" s="8">
        <v>129314</v>
      </c>
      <c r="K36" s="8" t="str">
        <f>HYPERLINK("http://dx.doi.org/10.1016/j.jhazmat.2022.129314","http://dx.doi.org/10.1016/j.jhazmat.2022.129314")</f>
        <v>http://dx.doi.org/10.1016/j.jhazmat.2022.129314</v>
      </c>
      <c r="L36" s="8" t="s">
        <v>1185</v>
      </c>
      <c r="M36" s="8"/>
    </row>
    <row r="37" spans="1:13" ht="15" x14ac:dyDescent="0.25">
      <c r="A37" s="7" t="s">
        <v>2222</v>
      </c>
      <c r="B37" s="8" t="s">
        <v>2221</v>
      </c>
      <c r="C37" s="8" t="s">
        <v>2220</v>
      </c>
      <c r="D37" s="8" t="s">
        <v>2219</v>
      </c>
      <c r="E37" s="8">
        <v>2021</v>
      </c>
      <c r="F37" s="8">
        <v>49</v>
      </c>
      <c r="G37" s="8">
        <v>6</v>
      </c>
      <c r="H37" s="9">
        <v>4072</v>
      </c>
      <c r="I37" s="9">
        <v>4085</v>
      </c>
      <c r="J37" s="8" t="s">
        <v>1186</v>
      </c>
      <c r="K37" s="8" t="str">
        <f>HYPERLINK("http://dx.doi.org/10.1520/JTE20200337","http://dx.doi.org/10.1520/JTE20200337")</f>
        <v>http://dx.doi.org/10.1520/JTE20200337</v>
      </c>
      <c r="L37" s="8" t="s">
        <v>1185</v>
      </c>
      <c r="M37" s="8"/>
    </row>
    <row r="38" spans="1:13" ht="15" x14ac:dyDescent="0.25">
      <c r="A38" s="7" t="s">
        <v>2218</v>
      </c>
      <c r="B38" s="8" t="s">
        <v>2217</v>
      </c>
      <c r="C38" s="8" t="s">
        <v>2216</v>
      </c>
      <c r="D38" s="8" t="s">
        <v>2215</v>
      </c>
      <c r="E38" s="8">
        <v>2021</v>
      </c>
      <c r="F38" s="8">
        <v>61</v>
      </c>
      <c r="G38" s="8">
        <v>1</v>
      </c>
      <c r="H38" s="9">
        <v>219</v>
      </c>
      <c r="I38" s="9">
        <v>228</v>
      </c>
      <c r="J38" s="8" t="s">
        <v>1186</v>
      </c>
      <c r="K38" s="8" t="str">
        <f>HYPERLINK("http://dx.doi.org/10.2355/isijinternational.ISIJINT-2020-421","http://dx.doi.org/10.2355/isijinternational.ISIJINT-2020-421")</f>
        <v>http://dx.doi.org/10.2355/isijinternational.ISIJINT-2020-421</v>
      </c>
      <c r="L38" s="8" t="s">
        <v>1185</v>
      </c>
      <c r="M38" s="8"/>
    </row>
    <row r="39" spans="1:13" ht="15" x14ac:dyDescent="0.25">
      <c r="A39" s="7" t="s">
        <v>2214</v>
      </c>
      <c r="B39" s="8" t="s">
        <v>2213</v>
      </c>
      <c r="C39" s="8" t="s">
        <v>2212</v>
      </c>
      <c r="D39" s="8" t="s">
        <v>2211</v>
      </c>
      <c r="E39" s="8">
        <v>2018</v>
      </c>
      <c r="F39" s="8">
        <v>5</v>
      </c>
      <c r="G39" s="8">
        <v>9</v>
      </c>
      <c r="H39" s="9" t="s">
        <v>1186</v>
      </c>
      <c r="I39" s="9" t="s">
        <v>1186</v>
      </c>
      <c r="J39" s="8">
        <v>1701433</v>
      </c>
      <c r="K39" s="8" t="str">
        <f>HYPERLINK("http://dx.doi.org/10.1002/admi.201701433","http://dx.doi.org/10.1002/admi.201701433")</f>
        <v>http://dx.doi.org/10.1002/admi.201701433</v>
      </c>
      <c r="L39" s="8" t="s">
        <v>1185</v>
      </c>
      <c r="M39" s="8"/>
    </row>
    <row r="40" spans="1:13" ht="15" x14ac:dyDescent="0.25">
      <c r="A40" s="7" t="s">
        <v>2210</v>
      </c>
      <c r="B40" s="8" t="s">
        <v>2209</v>
      </c>
      <c r="C40" s="8" t="s">
        <v>2208</v>
      </c>
      <c r="D40" s="8" t="s">
        <v>2061</v>
      </c>
      <c r="E40" s="8">
        <v>2019</v>
      </c>
      <c r="F40" s="8">
        <v>246</v>
      </c>
      <c r="G40" s="8" t="s">
        <v>1186</v>
      </c>
      <c r="H40" s="9">
        <v>212</v>
      </c>
      <c r="I40" s="9">
        <v>221</v>
      </c>
      <c r="J40" s="8" t="s">
        <v>1186</v>
      </c>
      <c r="K40" s="8" t="str">
        <f>HYPERLINK("http://dx.doi.org/10.1016/j.fuel.2019.02.129","http://dx.doi.org/10.1016/j.fuel.2019.02.129")</f>
        <v>http://dx.doi.org/10.1016/j.fuel.2019.02.129</v>
      </c>
      <c r="L40" s="8" t="s">
        <v>1185</v>
      </c>
      <c r="M40" s="8"/>
    </row>
    <row r="41" spans="1:13" ht="15" x14ac:dyDescent="0.25">
      <c r="A41" s="7" t="s">
        <v>2207</v>
      </c>
      <c r="B41" s="8" t="s">
        <v>2206</v>
      </c>
      <c r="C41" s="8" t="s">
        <v>2205</v>
      </c>
      <c r="D41" s="8" t="s">
        <v>2204</v>
      </c>
      <c r="E41" s="8">
        <v>2017</v>
      </c>
      <c r="F41" s="8">
        <v>142</v>
      </c>
      <c r="G41" s="8" t="s">
        <v>1186</v>
      </c>
      <c r="H41" s="9">
        <v>441</v>
      </c>
      <c r="I41" s="9">
        <v>451</v>
      </c>
      <c r="J41" s="8" t="s">
        <v>1186</v>
      </c>
      <c r="K41" s="8" t="str">
        <f>HYPERLINK("http://dx.doi.org/10.1016/j.enconman.2017.03.071","http://dx.doi.org/10.1016/j.enconman.2017.03.071")</f>
        <v>http://dx.doi.org/10.1016/j.enconman.2017.03.071</v>
      </c>
      <c r="L41" s="8" t="s">
        <v>1185</v>
      </c>
      <c r="M41" s="8"/>
    </row>
    <row r="42" spans="1:13" ht="15" x14ac:dyDescent="0.25">
      <c r="A42" s="7" t="s">
        <v>2203</v>
      </c>
      <c r="B42" s="8" t="s">
        <v>2202</v>
      </c>
      <c r="C42" s="8" t="s">
        <v>2201</v>
      </c>
      <c r="D42" s="8" t="s">
        <v>2200</v>
      </c>
      <c r="E42" s="8">
        <v>2021</v>
      </c>
      <c r="F42" s="8">
        <v>232</v>
      </c>
      <c r="G42" s="8" t="s">
        <v>1186</v>
      </c>
      <c r="H42" s="9" t="s">
        <v>1186</v>
      </c>
      <c r="I42" s="9" t="s">
        <v>1186</v>
      </c>
      <c r="J42" s="8">
        <v>111528</v>
      </c>
      <c r="K42" s="8" t="str">
        <f>HYPERLINK("http://dx.doi.org/10.1016/j.combustflame.2021.111528","http://dx.doi.org/10.1016/j.combustflame.2021.111528")</f>
        <v>http://dx.doi.org/10.1016/j.combustflame.2021.111528</v>
      </c>
      <c r="L42" s="8" t="s">
        <v>1185</v>
      </c>
      <c r="M42" s="8"/>
    </row>
    <row r="43" spans="1:13" ht="17.25" customHeight="1" x14ac:dyDescent="0.25">
      <c r="A43" s="7" t="s">
        <v>2199</v>
      </c>
      <c r="B43" s="8" t="s">
        <v>2198</v>
      </c>
      <c r="C43" s="8" t="s">
        <v>2197</v>
      </c>
      <c r="D43" s="8" t="s">
        <v>1214</v>
      </c>
      <c r="E43" s="8">
        <v>2020</v>
      </c>
      <c r="F43" s="8">
        <v>747</v>
      </c>
      <c r="G43" s="8" t="s">
        <v>1186</v>
      </c>
      <c r="H43" s="9" t="s">
        <v>1186</v>
      </c>
      <c r="I43" s="9" t="s">
        <v>1186</v>
      </c>
      <c r="J43" s="8">
        <v>141175</v>
      </c>
      <c r="K43" s="8" t="str">
        <f>HYPERLINK("http://dx.doi.org/10.1016/j.scitotenv.2020.141175","http://dx.doi.org/10.1016/j.scitotenv.2020.141175")</f>
        <v>http://dx.doi.org/10.1016/j.scitotenv.2020.141175</v>
      </c>
      <c r="L43" s="8"/>
      <c r="M43" s="8" t="s">
        <v>1185</v>
      </c>
    </row>
    <row r="44" spans="1:13" ht="15" x14ac:dyDescent="0.25">
      <c r="A44" s="7" t="s">
        <v>2196</v>
      </c>
      <c r="B44" s="8" t="s">
        <v>2195</v>
      </c>
      <c r="C44" s="8" t="s">
        <v>2194</v>
      </c>
      <c r="D44" s="8" t="s">
        <v>2193</v>
      </c>
      <c r="E44" s="8">
        <v>2021</v>
      </c>
      <c r="F44" s="8">
        <v>15</v>
      </c>
      <c r="G44" s="8">
        <v>9</v>
      </c>
      <c r="H44" s="9">
        <v>1253</v>
      </c>
      <c r="I44" s="9">
        <v>1278</v>
      </c>
      <c r="J44" s="8" t="s">
        <v>1186</v>
      </c>
      <c r="K44" s="8" t="str">
        <f>HYPERLINK("http://dx.doi.org/10.1080/17435390.2021.2018065","http://dx.doi.org/10.1080/17435390.2021.2018065")</f>
        <v>http://dx.doi.org/10.1080/17435390.2021.2018065</v>
      </c>
      <c r="L44" s="8" t="s">
        <v>1185</v>
      </c>
      <c r="M44" s="8"/>
    </row>
    <row r="45" spans="1:13" ht="15" x14ac:dyDescent="0.25">
      <c r="A45" s="7" t="s">
        <v>2192</v>
      </c>
      <c r="B45" s="8" t="s">
        <v>2191</v>
      </c>
      <c r="C45" s="8" t="s">
        <v>2190</v>
      </c>
      <c r="D45" s="8" t="s">
        <v>2189</v>
      </c>
      <c r="E45" s="8">
        <v>2017</v>
      </c>
      <c r="F45" s="8">
        <v>17</v>
      </c>
      <c r="G45" s="8">
        <v>15</v>
      </c>
      <c r="H45" s="9">
        <v>4791</v>
      </c>
      <c r="I45" s="9">
        <v>4796</v>
      </c>
      <c r="J45" s="8" t="s">
        <v>1186</v>
      </c>
      <c r="K45" s="8" t="str">
        <f>HYPERLINK("http://dx.doi.org/10.1109/JSEN.2017.2715258","http://dx.doi.org/10.1109/JSEN.2017.2715258")</f>
        <v>http://dx.doi.org/10.1109/JSEN.2017.2715258</v>
      </c>
      <c r="L45" s="8" t="s">
        <v>1185</v>
      </c>
      <c r="M45" s="8"/>
    </row>
    <row r="46" spans="1:13" ht="15" x14ac:dyDescent="0.25">
      <c r="A46" s="7" t="s">
        <v>2188</v>
      </c>
      <c r="B46" s="8" t="s">
        <v>2187</v>
      </c>
      <c r="C46" s="8" t="s">
        <v>2186</v>
      </c>
      <c r="D46" s="8" t="s">
        <v>1195</v>
      </c>
      <c r="E46" s="8">
        <v>2021</v>
      </c>
      <c r="F46" s="8">
        <v>416</v>
      </c>
      <c r="G46" s="8" t="s">
        <v>1186</v>
      </c>
      <c r="H46" s="9" t="s">
        <v>1186</v>
      </c>
      <c r="I46" s="9" t="s">
        <v>1186</v>
      </c>
      <c r="J46" s="8">
        <v>126124</v>
      </c>
      <c r="K46" s="8" t="str">
        <f>HYPERLINK("http://dx.doi.org/10.1016/j.jhazmat.2021.126124","http://dx.doi.org/10.1016/j.jhazmat.2021.126124")</f>
        <v>http://dx.doi.org/10.1016/j.jhazmat.2021.126124</v>
      </c>
      <c r="L46" s="8" t="s">
        <v>1185</v>
      </c>
      <c r="M46" s="8"/>
    </row>
    <row r="47" spans="1:13" ht="15" x14ac:dyDescent="0.25">
      <c r="A47" s="7" t="s">
        <v>2185</v>
      </c>
      <c r="B47" s="8" t="s">
        <v>2184</v>
      </c>
      <c r="C47" s="8" t="s">
        <v>2183</v>
      </c>
      <c r="D47" s="8" t="s">
        <v>2182</v>
      </c>
      <c r="E47" s="8">
        <v>2021</v>
      </c>
      <c r="F47" s="8">
        <v>66</v>
      </c>
      <c r="G47" s="8" t="s">
        <v>1186</v>
      </c>
      <c r="H47" s="9">
        <v>460</v>
      </c>
      <c r="I47" s="9">
        <v>469</v>
      </c>
      <c r="J47" s="8" t="s">
        <v>1186</v>
      </c>
      <c r="K47" s="8" t="str">
        <f>HYPERLINK("http://dx.doi.org/10.1016/j.jmapro.2021.04.045","http://dx.doi.org/10.1016/j.jmapro.2021.04.045")</f>
        <v>http://dx.doi.org/10.1016/j.jmapro.2021.04.045</v>
      </c>
      <c r="L47" s="8" t="s">
        <v>1185</v>
      </c>
      <c r="M47" s="8"/>
    </row>
    <row r="48" spans="1:13" ht="15" x14ac:dyDescent="0.25">
      <c r="A48" s="7" t="s">
        <v>2181</v>
      </c>
      <c r="B48" s="8" t="s">
        <v>2180</v>
      </c>
      <c r="C48" s="8" t="s">
        <v>2179</v>
      </c>
      <c r="D48" s="8" t="s">
        <v>2178</v>
      </c>
      <c r="E48" s="8">
        <v>2019</v>
      </c>
      <c r="F48" s="8">
        <v>90</v>
      </c>
      <c r="G48" s="8">
        <v>9</v>
      </c>
      <c r="H48" s="9" t="s">
        <v>1186</v>
      </c>
      <c r="I48" s="9" t="s">
        <v>1186</v>
      </c>
      <c r="J48" s="8">
        <v>93304</v>
      </c>
      <c r="K48" s="8" t="str">
        <f>HYPERLINK("http://dx.doi.org/10.1063/1.5092543","http://dx.doi.org/10.1063/1.5092543")</f>
        <v>http://dx.doi.org/10.1063/1.5092543</v>
      </c>
      <c r="L48" s="8" t="s">
        <v>1185</v>
      </c>
      <c r="M48" s="8"/>
    </row>
    <row r="49" spans="1:13" ht="15" x14ac:dyDescent="0.25">
      <c r="A49" s="7" t="s">
        <v>2177</v>
      </c>
      <c r="B49" s="8" t="s">
        <v>2176</v>
      </c>
      <c r="C49" s="8" t="s">
        <v>2175</v>
      </c>
      <c r="D49" s="8" t="s">
        <v>2174</v>
      </c>
      <c r="E49" s="8">
        <v>2022</v>
      </c>
      <c r="F49" s="8">
        <v>192</v>
      </c>
      <c r="G49" s="8" t="s">
        <v>1186</v>
      </c>
      <c r="H49" s="9" t="s">
        <v>1186</v>
      </c>
      <c r="I49" s="9" t="s">
        <v>1186</v>
      </c>
      <c r="J49" s="8">
        <v>109918</v>
      </c>
      <c r="K49" s="8" t="str">
        <f>HYPERLINK("http://dx.doi.org/10.1016/j.radphyschem.2021.109918","http://dx.doi.org/10.1016/j.radphyschem.2021.109918")</f>
        <v>http://dx.doi.org/10.1016/j.radphyschem.2021.109918</v>
      </c>
      <c r="L49" s="8" t="s">
        <v>1185</v>
      </c>
      <c r="M49" s="8"/>
    </row>
    <row r="50" spans="1:13" ht="15" x14ac:dyDescent="0.25">
      <c r="A50" s="7" t="s">
        <v>2173</v>
      </c>
      <c r="B50" s="8" t="s">
        <v>2172</v>
      </c>
      <c r="C50" s="8" t="s">
        <v>2171</v>
      </c>
      <c r="D50" s="8" t="s">
        <v>2170</v>
      </c>
      <c r="E50" s="8">
        <v>2021</v>
      </c>
      <c r="F50" s="8">
        <v>5</v>
      </c>
      <c r="G50" s="8">
        <v>2</v>
      </c>
      <c r="H50" s="9">
        <v>212</v>
      </c>
      <c r="I50" s="9" t="s">
        <v>1779</v>
      </c>
      <c r="J50" s="8" t="s">
        <v>1186</v>
      </c>
      <c r="K50" s="8" t="str">
        <f>HYPERLINK("http://dx.doi.org/10.1038/s41562-020-00961-1","http://dx.doi.org/10.1038/s41562-020-00961-1")</f>
        <v>http://dx.doi.org/10.1038/s41562-020-00961-1</v>
      </c>
      <c r="L50" s="8" t="s">
        <v>1185</v>
      </c>
      <c r="M50" s="8"/>
    </row>
    <row r="51" spans="1:13" ht="15" x14ac:dyDescent="0.25">
      <c r="A51" s="7" t="s">
        <v>2169</v>
      </c>
      <c r="B51" s="8" t="s">
        <v>2168</v>
      </c>
      <c r="C51" s="8" t="s">
        <v>2167</v>
      </c>
      <c r="D51" s="8" t="s">
        <v>1706</v>
      </c>
      <c r="E51" s="8">
        <v>2017</v>
      </c>
      <c r="F51" s="8">
        <v>121</v>
      </c>
      <c r="G51" s="8" t="s">
        <v>1186</v>
      </c>
      <c r="H51" s="9">
        <v>218</v>
      </c>
      <c r="I51" s="9">
        <v>223</v>
      </c>
      <c r="J51" s="8" t="s">
        <v>1186</v>
      </c>
      <c r="K51" s="8" t="str">
        <f>HYPERLINK("http://dx.doi.org/10.1016/j.applthermaleng.2017.04.067","http://dx.doi.org/10.1016/j.applthermaleng.2017.04.067")</f>
        <v>http://dx.doi.org/10.1016/j.applthermaleng.2017.04.067</v>
      </c>
      <c r="L51" s="8" t="s">
        <v>1185</v>
      </c>
      <c r="M51" s="8"/>
    </row>
    <row r="52" spans="1:13" ht="15" x14ac:dyDescent="0.25">
      <c r="A52" s="7" t="s">
        <v>2166</v>
      </c>
      <c r="B52" s="8" t="s">
        <v>2165</v>
      </c>
      <c r="C52" s="8" t="s">
        <v>2164</v>
      </c>
      <c r="D52" s="8" t="s">
        <v>2163</v>
      </c>
      <c r="E52" s="8">
        <v>2017</v>
      </c>
      <c r="F52" s="8">
        <v>96</v>
      </c>
      <c r="G52" s="8">
        <v>6</v>
      </c>
      <c r="H52" s="9">
        <v>1284</v>
      </c>
      <c r="I52" s="9">
        <v>1287</v>
      </c>
      <c r="J52" s="8" t="s">
        <v>1186</v>
      </c>
      <c r="K52" s="8" t="str">
        <f>HYPERLINK("http://dx.doi.org/10.15199/62.2017.6.13","http://dx.doi.org/10.15199/62.2017.6.13")</f>
        <v>http://dx.doi.org/10.15199/62.2017.6.13</v>
      </c>
      <c r="L52" s="8"/>
      <c r="M52" s="8"/>
    </row>
    <row r="53" spans="1:13" ht="15" x14ac:dyDescent="0.25">
      <c r="A53" s="7" t="s">
        <v>2162</v>
      </c>
      <c r="B53" s="8" t="s">
        <v>2161</v>
      </c>
      <c r="C53" s="8" t="s">
        <v>2160</v>
      </c>
      <c r="D53" s="8" t="s">
        <v>2159</v>
      </c>
      <c r="E53" s="8">
        <v>2015</v>
      </c>
      <c r="F53" s="8">
        <v>24</v>
      </c>
      <c r="G53" s="8">
        <v>2</v>
      </c>
      <c r="H53" s="9" t="s">
        <v>1186</v>
      </c>
      <c r="I53" s="9" t="s">
        <v>1186</v>
      </c>
      <c r="J53" s="8">
        <v>25038</v>
      </c>
      <c r="K53" s="8" t="str">
        <f>HYPERLINK("http://dx.doi.org/10.1088/0963-0252/24/2/025038","http://dx.doi.org/10.1088/0963-0252/24/2/025038")</f>
        <v>http://dx.doi.org/10.1088/0963-0252/24/2/025038</v>
      </c>
      <c r="L53" s="8" t="s">
        <v>1185</v>
      </c>
      <c r="M53" s="8"/>
    </row>
    <row r="54" spans="1:13" ht="15" x14ac:dyDescent="0.25">
      <c r="A54" s="7" t="s">
        <v>2158</v>
      </c>
      <c r="B54" s="8" t="s">
        <v>2157</v>
      </c>
      <c r="C54" s="8" t="s">
        <v>2156</v>
      </c>
      <c r="D54" s="8" t="s">
        <v>1644</v>
      </c>
      <c r="E54" s="8">
        <v>2023</v>
      </c>
      <c r="F54" s="8" t="s">
        <v>1186</v>
      </c>
      <c r="G54" s="8" t="s">
        <v>1186</v>
      </c>
      <c r="H54" s="9" t="s">
        <v>1186</v>
      </c>
      <c r="I54" s="9" t="s">
        <v>1186</v>
      </c>
      <c r="J54" s="8" t="s">
        <v>1186</v>
      </c>
      <c r="K54" s="8" t="str">
        <f>HYPERLINK("http://dx.doi.org/10.1002/ppap.202300155","http://dx.doi.org/10.1002/ppap.202300155")</f>
        <v>http://dx.doi.org/10.1002/ppap.202300155</v>
      </c>
      <c r="L54" s="8" t="s">
        <v>1185</v>
      </c>
      <c r="M54" s="8"/>
    </row>
    <row r="55" spans="1:13" ht="15" x14ac:dyDescent="0.25">
      <c r="A55" s="7" t="s">
        <v>560</v>
      </c>
      <c r="B55" s="8" t="s">
        <v>2155</v>
      </c>
      <c r="C55" s="8" t="s">
        <v>2154</v>
      </c>
      <c r="D55" s="8" t="s">
        <v>1251</v>
      </c>
      <c r="E55" s="8">
        <v>2024</v>
      </c>
      <c r="F55" s="8">
        <v>58</v>
      </c>
      <c r="G55" s="8">
        <v>10</v>
      </c>
      <c r="H55" s="9">
        <v>4691</v>
      </c>
      <c r="I55" s="9">
        <v>4703</v>
      </c>
      <c r="J55" s="8" t="s">
        <v>1186</v>
      </c>
      <c r="K55" s="8" t="str">
        <f>HYPERLINK("http://dx.doi.org/10.1021/acs.est.3c06832","http://dx.doi.org/10.1021/acs.est.3c06832")</f>
        <v>http://dx.doi.org/10.1021/acs.est.3c06832</v>
      </c>
      <c r="L55" s="8"/>
      <c r="M55" s="8" t="s">
        <v>1185</v>
      </c>
    </row>
    <row r="56" spans="1:13" ht="15" x14ac:dyDescent="0.25">
      <c r="A56" s="7" t="s">
        <v>2153</v>
      </c>
      <c r="B56" s="8" t="s">
        <v>2152</v>
      </c>
      <c r="C56" s="8" t="s">
        <v>2151</v>
      </c>
      <c r="D56" s="8" t="s">
        <v>2150</v>
      </c>
      <c r="E56" s="8">
        <v>2020</v>
      </c>
      <c r="F56" s="8">
        <v>13</v>
      </c>
      <c r="G56" s="8">
        <v>20</v>
      </c>
      <c r="H56" s="9" t="s">
        <v>1186</v>
      </c>
      <c r="I56" s="9" t="s">
        <v>1186</v>
      </c>
      <c r="J56" s="8">
        <v>4673</v>
      </c>
      <c r="K56" s="8" t="str">
        <f>HYPERLINK("http://dx.doi.org/10.3390/ma13204673","http://dx.doi.org/10.3390/ma13204673")</f>
        <v>http://dx.doi.org/10.3390/ma13204673</v>
      </c>
      <c r="L56" s="8" t="s">
        <v>1185</v>
      </c>
      <c r="M56" s="8"/>
    </row>
    <row r="57" spans="1:13" ht="15" x14ac:dyDescent="0.25">
      <c r="A57" s="7" t="s">
        <v>2149</v>
      </c>
      <c r="B57" s="8" t="s">
        <v>2148</v>
      </c>
      <c r="C57" s="8" t="s">
        <v>2147</v>
      </c>
      <c r="D57" s="8" t="s">
        <v>1233</v>
      </c>
      <c r="E57" s="8">
        <v>2022</v>
      </c>
      <c r="F57" s="8">
        <v>308</v>
      </c>
      <c r="G57" s="8" t="s">
        <v>1186</v>
      </c>
      <c r="H57" s="9" t="s">
        <v>1186</v>
      </c>
      <c r="I57" s="9" t="s">
        <v>1186</v>
      </c>
      <c r="J57" s="8">
        <v>119707</v>
      </c>
      <c r="K57" s="8" t="str">
        <f>HYPERLINK("http://dx.doi.org/10.1016/j.envpol.2022.119707","http://dx.doi.org/10.1016/j.envpol.2022.119707")</f>
        <v>http://dx.doi.org/10.1016/j.envpol.2022.119707</v>
      </c>
      <c r="L57" s="8"/>
      <c r="M57" s="8" t="s">
        <v>1185</v>
      </c>
    </row>
    <row r="58" spans="1:13" ht="15" x14ac:dyDescent="0.25">
      <c r="A58" s="7" t="s">
        <v>389</v>
      </c>
      <c r="B58" s="8" t="s">
        <v>2146</v>
      </c>
      <c r="C58" s="8" t="s">
        <v>2145</v>
      </c>
      <c r="D58" s="8" t="s">
        <v>1214</v>
      </c>
      <c r="E58" s="8">
        <v>2022</v>
      </c>
      <c r="F58" s="8">
        <v>818</v>
      </c>
      <c r="G58" s="8" t="s">
        <v>1186</v>
      </c>
      <c r="H58" s="9" t="s">
        <v>1186</v>
      </c>
      <c r="I58" s="9" t="s">
        <v>1186</v>
      </c>
      <c r="J58" s="8">
        <v>151812</v>
      </c>
      <c r="K58" s="8" t="str">
        <f>HYPERLINK("http://dx.doi.org/10.1016/j.scitotenv.2021.151812","http://dx.doi.org/10.1016/j.scitotenv.2021.151812")</f>
        <v>http://dx.doi.org/10.1016/j.scitotenv.2021.151812</v>
      </c>
      <c r="L58" s="8"/>
      <c r="M58" s="8" t="s">
        <v>1185</v>
      </c>
    </row>
    <row r="59" spans="1:13" ht="15" x14ac:dyDescent="0.25">
      <c r="A59" s="7" t="s">
        <v>345</v>
      </c>
      <c r="B59" s="8" t="s">
        <v>2144</v>
      </c>
      <c r="C59" s="8" t="s">
        <v>2143</v>
      </c>
      <c r="D59" s="8" t="s">
        <v>1416</v>
      </c>
      <c r="E59" s="8">
        <v>2024</v>
      </c>
      <c r="F59" s="8">
        <v>15</v>
      </c>
      <c r="G59" s="8">
        <v>2</v>
      </c>
      <c r="H59" s="9" t="s">
        <v>1186</v>
      </c>
      <c r="I59" s="9" t="s">
        <v>1186</v>
      </c>
      <c r="J59" s="8">
        <v>101977</v>
      </c>
      <c r="K59" s="8" t="str">
        <f>HYPERLINK("http://dx.doi.org/10.1016/j.apr.2023.101977","http://dx.doi.org/10.1016/j.apr.2023.101977")</f>
        <v>http://dx.doi.org/10.1016/j.apr.2023.101977</v>
      </c>
      <c r="L59" s="8"/>
      <c r="M59" s="8" t="s">
        <v>1185</v>
      </c>
    </row>
    <row r="60" spans="1:13" ht="15" x14ac:dyDescent="0.25">
      <c r="A60" s="7" t="s">
        <v>2142</v>
      </c>
      <c r="B60" s="8" t="s">
        <v>2141</v>
      </c>
      <c r="C60" s="8" t="s">
        <v>2140</v>
      </c>
      <c r="D60" s="8" t="s">
        <v>1892</v>
      </c>
      <c r="E60" s="8">
        <v>2022</v>
      </c>
      <c r="F60" s="8">
        <v>11</v>
      </c>
      <c r="G60" s="8">
        <v>12</v>
      </c>
      <c r="H60" s="9" t="s">
        <v>1186</v>
      </c>
      <c r="I60" s="9" t="s">
        <v>1186</v>
      </c>
      <c r="J60" s="8">
        <v>1815</v>
      </c>
      <c r="K60" s="8" t="str">
        <f>HYPERLINK("http://dx.doi.org/10.3390/biology11121815","http://dx.doi.org/10.3390/biology11121815")</f>
        <v>http://dx.doi.org/10.3390/biology11121815</v>
      </c>
      <c r="L60" s="8"/>
      <c r="M60" s="8" t="s">
        <v>1185</v>
      </c>
    </row>
    <row r="61" spans="1:13" ht="15" x14ac:dyDescent="0.25">
      <c r="A61" s="7" t="s">
        <v>2139</v>
      </c>
      <c r="B61" s="8" t="s">
        <v>2138</v>
      </c>
      <c r="C61" s="8" t="s">
        <v>2137</v>
      </c>
      <c r="D61" s="8" t="s">
        <v>2136</v>
      </c>
      <c r="E61" s="8">
        <v>2023</v>
      </c>
      <c r="F61" s="8">
        <v>15</v>
      </c>
      <c r="G61" s="8">
        <v>6</v>
      </c>
      <c r="H61" s="9">
        <v>407</v>
      </c>
      <c r="I61" s="9">
        <v>414</v>
      </c>
      <c r="J61" s="8" t="s">
        <v>1186</v>
      </c>
      <c r="K61" s="8" t="s">
        <v>2135</v>
      </c>
      <c r="L61" s="8"/>
      <c r="M61" s="8" t="s">
        <v>1185</v>
      </c>
    </row>
    <row r="62" spans="1:13" ht="15" x14ac:dyDescent="0.25">
      <c r="A62" s="7" t="s">
        <v>2134</v>
      </c>
      <c r="B62" s="8" t="s">
        <v>2133</v>
      </c>
      <c r="C62" s="8" t="s">
        <v>2132</v>
      </c>
      <c r="D62" s="8" t="s">
        <v>1214</v>
      </c>
      <c r="E62" s="8">
        <v>2022</v>
      </c>
      <c r="F62" s="8">
        <v>838</v>
      </c>
      <c r="G62" s="8" t="s">
        <v>1186</v>
      </c>
      <c r="H62" s="9" t="s">
        <v>1186</v>
      </c>
      <c r="I62" s="9" t="s">
        <v>1186</v>
      </c>
      <c r="J62" s="8">
        <v>155888</v>
      </c>
      <c r="K62" s="8" t="str">
        <f>HYPERLINK("http://dx.doi.org/10.1016/j.scitotenv.2022.155888","http://dx.doi.org/10.1016/j.scitotenv.2022.155888")</f>
        <v>http://dx.doi.org/10.1016/j.scitotenv.2022.155888</v>
      </c>
      <c r="L62" s="8" t="s">
        <v>1185</v>
      </c>
      <c r="M62" s="8"/>
    </row>
    <row r="63" spans="1:13" ht="15" x14ac:dyDescent="0.25">
      <c r="A63" s="7" t="s">
        <v>2131</v>
      </c>
      <c r="B63" s="8" t="s">
        <v>2130</v>
      </c>
      <c r="C63" s="8" t="s">
        <v>2129</v>
      </c>
      <c r="D63" s="8" t="s">
        <v>2128</v>
      </c>
      <c r="E63" s="8">
        <v>2018</v>
      </c>
      <c r="F63" s="8">
        <v>45</v>
      </c>
      <c r="G63" s="8" t="s">
        <v>1186</v>
      </c>
      <c r="H63" s="9">
        <v>1</v>
      </c>
      <c r="I63" s="9">
        <v>10</v>
      </c>
      <c r="J63" s="8" t="s">
        <v>1186</v>
      </c>
      <c r="K63" s="8" t="str">
        <f>HYPERLINK("http://dx.doi.org/10.1016/j.esd.2018.04.004","http://dx.doi.org/10.1016/j.esd.2018.04.004")</f>
        <v>http://dx.doi.org/10.1016/j.esd.2018.04.004</v>
      </c>
      <c r="L63" s="8" t="s">
        <v>1185</v>
      </c>
      <c r="M63" s="8"/>
    </row>
    <row r="64" spans="1:13" ht="15" x14ac:dyDescent="0.25">
      <c r="A64" s="7" t="s">
        <v>2127</v>
      </c>
      <c r="B64" s="8" t="s">
        <v>2126</v>
      </c>
      <c r="C64" s="8" t="s">
        <v>2125</v>
      </c>
      <c r="D64" s="8" t="s">
        <v>2124</v>
      </c>
      <c r="E64" s="8">
        <v>2019</v>
      </c>
      <c r="F64" s="8">
        <v>102</v>
      </c>
      <c r="G64" s="8" t="s">
        <v>1186</v>
      </c>
      <c r="H64" s="9">
        <v>271</v>
      </c>
      <c r="I64" s="9">
        <v>278</v>
      </c>
      <c r="J64" s="8" t="s">
        <v>1186</v>
      </c>
      <c r="K64" s="8" t="str">
        <f>HYPERLINK("http://dx.doi.org/10.1016/j.expthermflusci.2018.12.006","http://dx.doi.org/10.1016/j.expthermflusci.2018.12.006")</f>
        <v>http://dx.doi.org/10.1016/j.expthermflusci.2018.12.006</v>
      </c>
      <c r="L64" s="8" t="s">
        <v>1185</v>
      </c>
      <c r="M64" s="8"/>
    </row>
    <row r="65" spans="1:13" ht="15" x14ac:dyDescent="0.25">
      <c r="A65" s="7" t="s">
        <v>2123</v>
      </c>
      <c r="B65" s="8" t="s">
        <v>2122</v>
      </c>
      <c r="C65" s="8" t="s">
        <v>2121</v>
      </c>
      <c r="D65" s="8" t="s">
        <v>2120</v>
      </c>
      <c r="E65" s="8">
        <v>2022</v>
      </c>
      <c r="F65" s="8">
        <v>3</v>
      </c>
      <c r="G65" s="8">
        <v>6</v>
      </c>
      <c r="H65" s="9">
        <v>393</v>
      </c>
      <c r="I65" s="9">
        <v>405</v>
      </c>
      <c r="J65" s="8" t="s">
        <v>1186</v>
      </c>
      <c r="K65" s="8" t="str">
        <f>HYPERLINK("http://dx.doi.org/10.1038/s43017-022-00292-x","http://dx.doi.org/10.1038/s43017-022-00292-x")</f>
        <v>http://dx.doi.org/10.1038/s43017-022-00292-x</v>
      </c>
      <c r="L65" s="8" t="s">
        <v>1184</v>
      </c>
      <c r="M65" s="8" t="s">
        <v>1184</v>
      </c>
    </row>
    <row r="66" spans="1:13" ht="15" x14ac:dyDescent="0.25">
      <c r="A66" s="7" t="s">
        <v>296</v>
      </c>
      <c r="B66" s="8" t="s">
        <v>2119</v>
      </c>
      <c r="C66" s="8" t="s">
        <v>2118</v>
      </c>
      <c r="D66" s="8" t="s">
        <v>1462</v>
      </c>
      <c r="E66" s="8">
        <v>2023</v>
      </c>
      <c r="F66" s="8">
        <v>126</v>
      </c>
      <c r="G66" s="8" t="s">
        <v>1186</v>
      </c>
      <c r="H66" s="9">
        <v>95</v>
      </c>
      <c r="I66" s="9">
        <v>102</v>
      </c>
      <c r="J66" s="8" t="s">
        <v>1186</v>
      </c>
      <c r="K66" s="8" t="str">
        <f>HYPERLINK("http://dx.doi.org/10.1016/j.jes.2022.02.044","http://dx.doi.org/10.1016/j.jes.2022.02.044")</f>
        <v>http://dx.doi.org/10.1016/j.jes.2022.02.044</v>
      </c>
      <c r="L66" s="8"/>
      <c r="M66" s="8" t="s">
        <v>1185</v>
      </c>
    </row>
    <row r="67" spans="1:13" ht="15" x14ac:dyDescent="0.25">
      <c r="A67" s="7" t="s">
        <v>2117</v>
      </c>
      <c r="B67" s="8" t="s">
        <v>2116</v>
      </c>
      <c r="C67" s="8" t="s">
        <v>2115</v>
      </c>
      <c r="D67" s="8" t="s">
        <v>1225</v>
      </c>
      <c r="E67" s="8">
        <v>2022</v>
      </c>
      <c r="F67" s="8">
        <v>449</v>
      </c>
      <c r="G67" s="8" t="s">
        <v>1186</v>
      </c>
      <c r="H67" s="9" t="s">
        <v>1186</v>
      </c>
      <c r="I67" s="9" t="s">
        <v>1186</v>
      </c>
      <c r="J67" s="8">
        <v>137866</v>
      </c>
      <c r="K67" s="8" t="str">
        <f>HYPERLINK("http://dx.doi.org/10.1016/j.cej.2022.137866","http://dx.doi.org/10.1016/j.cej.2022.137866")</f>
        <v>http://dx.doi.org/10.1016/j.cej.2022.137866</v>
      </c>
      <c r="L67" s="8"/>
      <c r="M67" s="8" t="s">
        <v>1185</v>
      </c>
    </row>
    <row r="68" spans="1:13" ht="15" x14ac:dyDescent="0.25">
      <c r="A68" s="7" t="s">
        <v>2114</v>
      </c>
      <c r="B68" s="8" t="s">
        <v>2113</v>
      </c>
      <c r="C68" s="8" t="s">
        <v>2112</v>
      </c>
      <c r="D68" s="8" t="s">
        <v>1214</v>
      </c>
      <c r="E68" s="8">
        <v>2024</v>
      </c>
      <c r="F68" s="8">
        <v>906</v>
      </c>
      <c r="G68" s="8" t="s">
        <v>1186</v>
      </c>
      <c r="H68" s="9" t="s">
        <v>1186</v>
      </c>
      <c r="I68" s="9" t="s">
        <v>1186</v>
      </c>
      <c r="J68" s="8">
        <v>167877</v>
      </c>
      <c r="K68" s="8" t="str">
        <f>HYPERLINK("http://dx.doi.org/10.1016/j.scitotenv.2023.167877","http://dx.doi.org/10.1016/j.scitotenv.2023.167877")</f>
        <v>http://dx.doi.org/10.1016/j.scitotenv.2023.167877</v>
      </c>
      <c r="L68" s="8" t="s">
        <v>1185</v>
      </c>
      <c r="M68" s="8"/>
    </row>
    <row r="69" spans="1:13" ht="15" x14ac:dyDescent="0.25">
      <c r="A69" s="7" t="s">
        <v>2111</v>
      </c>
      <c r="B69" s="8" t="s">
        <v>2110</v>
      </c>
      <c r="C69" s="8" t="s">
        <v>2109</v>
      </c>
      <c r="D69" s="8" t="s">
        <v>2108</v>
      </c>
      <c r="E69" s="8">
        <v>2019</v>
      </c>
      <c r="F69" s="8">
        <v>92</v>
      </c>
      <c r="G69" s="8" t="s">
        <v>1186</v>
      </c>
      <c r="H69" s="9">
        <v>97</v>
      </c>
      <c r="I69" s="9">
        <v>106</v>
      </c>
      <c r="J69" s="8" t="s">
        <v>1186</v>
      </c>
      <c r="K69" s="8" t="str">
        <f>HYPERLINK("http://dx.doi.org/10.1016/j.wasman.2019.05.011","http://dx.doi.org/10.1016/j.wasman.2019.05.011")</f>
        <v>http://dx.doi.org/10.1016/j.wasman.2019.05.011</v>
      </c>
      <c r="L69" s="8" t="s">
        <v>1185</v>
      </c>
      <c r="M69" s="8"/>
    </row>
    <row r="70" spans="1:13" ht="15" x14ac:dyDescent="0.25">
      <c r="A70" s="7" t="s">
        <v>2107</v>
      </c>
      <c r="B70" s="8" t="s">
        <v>2106</v>
      </c>
      <c r="C70" s="8" t="s">
        <v>2105</v>
      </c>
      <c r="D70" s="8" t="s">
        <v>2104</v>
      </c>
      <c r="E70" s="8">
        <v>2018</v>
      </c>
      <c r="F70" s="8">
        <v>228</v>
      </c>
      <c r="G70" s="8" t="s">
        <v>1186</v>
      </c>
      <c r="H70" s="9">
        <v>479</v>
      </c>
      <c r="I70" s="9">
        <v>481</v>
      </c>
      <c r="J70" s="8" t="s">
        <v>1186</v>
      </c>
      <c r="K70" s="8" t="str">
        <f>HYPERLINK("http://dx.doi.org/10.1016/j.matlet.2018.06.053","http://dx.doi.org/10.1016/j.matlet.2018.06.053")</f>
        <v>http://dx.doi.org/10.1016/j.matlet.2018.06.053</v>
      </c>
      <c r="L70" s="8" t="s">
        <v>1185</v>
      </c>
      <c r="M70" s="8"/>
    </row>
    <row r="71" spans="1:13" ht="15" x14ac:dyDescent="0.25">
      <c r="A71" s="7" t="s">
        <v>2103</v>
      </c>
      <c r="B71" s="8" t="s">
        <v>2102</v>
      </c>
      <c r="C71" s="8" t="s">
        <v>2101</v>
      </c>
      <c r="D71" s="8" t="s">
        <v>1210</v>
      </c>
      <c r="E71" s="8">
        <v>2015</v>
      </c>
      <c r="F71" s="8">
        <v>90</v>
      </c>
      <c r="G71" s="8" t="s">
        <v>1186</v>
      </c>
      <c r="H71" s="9">
        <v>1066</v>
      </c>
      <c r="I71" s="9">
        <v>1074</v>
      </c>
      <c r="J71" s="8" t="s">
        <v>1186</v>
      </c>
      <c r="K71" s="8" t="str">
        <f>HYPERLINK("http://dx.doi.org/10.1016/j.energy.2015.08.015","http://dx.doi.org/10.1016/j.energy.2015.08.015")</f>
        <v>http://dx.doi.org/10.1016/j.energy.2015.08.015</v>
      </c>
      <c r="L71" s="8" t="s">
        <v>1185</v>
      </c>
      <c r="M71" s="8"/>
    </row>
    <row r="72" spans="1:13" ht="15" x14ac:dyDescent="0.25">
      <c r="A72" s="7" t="s">
        <v>2100</v>
      </c>
      <c r="B72" s="8" t="s">
        <v>2099</v>
      </c>
      <c r="C72" s="8" t="s">
        <v>2098</v>
      </c>
      <c r="D72" s="8" t="s">
        <v>1191</v>
      </c>
      <c r="E72" s="8">
        <v>2021</v>
      </c>
      <c r="F72" s="8">
        <v>156</v>
      </c>
      <c r="G72" s="8" t="s">
        <v>1186</v>
      </c>
      <c r="H72" s="9" t="s">
        <v>1186</v>
      </c>
      <c r="I72" s="9" t="s">
        <v>1186</v>
      </c>
      <c r="J72" s="8">
        <v>105135</v>
      </c>
      <c r="K72" s="8" t="str">
        <f>HYPERLINK("http://dx.doi.org/10.1016/j.jaap.2021.105135","http://dx.doi.org/10.1016/j.jaap.2021.105135")</f>
        <v>http://dx.doi.org/10.1016/j.jaap.2021.105135</v>
      </c>
      <c r="L72" s="8" t="s">
        <v>1185</v>
      </c>
      <c r="M72" s="8"/>
    </row>
    <row r="73" spans="1:13" ht="15" x14ac:dyDescent="0.25">
      <c r="A73" s="7" t="s">
        <v>439</v>
      </c>
      <c r="B73" s="8" t="s">
        <v>2097</v>
      </c>
      <c r="C73" s="8" t="s">
        <v>2096</v>
      </c>
      <c r="D73" s="8" t="s">
        <v>1233</v>
      </c>
      <c r="E73" s="8">
        <v>2024</v>
      </c>
      <c r="F73" s="8">
        <v>344</v>
      </c>
      <c r="G73" s="8" t="s">
        <v>1186</v>
      </c>
      <c r="H73" s="9" t="s">
        <v>1186</v>
      </c>
      <c r="I73" s="9" t="s">
        <v>1186</v>
      </c>
      <c r="J73" s="8">
        <v>123354</v>
      </c>
      <c r="K73" s="8" t="str">
        <f>HYPERLINK("http://dx.doi.org/10.1016/j.envpol.2024.123354","http://dx.doi.org/10.1016/j.envpol.2024.123354")</f>
        <v>http://dx.doi.org/10.1016/j.envpol.2024.123354</v>
      </c>
      <c r="L73" s="8"/>
      <c r="M73" s="8" t="s">
        <v>1185</v>
      </c>
    </row>
    <row r="74" spans="1:13" ht="15" x14ac:dyDescent="0.25">
      <c r="A74" s="7" t="s">
        <v>443</v>
      </c>
      <c r="B74" s="8" t="s">
        <v>2095</v>
      </c>
      <c r="C74" s="8" t="s">
        <v>2094</v>
      </c>
      <c r="D74" s="8" t="s">
        <v>1251</v>
      </c>
      <c r="E74" s="8">
        <v>2021</v>
      </c>
      <c r="F74" s="8">
        <v>55</v>
      </c>
      <c r="G74" s="8">
        <v>19</v>
      </c>
      <c r="H74" s="9">
        <v>12871</v>
      </c>
      <c r="I74" s="9">
        <v>12881</v>
      </c>
      <c r="J74" s="8" t="s">
        <v>1186</v>
      </c>
      <c r="K74" s="8" t="str">
        <f>HYPERLINK("http://dx.doi.org/10.1021/acs.est.1c03618","http://dx.doi.org/10.1021/acs.est.1c03618")</f>
        <v>http://dx.doi.org/10.1021/acs.est.1c03618</v>
      </c>
      <c r="L74" s="8"/>
      <c r="M74" s="8" t="s">
        <v>1185</v>
      </c>
    </row>
    <row r="75" spans="1:13" ht="15" x14ac:dyDescent="0.25">
      <c r="A75" s="7" t="s">
        <v>2093</v>
      </c>
      <c r="B75" s="8" t="s">
        <v>2092</v>
      </c>
      <c r="C75" s="8" t="s">
        <v>2091</v>
      </c>
      <c r="D75" s="8" t="s">
        <v>1195</v>
      </c>
      <c r="E75" s="8">
        <v>2022</v>
      </c>
      <c r="F75" s="8">
        <v>432</v>
      </c>
      <c r="G75" s="8" t="s">
        <v>1186</v>
      </c>
      <c r="H75" s="9" t="s">
        <v>1186</v>
      </c>
      <c r="I75" s="9" t="s">
        <v>1186</v>
      </c>
      <c r="J75" s="8">
        <v>128674</v>
      </c>
      <c r="K75" s="8" t="str">
        <f>HYPERLINK("http://dx.doi.org/10.1016/j.jhazmat.2022.128674","http://dx.doi.org/10.1016/j.jhazmat.2022.128674")</f>
        <v>http://dx.doi.org/10.1016/j.jhazmat.2022.128674</v>
      </c>
      <c r="L75" s="8" t="s">
        <v>1185</v>
      </c>
      <c r="M75" s="8"/>
    </row>
    <row r="76" spans="1:13" ht="15" x14ac:dyDescent="0.25">
      <c r="A76" s="7" t="s">
        <v>2090</v>
      </c>
      <c r="B76" s="8" t="s">
        <v>2089</v>
      </c>
      <c r="C76" s="8" t="s">
        <v>2088</v>
      </c>
      <c r="D76" s="8" t="s">
        <v>2087</v>
      </c>
      <c r="E76" s="8">
        <v>2022</v>
      </c>
      <c r="F76" s="8">
        <v>19</v>
      </c>
      <c r="G76" s="8">
        <v>19</v>
      </c>
      <c r="H76" s="9" t="s">
        <v>1186</v>
      </c>
      <c r="I76" s="9" t="s">
        <v>1186</v>
      </c>
      <c r="J76" s="8">
        <v>12252</v>
      </c>
      <c r="K76" s="8" t="str">
        <f>HYPERLINK("http://dx.doi.org/10.3390/ijerph191912252","http://dx.doi.org/10.3390/ijerph191912252")</f>
        <v>http://dx.doi.org/10.3390/ijerph191912252</v>
      </c>
      <c r="L76" s="8" t="s">
        <v>1185</v>
      </c>
      <c r="M76" s="8"/>
    </row>
    <row r="77" spans="1:13" ht="15" x14ac:dyDescent="0.25">
      <c r="A77" s="7" t="s">
        <v>152</v>
      </c>
      <c r="B77" s="8" t="s">
        <v>2086</v>
      </c>
      <c r="C77" s="8" t="s">
        <v>2085</v>
      </c>
      <c r="D77" s="8" t="s">
        <v>1214</v>
      </c>
      <c r="E77" s="8">
        <v>2022</v>
      </c>
      <c r="F77" s="8">
        <v>824</v>
      </c>
      <c r="G77" s="8" t="s">
        <v>1186</v>
      </c>
      <c r="H77" s="9" t="s">
        <v>1186</v>
      </c>
      <c r="I77" s="9" t="s">
        <v>1186</v>
      </c>
      <c r="J77" s="8">
        <v>153709</v>
      </c>
      <c r="K77" s="8" t="str">
        <f>HYPERLINK("http://dx.doi.org/10.1016/j.scitotenv.2022.153709","http://dx.doi.org/10.1016/j.scitotenv.2022.153709")</f>
        <v>http://dx.doi.org/10.1016/j.scitotenv.2022.153709</v>
      </c>
      <c r="L77" s="8"/>
      <c r="M77" s="8" t="s">
        <v>1185</v>
      </c>
    </row>
    <row r="78" spans="1:13" ht="15" x14ac:dyDescent="0.25">
      <c r="A78" s="7" t="s">
        <v>2084</v>
      </c>
      <c r="B78" s="8" t="s">
        <v>2083</v>
      </c>
      <c r="C78" s="8" t="s">
        <v>2082</v>
      </c>
      <c r="D78" s="8" t="s">
        <v>1233</v>
      </c>
      <c r="E78" s="8">
        <v>2021</v>
      </c>
      <c r="F78" s="8">
        <v>280</v>
      </c>
      <c r="G78" s="8" t="s">
        <v>1186</v>
      </c>
      <c r="H78" s="9" t="s">
        <v>1186</v>
      </c>
      <c r="I78" s="9" t="s">
        <v>1186</v>
      </c>
      <c r="J78" s="8">
        <v>116949</v>
      </c>
      <c r="K78" s="8" t="str">
        <f>HYPERLINK("http://dx.doi.org/10.1016/j.envpol.2021.116949","http://dx.doi.org/10.1016/j.envpol.2021.116949")</f>
        <v>http://dx.doi.org/10.1016/j.envpol.2021.116949</v>
      </c>
      <c r="L78" s="8" t="s">
        <v>1185</v>
      </c>
      <c r="M78" s="8"/>
    </row>
    <row r="79" spans="1:13" ht="15" x14ac:dyDescent="0.25">
      <c r="A79" s="7" t="s">
        <v>2081</v>
      </c>
      <c r="B79" s="8" t="s">
        <v>2080</v>
      </c>
      <c r="C79" s="8" t="s">
        <v>2079</v>
      </c>
      <c r="D79" s="8" t="s">
        <v>2078</v>
      </c>
      <c r="E79" s="8">
        <v>2024</v>
      </c>
      <c r="F79" s="8">
        <v>29</v>
      </c>
      <c r="G79" s="8">
        <v>1</v>
      </c>
      <c r="H79" s="9" t="s">
        <v>1186</v>
      </c>
      <c r="I79" s="9" t="s">
        <v>1186</v>
      </c>
      <c r="J79" s="8" t="s">
        <v>2077</v>
      </c>
      <c r="K79" s="8" t="str">
        <f>HYPERLINK("http://dx.doi.org/10.1590/1517-7076-RMAT-2023-0315","http://dx.doi.org/10.1590/1517-7076-RMAT-2023-0315")</f>
        <v>http://dx.doi.org/10.1590/1517-7076-RMAT-2023-0315</v>
      </c>
      <c r="L79" s="8"/>
      <c r="M79" s="8" t="s">
        <v>1185</v>
      </c>
    </row>
    <row r="80" spans="1:13" ht="15" x14ac:dyDescent="0.25">
      <c r="A80" s="7" t="s">
        <v>2076</v>
      </c>
      <c r="B80" s="8" t="s">
        <v>2075</v>
      </c>
      <c r="C80" s="8" t="s">
        <v>2074</v>
      </c>
      <c r="D80" s="8" t="s">
        <v>2073</v>
      </c>
      <c r="E80" s="8">
        <v>2024</v>
      </c>
      <c r="F80" s="8">
        <v>26</v>
      </c>
      <c r="G80" s="8">
        <v>3</v>
      </c>
      <c r="H80" s="9">
        <v>1363</v>
      </c>
      <c r="I80" s="9">
        <v>1369</v>
      </c>
      <c r="J80" s="8" t="s">
        <v>1186</v>
      </c>
      <c r="K80" s="8" t="str">
        <f>HYPERLINK("http://dx.doi.org/10.1039/d3gc04197b","http://dx.doi.org/10.1039/d3gc04197b")</f>
        <v>http://dx.doi.org/10.1039/d3gc04197b</v>
      </c>
      <c r="L80" s="8" t="s">
        <v>1185</v>
      </c>
      <c r="M80" s="8"/>
    </row>
    <row r="81" spans="1:13" ht="15" x14ac:dyDescent="0.25">
      <c r="A81" s="7" t="s">
        <v>2072</v>
      </c>
      <c r="B81" s="8" t="s">
        <v>2071</v>
      </c>
      <c r="C81" s="8" t="s">
        <v>2070</v>
      </c>
      <c r="D81" s="8" t="s">
        <v>2069</v>
      </c>
      <c r="E81" s="8">
        <v>2018</v>
      </c>
      <c r="F81" s="8">
        <v>132</v>
      </c>
      <c r="G81" s="8" t="s">
        <v>1186</v>
      </c>
      <c r="H81" s="9">
        <v>151</v>
      </c>
      <c r="I81" s="9">
        <v>156</v>
      </c>
      <c r="J81" s="8" t="s">
        <v>1186</v>
      </c>
      <c r="K81" s="8" t="str">
        <f>HYPERLINK("http://dx.doi.org/10.1016/j.apradiso.2017.12.007","http://dx.doi.org/10.1016/j.apradiso.2017.12.007")</f>
        <v>http://dx.doi.org/10.1016/j.apradiso.2017.12.007</v>
      </c>
      <c r="L81" s="8" t="s">
        <v>1185</v>
      </c>
      <c r="M81" s="8"/>
    </row>
    <row r="82" spans="1:13" ht="15" x14ac:dyDescent="0.25">
      <c r="A82" s="7" t="s">
        <v>2068</v>
      </c>
      <c r="B82" s="8" t="s">
        <v>2067</v>
      </c>
      <c r="C82" s="8" t="s">
        <v>2066</v>
      </c>
      <c r="D82" s="8" t="s">
        <v>2065</v>
      </c>
      <c r="E82" s="8">
        <v>2020</v>
      </c>
      <c r="F82" s="8">
        <v>9</v>
      </c>
      <c r="G82" s="8">
        <v>1</v>
      </c>
      <c r="H82" s="9">
        <v>127</v>
      </c>
      <c r="I82" s="9">
        <v>132</v>
      </c>
      <c r="J82" s="8" t="s">
        <v>1186</v>
      </c>
      <c r="K82" s="8" t="str">
        <f>HYPERLINK("http://dx.doi.org/10.5194/jsss-9-127-2020","http://dx.doi.org/10.5194/jsss-9-127-2020")</f>
        <v>http://dx.doi.org/10.5194/jsss-9-127-2020</v>
      </c>
      <c r="L82" s="8" t="s">
        <v>1185</v>
      </c>
      <c r="M82" s="8"/>
    </row>
    <row r="83" spans="1:13" ht="15" x14ac:dyDescent="0.25">
      <c r="A83" s="7" t="s">
        <v>2064</v>
      </c>
      <c r="B83" s="8" t="s">
        <v>2063</v>
      </c>
      <c r="C83" s="8" t="s">
        <v>2062</v>
      </c>
      <c r="D83" s="8" t="s">
        <v>2061</v>
      </c>
      <c r="E83" s="8">
        <v>2023</v>
      </c>
      <c r="F83" s="8">
        <v>344</v>
      </c>
      <c r="G83" s="8" t="s">
        <v>1186</v>
      </c>
      <c r="H83" s="9" t="s">
        <v>1186</v>
      </c>
      <c r="I83" s="9" t="s">
        <v>1186</v>
      </c>
      <c r="J83" s="8">
        <v>128092</v>
      </c>
      <c r="K83" s="8" t="str">
        <f>HYPERLINK("http://dx.doi.org/10.1016/j.fuel.2023.128092","http://dx.doi.org/10.1016/j.fuel.2023.128092")</f>
        <v>http://dx.doi.org/10.1016/j.fuel.2023.128092</v>
      </c>
      <c r="L83" s="8" t="s">
        <v>1185</v>
      </c>
      <c r="M83" s="8"/>
    </row>
    <row r="84" spans="1:13" ht="15" x14ac:dyDescent="0.25">
      <c r="A84" s="7" t="s">
        <v>2060</v>
      </c>
      <c r="B84" s="8" t="s">
        <v>2059</v>
      </c>
      <c r="C84" s="8" t="s">
        <v>2058</v>
      </c>
      <c r="D84" s="8" t="s">
        <v>1386</v>
      </c>
      <c r="E84" s="8">
        <v>2023</v>
      </c>
      <c r="F84" s="8">
        <v>30</v>
      </c>
      <c r="G84" s="8">
        <v>13</v>
      </c>
      <c r="H84" s="9">
        <v>39246</v>
      </c>
      <c r="I84" s="9">
        <v>39257</v>
      </c>
      <c r="J84" s="8" t="s">
        <v>1186</v>
      </c>
      <c r="K84" s="8" t="str">
        <f>HYPERLINK("http://dx.doi.org/10.1007/s11356-022-24935-0","http://dx.doi.org/10.1007/s11356-022-24935-0")</f>
        <v>http://dx.doi.org/10.1007/s11356-022-24935-0</v>
      </c>
      <c r="L84" s="8" t="s">
        <v>1185</v>
      </c>
      <c r="M84" s="8"/>
    </row>
    <row r="85" spans="1:13" ht="15" x14ac:dyDescent="0.25">
      <c r="A85" s="7" t="s">
        <v>605</v>
      </c>
      <c r="B85" s="8" t="s">
        <v>2057</v>
      </c>
      <c r="C85" s="8" t="s">
        <v>2056</v>
      </c>
      <c r="D85" s="8" t="s">
        <v>2004</v>
      </c>
      <c r="E85" s="8">
        <v>2024</v>
      </c>
      <c r="F85" s="8" t="s">
        <v>1186</v>
      </c>
      <c r="G85" s="8" t="s">
        <v>1186</v>
      </c>
      <c r="H85" s="9" t="s">
        <v>1186</v>
      </c>
      <c r="I85" s="9" t="s">
        <v>1186</v>
      </c>
      <c r="J85" s="8" t="s">
        <v>1186</v>
      </c>
      <c r="K85" s="8" t="str">
        <f>HYPERLINK("http://dx.doi.org/10.1007/s11869-024-01571-w","http://dx.doi.org/10.1007/s11869-024-01571-w")</f>
        <v>http://dx.doi.org/10.1007/s11869-024-01571-w</v>
      </c>
      <c r="L85" s="8"/>
      <c r="M85" s="8" t="s">
        <v>1185</v>
      </c>
    </row>
    <row r="86" spans="1:13" ht="15" x14ac:dyDescent="0.25">
      <c r="A86" s="7" t="s">
        <v>2055</v>
      </c>
      <c r="B86" s="8" t="s">
        <v>2054</v>
      </c>
      <c r="C86" s="8" t="s">
        <v>2053</v>
      </c>
      <c r="D86" s="8" t="s">
        <v>1678</v>
      </c>
      <c r="E86" s="8">
        <v>2023</v>
      </c>
      <c r="F86" s="8">
        <v>9</v>
      </c>
      <c r="G86" s="8">
        <v>3</v>
      </c>
      <c r="H86" s="9" t="s">
        <v>1186</v>
      </c>
      <c r="I86" s="9" t="s">
        <v>1186</v>
      </c>
      <c r="J86" s="8">
        <v>100233</v>
      </c>
      <c r="K86" s="8" t="str">
        <f>HYPERLINK("http://dx.doi.org/10.1016/j.emcon.2023.100233","http://dx.doi.org/10.1016/j.emcon.2023.100233")</f>
        <v>http://dx.doi.org/10.1016/j.emcon.2023.100233</v>
      </c>
      <c r="L86" s="8" t="s">
        <v>1185</v>
      </c>
      <c r="M86" s="8"/>
    </row>
    <row r="87" spans="1:13" ht="15" x14ac:dyDescent="0.25">
      <c r="A87" s="7" t="s">
        <v>608</v>
      </c>
      <c r="B87" s="8" t="s">
        <v>2052</v>
      </c>
      <c r="C87" s="8" t="s">
        <v>2051</v>
      </c>
      <c r="D87" s="8" t="s">
        <v>1601</v>
      </c>
      <c r="E87" s="8">
        <v>2024</v>
      </c>
      <c r="F87" s="8">
        <v>196</v>
      </c>
      <c r="G87" s="8">
        <v>4</v>
      </c>
      <c r="H87" s="9" t="s">
        <v>1186</v>
      </c>
      <c r="I87" s="9" t="s">
        <v>1186</v>
      </c>
      <c r="J87" s="8">
        <v>350</v>
      </c>
      <c r="K87" s="8" t="str">
        <f>HYPERLINK("http://dx.doi.org/10.1007/s10661-024-12493-6","http://dx.doi.org/10.1007/s10661-024-12493-6")</f>
        <v>http://dx.doi.org/10.1007/s10661-024-12493-6</v>
      </c>
      <c r="L87" s="8"/>
      <c r="M87" s="8" t="s">
        <v>1185</v>
      </c>
    </row>
    <row r="88" spans="1:13" ht="15" x14ac:dyDescent="0.25">
      <c r="A88" s="7" t="s">
        <v>2050</v>
      </c>
      <c r="B88" s="8" t="s">
        <v>2049</v>
      </c>
      <c r="C88" s="8" t="s">
        <v>2048</v>
      </c>
      <c r="D88" s="8" t="s">
        <v>1191</v>
      </c>
      <c r="E88" s="8">
        <v>2022</v>
      </c>
      <c r="F88" s="8">
        <v>161</v>
      </c>
      <c r="G88" s="8" t="s">
        <v>1186</v>
      </c>
      <c r="H88" s="9" t="s">
        <v>1186</v>
      </c>
      <c r="I88" s="9" t="s">
        <v>1186</v>
      </c>
      <c r="J88" s="8">
        <v>105421</v>
      </c>
      <c r="K88" s="8" t="str">
        <f>HYPERLINK("http://dx.doi.org/10.1016/j.jaap.2021.105421","http://dx.doi.org/10.1016/j.jaap.2021.105421")</f>
        <v>http://dx.doi.org/10.1016/j.jaap.2021.105421</v>
      </c>
      <c r="L88" s="8" t="s">
        <v>1185</v>
      </c>
      <c r="M88" s="8"/>
    </row>
    <row r="89" spans="1:13" ht="15" x14ac:dyDescent="0.25">
      <c r="A89" s="7" t="s">
        <v>162</v>
      </c>
      <c r="B89" s="8" t="s">
        <v>2047</v>
      </c>
      <c r="C89" s="8" t="s">
        <v>2046</v>
      </c>
      <c r="D89" s="8" t="s">
        <v>1214</v>
      </c>
      <c r="E89" s="8">
        <v>2022</v>
      </c>
      <c r="F89" s="8">
        <v>849</v>
      </c>
      <c r="G89" s="8" t="s">
        <v>1186</v>
      </c>
      <c r="H89" s="9" t="s">
        <v>1186</v>
      </c>
      <c r="I89" s="9" t="s">
        <v>1186</v>
      </c>
      <c r="J89" s="8">
        <v>157702</v>
      </c>
      <c r="K89" s="8" t="str">
        <f>HYPERLINK("http://dx.doi.org/10.1016/j.scitotenv.2022.157702","http://dx.doi.org/10.1016/j.scitotenv.2022.157702")</f>
        <v>http://dx.doi.org/10.1016/j.scitotenv.2022.157702</v>
      </c>
      <c r="L89" s="8"/>
      <c r="M89" s="8" t="s">
        <v>1185</v>
      </c>
    </row>
    <row r="90" spans="1:13" ht="15" x14ac:dyDescent="0.25">
      <c r="A90" s="7" t="s">
        <v>612</v>
      </c>
      <c r="B90" s="8" t="s">
        <v>2045</v>
      </c>
      <c r="C90" s="8" t="s">
        <v>2044</v>
      </c>
      <c r="D90" s="8" t="s">
        <v>1214</v>
      </c>
      <c r="E90" s="8">
        <v>2022</v>
      </c>
      <c r="F90" s="8">
        <v>806</v>
      </c>
      <c r="G90" s="8" t="s">
        <v>1186</v>
      </c>
      <c r="H90" s="9" t="s">
        <v>1186</v>
      </c>
      <c r="I90" s="9" t="s">
        <v>1186</v>
      </c>
      <c r="J90" s="8">
        <v>151472</v>
      </c>
      <c r="K90" s="8" t="str">
        <f>HYPERLINK("http://dx.doi.org/10.1016/j.scitotenv.2021.151472","http://dx.doi.org/10.1016/j.scitotenv.2021.151472")</f>
        <v>http://dx.doi.org/10.1016/j.scitotenv.2021.151472</v>
      </c>
      <c r="L90" s="8"/>
      <c r="M90" s="8" t="s">
        <v>1185</v>
      </c>
    </row>
    <row r="91" spans="1:13" ht="15" x14ac:dyDescent="0.25">
      <c r="A91" s="7" t="s">
        <v>2043</v>
      </c>
      <c r="B91" s="8" t="s">
        <v>2042</v>
      </c>
      <c r="C91" s="8" t="s">
        <v>2041</v>
      </c>
      <c r="D91" s="8" t="s">
        <v>1644</v>
      </c>
      <c r="E91" s="8">
        <v>2015</v>
      </c>
      <c r="F91" s="8">
        <v>12</v>
      </c>
      <c r="G91" s="8">
        <v>12</v>
      </c>
      <c r="H91" s="9">
        <v>1383</v>
      </c>
      <c r="I91" s="9">
        <v>1391</v>
      </c>
      <c r="J91" s="8" t="s">
        <v>1186</v>
      </c>
      <c r="K91" s="8" t="str">
        <f>HYPERLINK("http://dx.doi.org/10.1002/ppap.201500125","http://dx.doi.org/10.1002/ppap.201500125")</f>
        <v>http://dx.doi.org/10.1002/ppap.201500125</v>
      </c>
      <c r="L91" s="8" t="s">
        <v>1185</v>
      </c>
      <c r="M91" s="8"/>
    </row>
    <row r="92" spans="1:13" ht="15" x14ac:dyDescent="0.25">
      <c r="A92" s="7" t="s">
        <v>617</v>
      </c>
      <c r="B92" s="8" t="s">
        <v>2040</v>
      </c>
      <c r="C92" s="8" t="s">
        <v>2039</v>
      </c>
      <c r="D92" s="8" t="s">
        <v>1514</v>
      </c>
      <c r="E92" s="8">
        <v>2020</v>
      </c>
      <c r="F92" s="8">
        <v>159</v>
      </c>
      <c r="G92" s="8" t="s">
        <v>1186</v>
      </c>
      <c r="H92" s="9" t="s">
        <v>1186</v>
      </c>
      <c r="I92" s="9" t="s">
        <v>1186</v>
      </c>
      <c r="J92" s="8">
        <v>111522</v>
      </c>
      <c r="K92" s="8" t="str">
        <f>HYPERLINK("http://dx.doi.org/10.1016/j.marpolbul.2020.111522","http://dx.doi.org/10.1016/j.marpolbul.2020.111522")</f>
        <v>http://dx.doi.org/10.1016/j.marpolbul.2020.111522</v>
      </c>
      <c r="L92" s="8"/>
      <c r="M92" s="8" t="s">
        <v>1185</v>
      </c>
    </row>
    <row r="93" spans="1:13" ht="15" x14ac:dyDescent="0.25">
      <c r="A93" s="7" t="s">
        <v>2038</v>
      </c>
      <c r="B93" s="8" t="s">
        <v>2037</v>
      </c>
      <c r="C93" s="8" t="s">
        <v>2036</v>
      </c>
      <c r="D93" s="8" t="s">
        <v>2035</v>
      </c>
      <c r="E93" s="8">
        <v>2022</v>
      </c>
      <c r="F93" s="8">
        <v>30</v>
      </c>
      <c r="G93" s="8">
        <v>10</v>
      </c>
      <c r="H93" s="9">
        <v>16553</v>
      </c>
      <c r="I93" s="9">
        <v>16571</v>
      </c>
      <c r="J93" s="8" t="s">
        <v>1186</v>
      </c>
      <c r="K93" s="8" t="str">
        <f>HYPERLINK("http://dx.doi.org/10.1364/OE.451415","http://dx.doi.org/10.1364/OE.451415")</f>
        <v>http://dx.doi.org/10.1364/OE.451415</v>
      </c>
      <c r="L93" s="8" t="s">
        <v>1185</v>
      </c>
      <c r="M93" s="8"/>
    </row>
    <row r="94" spans="1:13" ht="15" x14ac:dyDescent="0.25">
      <c r="A94" s="7" t="s">
        <v>2034</v>
      </c>
      <c r="B94" s="8" t="s">
        <v>2033</v>
      </c>
      <c r="C94" s="8" t="s">
        <v>2032</v>
      </c>
      <c r="D94" s="8" t="s">
        <v>1370</v>
      </c>
      <c r="E94" s="8">
        <v>2022</v>
      </c>
      <c r="F94" s="8">
        <v>292</v>
      </c>
      <c r="G94" s="8" t="s">
        <v>1186</v>
      </c>
      <c r="H94" s="9" t="s">
        <v>1186</v>
      </c>
      <c r="I94" s="9" t="s">
        <v>1186</v>
      </c>
      <c r="J94" s="8">
        <v>133456</v>
      </c>
      <c r="K94" s="8" t="str">
        <f>HYPERLINK("http://dx.doi.org/10.1016/j.chemosphere.2021.133456","http://dx.doi.org/10.1016/j.chemosphere.2021.133456")</f>
        <v>http://dx.doi.org/10.1016/j.chemosphere.2021.133456</v>
      </c>
      <c r="L94" s="8"/>
      <c r="M94" s="8" t="s">
        <v>1185</v>
      </c>
    </row>
    <row r="95" spans="1:13" ht="15" x14ac:dyDescent="0.25">
      <c r="A95" s="7" t="s">
        <v>2031</v>
      </c>
      <c r="B95" s="8" t="s">
        <v>2030</v>
      </c>
      <c r="C95" s="8" t="s">
        <v>2029</v>
      </c>
      <c r="D95" s="8" t="s">
        <v>1247</v>
      </c>
      <c r="E95" s="8">
        <v>2023</v>
      </c>
      <c r="F95" s="8">
        <v>14</v>
      </c>
      <c r="G95" s="8">
        <v>6</v>
      </c>
      <c r="H95" s="9" t="s">
        <v>1186</v>
      </c>
      <c r="I95" s="9" t="s">
        <v>1186</v>
      </c>
      <c r="J95" s="8">
        <v>1007</v>
      </c>
      <c r="K95" s="8" t="str">
        <f>HYPERLINK("http://dx.doi.org/10.3390/atmos14061007","http://dx.doi.org/10.3390/atmos14061007")</f>
        <v>http://dx.doi.org/10.3390/atmos14061007</v>
      </c>
      <c r="L95" s="8"/>
      <c r="M95" s="8" t="s">
        <v>1185</v>
      </c>
    </row>
    <row r="96" spans="1:13" ht="15" x14ac:dyDescent="0.25">
      <c r="A96" s="7" t="s">
        <v>2028</v>
      </c>
      <c r="B96" s="8" t="s">
        <v>2027</v>
      </c>
      <c r="C96" s="8" t="s">
        <v>2026</v>
      </c>
      <c r="D96" s="8" t="s">
        <v>1214</v>
      </c>
      <c r="E96" s="8">
        <v>2021</v>
      </c>
      <c r="F96" s="8">
        <v>754</v>
      </c>
      <c r="G96" s="8" t="s">
        <v>1186</v>
      </c>
      <c r="H96" s="9" t="s">
        <v>1186</v>
      </c>
      <c r="I96" s="9" t="s">
        <v>1186</v>
      </c>
      <c r="J96" s="8">
        <v>142118</v>
      </c>
      <c r="K96" s="8" t="str">
        <f>HYPERLINK("http://dx.doi.org/10.1016/j.scitotenv.2020.142118","http://dx.doi.org/10.1016/j.scitotenv.2020.142118")</f>
        <v>http://dx.doi.org/10.1016/j.scitotenv.2020.142118</v>
      </c>
      <c r="L96" s="8" t="s">
        <v>1185</v>
      </c>
      <c r="M96" s="8"/>
    </row>
    <row r="97" spans="1:13" ht="15" x14ac:dyDescent="0.25">
      <c r="A97" s="7" t="s">
        <v>2025</v>
      </c>
      <c r="B97" s="8" t="s">
        <v>2024</v>
      </c>
      <c r="C97" s="8" t="s">
        <v>2023</v>
      </c>
      <c r="D97" s="8" t="s">
        <v>2022</v>
      </c>
      <c r="E97" s="8">
        <v>2023</v>
      </c>
      <c r="F97" s="8">
        <v>2</v>
      </c>
      <c r="G97" s="8">
        <v>12</v>
      </c>
      <c r="H97" s="9" t="s">
        <v>1186</v>
      </c>
      <c r="I97" s="9" t="s">
        <v>1186</v>
      </c>
      <c r="J97" s="8" t="s">
        <v>2021</v>
      </c>
      <c r="K97" s="8" t="str">
        <f>HYPERLINK("http://dx.doi.org/10.1093/pnasnexus/pgad397","http://dx.doi.org/10.1093/pnasnexus/pgad397")</f>
        <v>http://dx.doi.org/10.1093/pnasnexus/pgad397</v>
      </c>
      <c r="L97" s="8"/>
      <c r="M97" s="8" t="s">
        <v>1185</v>
      </c>
    </row>
    <row r="98" spans="1:13" ht="15" x14ac:dyDescent="0.25">
      <c r="A98" s="7" t="s">
        <v>2020</v>
      </c>
      <c r="B98" s="8" t="s">
        <v>2019</v>
      </c>
      <c r="C98" s="8" t="s">
        <v>2018</v>
      </c>
      <c r="D98" s="8" t="s">
        <v>1251</v>
      </c>
      <c r="E98" s="8">
        <v>2023</v>
      </c>
      <c r="F98" s="8">
        <v>57</v>
      </c>
      <c r="G98" s="8">
        <v>32</v>
      </c>
      <c r="H98" s="9">
        <v>11937</v>
      </c>
      <c r="I98" s="9">
        <v>11947</v>
      </c>
      <c r="J98" s="8" t="s">
        <v>1186</v>
      </c>
      <c r="K98" s="8" t="str">
        <f>HYPERLINK("http://dx.doi.org/10.1021/acs.est.3c03671","http://dx.doi.org/10.1021/acs.est.3c03671")</f>
        <v>http://dx.doi.org/10.1021/acs.est.3c03671</v>
      </c>
      <c r="L98" s="8" t="s">
        <v>1185</v>
      </c>
      <c r="M98" s="8"/>
    </row>
    <row r="99" spans="1:13" ht="15" x14ac:dyDescent="0.25">
      <c r="A99" s="7" t="s">
        <v>2017</v>
      </c>
      <c r="B99" s="8" t="s">
        <v>2016</v>
      </c>
      <c r="C99" s="8" t="s">
        <v>2015</v>
      </c>
      <c r="D99" s="8" t="s">
        <v>1251</v>
      </c>
      <c r="E99" s="8">
        <v>2023</v>
      </c>
      <c r="F99" s="8">
        <v>58</v>
      </c>
      <c r="G99" s="8">
        <v>1</v>
      </c>
      <c r="H99" s="9">
        <v>671</v>
      </c>
      <c r="I99" s="9">
        <v>682</v>
      </c>
      <c r="J99" s="8" t="s">
        <v>1186</v>
      </c>
      <c r="K99" s="8" t="str">
        <f>HYPERLINK("http://dx.doi.org/10.1021/acs.est.3c08209","http://dx.doi.org/10.1021/acs.est.3c08209")</f>
        <v>http://dx.doi.org/10.1021/acs.est.3c08209</v>
      </c>
      <c r="L99" s="8" t="s">
        <v>1185</v>
      </c>
      <c r="M99" s="8"/>
    </row>
    <row r="100" spans="1:13" ht="15" x14ac:dyDescent="0.25">
      <c r="A100" s="7" t="s">
        <v>2014</v>
      </c>
      <c r="B100" s="8" t="s">
        <v>2013</v>
      </c>
      <c r="C100" s="8" t="s">
        <v>2012</v>
      </c>
      <c r="D100" s="8" t="s">
        <v>1594</v>
      </c>
      <c r="E100" s="8">
        <v>2021</v>
      </c>
      <c r="F100" s="8">
        <v>8</v>
      </c>
      <c r="G100" s="8">
        <v>11</v>
      </c>
      <c r="H100" s="9">
        <v>954</v>
      </c>
      <c r="I100" s="9">
        <v>960</v>
      </c>
      <c r="J100" s="8" t="s">
        <v>1186</v>
      </c>
      <c r="K100" s="8" t="str">
        <f>HYPERLINK("http://dx.doi.org/10.1021/acs.estlett.1c00697","http://dx.doi.org/10.1021/acs.estlett.1c00697")</f>
        <v>http://dx.doi.org/10.1021/acs.estlett.1c00697</v>
      </c>
      <c r="L100" s="8"/>
      <c r="M100" s="8" t="s">
        <v>1185</v>
      </c>
    </row>
    <row r="101" spans="1:13" ht="15" x14ac:dyDescent="0.25">
      <c r="A101" s="7" t="s">
        <v>2011</v>
      </c>
      <c r="B101" s="8" t="s">
        <v>2010</v>
      </c>
      <c r="C101" s="8" t="s">
        <v>2009</v>
      </c>
      <c r="D101" s="8" t="s">
        <v>2008</v>
      </c>
      <c r="E101" s="8">
        <v>2017</v>
      </c>
      <c r="F101" s="8">
        <v>29</v>
      </c>
      <c r="G101" s="8">
        <v>8</v>
      </c>
      <c r="H101" s="9">
        <v>655</v>
      </c>
      <c r="I101" s="9">
        <v>658</v>
      </c>
      <c r="J101" s="8" t="s">
        <v>1186</v>
      </c>
      <c r="K101" s="8" t="str">
        <f>HYPERLINK("http://dx.doi.org/10.1109/LPT.2017.2677083","http://dx.doi.org/10.1109/LPT.2017.2677083")</f>
        <v>http://dx.doi.org/10.1109/LPT.2017.2677083</v>
      </c>
      <c r="L101" s="8" t="s">
        <v>1185</v>
      </c>
      <c r="M101" s="8"/>
    </row>
    <row r="102" spans="1:13" ht="15" x14ac:dyDescent="0.25">
      <c r="A102" s="7" t="s">
        <v>2007</v>
      </c>
      <c r="B102" s="8" t="s">
        <v>2006</v>
      </c>
      <c r="C102" s="8" t="s">
        <v>2005</v>
      </c>
      <c r="D102" s="8" t="s">
        <v>2004</v>
      </c>
      <c r="E102" s="8">
        <v>2024</v>
      </c>
      <c r="F102" s="8" t="s">
        <v>1186</v>
      </c>
      <c r="G102" s="8" t="s">
        <v>1186</v>
      </c>
      <c r="H102" s="9" t="s">
        <v>1186</v>
      </c>
      <c r="I102" s="9" t="s">
        <v>1186</v>
      </c>
      <c r="J102" s="8" t="s">
        <v>1186</v>
      </c>
      <c r="K102" s="8" t="str">
        <f>HYPERLINK("http://dx.doi.org/10.1007/s11869-024-01548-9","http://dx.doi.org/10.1007/s11869-024-01548-9")</f>
        <v>http://dx.doi.org/10.1007/s11869-024-01548-9</v>
      </c>
      <c r="L102" s="8"/>
      <c r="M102" s="8" t="s">
        <v>1185</v>
      </c>
    </row>
    <row r="103" spans="1:13" ht="15" x14ac:dyDescent="0.25">
      <c r="A103" s="7" t="s">
        <v>2003</v>
      </c>
      <c r="B103" s="8" t="s">
        <v>2002</v>
      </c>
      <c r="C103" s="8" t="s">
        <v>2001</v>
      </c>
      <c r="D103" s="8" t="s">
        <v>2000</v>
      </c>
      <c r="E103" s="8">
        <v>2015</v>
      </c>
      <c r="F103" s="8">
        <v>70</v>
      </c>
      <c r="G103" s="8">
        <v>2</v>
      </c>
      <c r="H103" s="9">
        <v>207</v>
      </c>
      <c r="I103" s="9">
        <v>212</v>
      </c>
      <c r="J103" s="8" t="s">
        <v>1186</v>
      </c>
      <c r="K103" s="8" t="str">
        <f>HYPERLINK("http://dx.doi.org/10.1134/S1061934814120053","http://dx.doi.org/10.1134/S1061934814120053")</f>
        <v>http://dx.doi.org/10.1134/S1061934814120053</v>
      </c>
      <c r="L103" s="8" t="s">
        <v>1185</v>
      </c>
      <c r="M103" s="8"/>
    </row>
    <row r="104" spans="1:13" ht="15" x14ac:dyDescent="0.25">
      <c r="A104" s="7" t="s">
        <v>1999</v>
      </c>
      <c r="B104" s="8" t="s">
        <v>1998</v>
      </c>
      <c r="C104" s="8" t="s">
        <v>1997</v>
      </c>
      <c r="D104" s="8" t="s">
        <v>1625</v>
      </c>
      <c r="E104" s="8">
        <v>2020</v>
      </c>
      <c r="F104" s="8">
        <v>20</v>
      </c>
      <c r="G104" s="8">
        <v>2</v>
      </c>
      <c r="H104" s="9" t="s">
        <v>1186</v>
      </c>
      <c r="I104" s="9" t="s">
        <v>1186</v>
      </c>
      <c r="J104" s="8">
        <v>516</v>
      </c>
      <c r="K104" s="8" t="str">
        <f>HYPERLINK("http://dx.doi.org/10.3390/s20020516","http://dx.doi.org/10.3390/s20020516")</f>
        <v>http://dx.doi.org/10.3390/s20020516</v>
      </c>
      <c r="L104" s="8" t="s">
        <v>1185</v>
      </c>
      <c r="M104" s="8"/>
    </row>
    <row r="105" spans="1:13" ht="15" x14ac:dyDescent="0.25">
      <c r="A105" s="7" t="s">
        <v>348</v>
      </c>
      <c r="B105" s="8" t="s">
        <v>1996</v>
      </c>
      <c r="C105" s="8" t="s">
        <v>1995</v>
      </c>
      <c r="D105" s="8" t="s">
        <v>1416</v>
      </c>
      <c r="E105" s="8">
        <v>2022</v>
      </c>
      <c r="F105" s="8">
        <v>13</v>
      </c>
      <c r="G105" s="8">
        <v>10</v>
      </c>
      <c r="H105" s="9" t="s">
        <v>1186</v>
      </c>
      <c r="I105" s="9" t="s">
        <v>1186</v>
      </c>
      <c r="J105" s="8">
        <v>101550</v>
      </c>
      <c r="K105" s="8" t="str">
        <f>HYPERLINK("http://dx.doi.org/10.1016/j.apr.2022.101550","http://dx.doi.org/10.1016/j.apr.2022.101550")</f>
        <v>http://dx.doi.org/10.1016/j.apr.2022.101550</v>
      </c>
      <c r="L105" s="8"/>
      <c r="M105" s="8" t="s">
        <v>1185</v>
      </c>
    </row>
    <row r="106" spans="1:13" ht="15" x14ac:dyDescent="0.25">
      <c r="A106" s="7" t="s">
        <v>621</v>
      </c>
      <c r="B106" s="8" t="s">
        <v>1994</v>
      </c>
      <c r="C106" s="8" t="s">
        <v>1993</v>
      </c>
      <c r="D106" s="8" t="s">
        <v>1992</v>
      </c>
      <c r="E106" s="8">
        <v>2024</v>
      </c>
      <c r="F106" s="8" t="s">
        <v>1186</v>
      </c>
      <c r="G106" s="8" t="s">
        <v>1186</v>
      </c>
      <c r="H106" s="9" t="s">
        <v>1186</v>
      </c>
      <c r="I106" s="9" t="s">
        <v>1186</v>
      </c>
      <c r="J106" s="8" t="s">
        <v>1186</v>
      </c>
      <c r="K106" s="8" t="str">
        <f>HYPERLINK("http://dx.doi.org/10.1002/ldr.5128","http://dx.doi.org/10.1002/ldr.5128")</f>
        <v>http://dx.doi.org/10.1002/ldr.5128</v>
      </c>
      <c r="L106" s="8"/>
      <c r="M106" s="8" t="s">
        <v>1185</v>
      </c>
    </row>
    <row r="107" spans="1:13" ht="15" x14ac:dyDescent="0.25">
      <c r="A107" s="7" t="s">
        <v>1991</v>
      </c>
      <c r="B107" s="8" t="s">
        <v>1990</v>
      </c>
      <c r="C107" s="8" t="s">
        <v>1989</v>
      </c>
      <c r="D107" s="8" t="s">
        <v>1988</v>
      </c>
      <c r="E107" s="8">
        <v>2019</v>
      </c>
      <c r="F107" s="8">
        <v>6</v>
      </c>
      <c r="G107" s="8">
        <v>2</v>
      </c>
      <c r="H107" s="9">
        <v>144</v>
      </c>
      <c r="I107" s="9">
        <v>161</v>
      </c>
      <c r="J107" s="8" t="s">
        <v>1186</v>
      </c>
      <c r="K107" s="8" t="str">
        <f>HYPERLINK("http://dx.doi.org/10.15302/J-FASE-2019258","http://dx.doi.org/10.15302/J-FASE-2019258")</f>
        <v>http://dx.doi.org/10.15302/J-FASE-2019258</v>
      </c>
      <c r="L107" s="8" t="s">
        <v>1185</v>
      </c>
      <c r="M107" s="8"/>
    </row>
    <row r="108" spans="1:13" ht="15" x14ac:dyDescent="0.25">
      <c r="A108" s="7" t="s">
        <v>1987</v>
      </c>
      <c r="B108" s="8" t="s">
        <v>1986</v>
      </c>
      <c r="C108" s="8" t="s">
        <v>1985</v>
      </c>
      <c r="D108" s="8" t="s">
        <v>1984</v>
      </c>
      <c r="E108" s="8">
        <v>2024</v>
      </c>
      <c r="F108" s="8">
        <v>154</v>
      </c>
      <c r="G108" s="8" t="s">
        <v>1186</v>
      </c>
      <c r="H108" s="9" t="s">
        <v>1186</v>
      </c>
      <c r="I108" s="9" t="s">
        <v>1186</v>
      </c>
      <c r="J108" s="8">
        <v>127080</v>
      </c>
      <c r="K108" s="8" t="str">
        <f>HYPERLINK("http://dx.doi.org/10.1016/j.eja.2024.127080","http://dx.doi.org/10.1016/j.eja.2024.127080")</f>
        <v>http://dx.doi.org/10.1016/j.eja.2024.127080</v>
      </c>
      <c r="L108" s="8" t="s">
        <v>1185</v>
      </c>
      <c r="M108" s="8"/>
    </row>
    <row r="109" spans="1:13" ht="15" x14ac:dyDescent="0.25">
      <c r="A109" s="7" t="s">
        <v>643</v>
      </c>
      <c r="B109" s="8" t="s">
        <v>1983</v>
      </c>
      <c r="C109" s="8" t="s">
        <v>1982</v>
      </c>
      <c r="D109" s="8" t="s">
        <v>1214</v>
      </c>
      <c r="E109" s="8">
        <v>2022</v>
      </c>
      <c r="F109" s="8">
        <v>847</v>
      </c>
      <c r="G109" s="8" t="s">
        <v>1186</v>
      </c>
      <c r="H109" s="9" t="s">
        <v>1186</v>
      </c>
      <c r="I109" s="9" t="s">
        <v>1186</v>
      </c>
      <c r="J109" s="8">
        <v>157601</v>
      </c>
      <c r="K109" s="8" t="str">
        <f>HYPERLINK("http://dx.doi.org/10.1016/j.scitotenv.2022.157601","http://dx.doi.org/10.1016/j.scitotenv.2022.157601")</f>
        <v>http://dx.doi.org/10.1016/j.scitotenv.2022.157601</v>
      </c>
      <c r="L109" s="8"/>
      <c r="M109" s="8" t="s">
        <v>1185</v>
      </c>
    </row>
    <row r="110" spans="1:13" ht="15" x14ac:dyDescent="0.25">
      <c r="A110" s="7" t="s">
        <v>224</v>
      </c>
      <c r="B110" s="8" t="s">
        <v>1981</v>
      </c>
      <c r="C110" s="8" t="s">
        <v>1980</v>
      </c>
      <c r="D110" s="8" t="s">
        <v>1251</v>
      </c>
      <c r="E110" s="8">
        <v>2019</v>
      </c>
      <c r="F110" s="8">
        <v>53</v>
      </c>
      <c r="G110" s="8">
        <v>18</v>
      </c>
      <c r="H110" s="9">
        <v>10612</v>
      </c>
      <c r="I110" s="9">
        <v>10619</v>
      </c>
      <c r="J110" s="8" t="s">
        <v>1186</v>
      </c>
      <c r="K110" s="8" t="str">
        <f>HYPERLINK("http://dx.doi.org/10.1021/acs.est.9b03427","http://dx.doi.org/10.1021/acs.est.9b03427")</f>
        <v>http://dx.doi.org/10.1021/acs.est.9b03427</v>
      </c>
      <c r="L110" s="8"/>
      <c r="M110" s="8" t="s">
        <v>1185</v>
      </c>
    </row>
    <row r="111" spans="1:13" ht="15" x14ac:dyDescent="0.25">
      <c r="A111" s="7" t="s">
        <v>1979</v>
      </c>
      <c r="B111" s="8" t="s">
        <v>1978</v>
      </c>
      <c r="C111" s="8" t="s">
        <v>1977</v>
      </c>
      <c r="D111" s="8" t="s">
        <v>1219</v>
      </c>
      <c r="E111" s="8">
        <v>2021</v>
      </c>
      <c r="F111" s="8">
        <v>4</v>
      </c>
      <c r="G111" s="8" t="s">
        <v>1186</v>
      </c>
      <c r="H111" s="9" t="s">
        <v>1186</v>
      </c>
      <c r="I111" s="9" t="s">
        <v>1186</v>
      </c>
      <c r="J111" s="8">
        <v>100035</v>
      </c>
      <c r="K111" s="8" t="str">
        <f>HYPERLINK("http://dx.doi.org/10.1016/j.hazadv.2021.100035","http://dx.doi.org/10.1016/j.hazadv.2021.100035")</f>
        <v>http://dx.doi.org/10.1016/j.hazadv.2021.100035</v>
      </c>
      <c r="L111" s="8"/>
      <c r="M111" s="8" t="s">
        <v>1185</v>
      </c>
    </row>
    <row r="112" spans="1:13" ht="15" x14ac:dyDescent="0.25">
      <c r="A112" s="7" t="s">
        <v>648</v>
      </c>
      <c r="B112" s="8" t="s">
        <v>1976</v>
      </c>
      <c r="C112" s="8" t="s">
        <v>1975</v>
      </c>
      <c r="D112" s="8" t="s">
        <v>1370</v>
      </c>
      <c r="E112" s="8">
        <v>2023</v>
      </c>
      <c r="F112" s="8">
        <v>322</v>
      </c>
      <c r="G112" s="8" t="s">
        <v>1186</v>
      </c>
      <c r="H112" s="9" t="s">
        <v>1186</v>
      </c>
      <c r="I112" s="9" t="s">
        <v>1186</v>
      </c>
      <c r="J112" s="8">
        <v>138150</v>
      </c>
      <c r="K112" s="8" t="str">
        <f>HYPERLINK("http://dx.doi.org/10.1016/j.chemosphere.2023.138150","http://dx.doi.org/10.1016/j.chemosphere.2023.138150")</f>
        <v>http://dx.doi.org/10.1016/j.chemosphere.2023.138150</v>
      </c>
      <c r="L112" s="8"/>
      <c r="M112" s="8" t="s">
        <v>1185</v>
      </c>
    </row>
    <row r="113" spans="1:13" ht="15" x14ac:dyDescent="0.25">
      <c r="A113" s="7" t="s">
        <v>1974</v>
      </c>
      <c r="B113" s="8" t="s">
        <v>1973</v>
      </c>
      <c r="C113" s="8" t="s">
        <v>1972</v>
      </c>
      <c r="D113" s="8" t="s">
        <v>1370</v>
      </c>
      <c r="E113" s="8">
        <v>2023</v>
      </c>
      <c r="F113" s="8">
        <v>321</v>
      </c>
      <c r="G113" s="8" t="s">
        <v>1186</v>
      </c>
      <c r="H113" s="9" t="s">
        <v>1186</v>
      </c>
      <c r="I113" s="9" t="s">
        <v>1186</v>
      </c>
      <c r="J113" s="8">
        <v>138032</v>
      </c>
      <c r="K113" s="8" t="str">
        <f>HYPERLINK("http://dx.doi.org/10.1016/j.chemosphere.2023.138032","http://dx.doi.org/10.1016/j.chemosphere.2023.138032")</f>
        <v>http://dx.doi.org/10.1016/j.chemosphere.2023.138032</v>
      </c>
      <c r="L113" s="8"/>
      <c r="M113" s="8" t="s">
        <v>1185</v>
      </c>
    </row>
    <row r="114" spans="1:13" ht="15" x14ac:dyDescent="0.25">
      <c r="A114" s="7" t="s">
        <v>666</v>
      </c>
      <c r="B114" s="8" t="s">
        <v>1971</v>
      </c>
      <c r="C114" s="8" t="s">
        <v>1970</v>
      </c>
      <c r="D114" s="8" t="s">
        <v>1386</v>
      </c>
      <c r="E114" s="8">
        <v>2023</v>
      </c>
      <c r="F114" s="8">
        <v>30</v>
      </c>
      <c r="G114" s="8">
        <v>48</v>
      </c>
      <c r="H114" s="9">
        <v>106026</v>
      </c>
      <c r="I114" s="9">
        <v>106037</v>
      </c>
      <c r="J114" s="8" t="s">
        <v>1969</v>
      </c>
      <c r="K114" s="8" t="str">
        <f>HYPERLINK("http://dx.doi.org/10.1007/s11356-023-29897-5","http://dx.doi.org/10.1007/s11356-023-29897-5")</f>
        <v>http://dx.doi.org/10.1007/s11356-023-29897-5</v>
      </c>
      <c r="L114" s="8"/>
      <c r="M114" s="8" t="s">
        <v>1185</v>
      </c>
    </row>
    <row r="115" spans="1:13" ht="15" x14ac:dyDescent="0.25">
      <c r="A115" s="7" t="s">
        <v>1968</v>
      </c>
      <c r="B115" s="8" t="s">
        <v>1967</v>
      </c>
      <c r="C115" s="8" t="s">
        <v>1966</v>
      </c>
      <c r="D115" s="8" t="s">
        <v>1892</v>
      </c>
      <c r="E115" s="8">
        <v>2023</v>
      </c>
      <c r="F115" s="8">
        <v>12</v>
      </c>
      <c r="G115" s="8">
        <v>12</v>
      </c>
      <c r="H115" s="9" t="s">
        <v>1186</v>
      </c>
      <c r="I115" s="9" t="s">
        <v>1186</v>
      </c>
      <c r="J115" s="8">
        <v>1456</v>
      </c>
      <c r="K115" s="8" t="str">
        <f>HYPERLINK("http://dx.doi.org/10.3390/biology12121456","http://dx.doi.org/10.3390/biology12121456")</f>
        <v>http://dx.doi.org/10.3390/biology12121456</v>
      </c>
      <c r="L115" s="8"/>
      <c r="M115" s="8" t="s">
        <v>1185</v>
      </c>
    </row>
    <row r="116" spans="1:13" ht="15" x14ac:dyDescent="0.25">
      <c r="A116" s="7" t="s">
        <v>1965</v>
      </c>
      <c r="B116" s="8" t="s">
        <v>1964</v>
      </c>
      <c r="C116" s="8" t="s">
        <v>1963</v>
      </c>
      <c r="D116" s="8" t="s">
        <v>1962</v>
      </c>
      <c r="E116" s="8">
        <v>2021</v>
      </c>
      <c r="F116" s="8">
        <v>21</v>
      </c>
      <c r="G116" s="8">
        <v>1</v>
      </c>
      <c r="H116" s="9" t="s">
        <v>1186</v>
      </c>
      <c r="I116" s="9" t="s">
        <v>1186</v>
      </c>
      <c r="J116" s="8">
        <v>200439</v>
      </c>
      <c r="K116" s="8" t="str">
        <f>HYPERLINK("http://dx.doi.org/10.4209/aaqr.2020.07.0439","http://dx.doi.org/10.4209/aaqr.2020.07.0439")</f>
        <v>http://dx.doi.org/10.4209/aaqr.2020.07.0439</v>
      </c>
      <c r="L116" s="8" t="s">
        <v>1185</v>
      </c>
      <c r="M116" s="8"/>
    </row>
    <row r="117" spans="1:13" ht="15" x14ac:dyDescent="0.25">
      <c r="A117" s="7" t="s">
        <v>1961</v>
      </c>
      <c r="B117" s="8" t="s">
        <v>1960</v>
      </c>
      <c r="C117" s="8" t="s">
        <v>1959</v>
      </c>
      <c r="D117" s="8" t="s">
        <v>1958</v>
      </c>
      <c r="E117" s="8">
        <v>2022</v>
      </c>
      <c r="F117" s="8">
        <v>65</v>
      </c>
      <c r="G117" s="8" t="s">
        <v>1186</v>
      </c>
      <c r="H117" s="9" t="s">
        <v>1186</v>
      </c>
      <c r="I117" s="9" t="s">
        <v>1186</v>
      </c>
      <c r="J117" s="8" t="s">
        <v>1957</v>
      </c>
      <c r="K117" s="8" t="str">
        <f>HYPERLINK("http://dx.doi.org/10.1590/1678-4324-2022210399","http://dx.doi.org/10.1590/1678-4324-2022210399")</f>
        <v>http://dx.doi.org/10.1590/1678-4324-2022210399</v>
      </c>
      <c r="L117" s="8" t="s">
        <v>1185</v>
      </c>
      <c r="M117" s="8"/>
    </row>
    <row r="118" spans="1:13" ht="15" x14ac:dyDescent="0.25">
      <c r="A118" s="7" t="s">
        <v>1956</v>
      </c>
      <c r="B118" s="8" t="s">
        <v>1955</v>
      </c>
      <c r="C118" s="8" t="s">
        <v>1954</v>
      </c>
      <c r="D118" s="8" t="s">
        <v>1233</v>
      </c>
      <c r="E118" s="8">
        <v>2023</v>
      </c>
      <c r="F118" s="8">
        <v>318</v>
      </c>
      <c r="G118" s="8" t="s">
        <v>1186</v>
      </c>
      <c r="H118" s="9" t="s">
        <v>1186</v>
      </c>
      <c r="I118" s="9" t="s">
        <v>1186</v>
      </c>
      <c r="J118" s="8">
        <v>120860</v>
      </c>
      <c r="K118" s="8" t="str">
        <f>HYPERLINK("http://dx.doi.org/10.1016/j.envpol.2022.120860","http://dx.doi.org/10.1016/j.envpol.2022.120860")</f>
        <v>http://dx.doi.org/10.1016/j.envpol.2022.120860</v>
      </c>
      <c r="L118" s="8"/>
      <c r="M118" s="8" t="s">
        <v>1185</v>
      </c>
    </row>
    <row r="119" spans="1:13" ht="15" x14ac:dyDescent="0.25">
      <c r="A119" s="7" t="s">
        <v>1953</v>
      </c>
      <c r="B119" s="8" t="s">
        <v>1952</v>
      </c>
      <c r="C119" s="8" t="s">
        <v>1951</v>
      </c>
      <c r="D119" s="8" t="s">
        <v>1950</v>
      </c>
      <c r="E119" s="8">
        <v>2022</v>
      </c>
      <c r="F119" s="8">
        <v>15</v>
      </c>
      <c r="G119" s="8">
        <v>1</v>
      </c>
      <c r="H119" s="9">
        <v>117</v>
      </c>
      <c r="I119" s="9">
        <v>142</v>
      </c>
      <c r="J119" s="8" t="s">
        <v>1186</v>
      </c>
      <c r="K119" s="8" t="str">
        <f>HYPERLINK("http://dx.doi.org/10.1007/s40647-020-00306-2","http://dx.doi.org/10.1007/s40647-020-00306-2")</f>
        <v>http://dx.doi.org/10.1007/s40647-020-00306-2</v>
      </c>
      <c r="L119" s="8" t="s">
        <v>1185</v>
      </c>
      <c r="M119" s="8"/>
    </row>
    <row r="120" spans="1:13" ht="15" x14ac:dyDescent="0.25">
      <c r="A120" s="7" t="s">
        <v>1949</v>
      </c>
      <c r="B120" s="8" t="s">
        <v>1948</v>
      </c>
      <c r="C120" s="8" t="s">
        <v>1947</v>
      </c>
      <c r="D120" s="8" t="s">
        <v>1946</v>
      </c>
      <c r="E120" s="8">
        <v>2022</v>
      </c>
      <c r="F120" s="8">
        <v>10</v>
      </c>
      <c r="G120" s="8">
        <v>14</v>
      </c>
      <c r="H120" s="9">
        <v>4705</v>
      </c>
      <c r="I120" s="9">
        <v>4716</v>
      </c>
      <c r="J120" s="8" t="s">
        <v>1186</v>
      </c>
      <c r="K120" s="8" t="str">
        <f>HYPERLINK("http://dx.doi.org/10.1021/acssuschemeng.2c00251","http://dx.doi.org/10.1021/acssuschemeng.2c00251")</f>
        <v>http://dx.doi.org/10.1021/acssuschemeng.2c00251</v>
      </c>
      <c r="L120" s="8" t="s">
        <v>1185</v>
      </c>
      <c r="M120" s="8"/>
    </row>
    <row r="121" spans="1:13" ht="15" x14ac:dyDescent="0.25">
      <c r="A121" s="7" t="s">
        <v>1945</v>
      </c>
      <c r="B121" s="8" t="s">
        <v>1944</v>
      </c>
      <c r="C121" s="8" t="s">
        <v>1943</v>
      </c>
      <c r="D121" s="8" t="s">
        <v>1572</v>
      </c>
      <c r="E121" s="8">
        <v>2023</v>
      </c>
      <c r="F121" s="8">
        <v>259</v>
      </c>
      <c r="G121" s="8" t="s">
        <v>1186</v>
      </c>
      <c r="H121" s="9" t="s">
        <v>1186</v>
      </c>
      <c r="I121" s="9" t="s">
        <v>1186</v>
      </c>
      <c r="J121" s="8">
        <v>115018</v>
      </c>
      <c r="K121" s="8" t="str">
        <f>HYPERLINK("http://dx.doi.org/10.1016/j.ecoenv.2023.115018","http://dx.doi.org/10.1016/j.ecoenv.2023.115018")</f>
        <v>http://dx.doi.org/10.1016/j.ecoenv.2023.115018</v>
      </c>
      <c r="L121" s="8" t="s">
        <v>1185</v>
      </c>
      <c r="M121" s="8"/>
    </row>
    <row r="122" spans="1:13" ht="15" x14ac:dyDescent="0.25">
      <c r="A122" s="7" t="s">
        <v>1942</v>
      </c>
      <c r="B122" s="8" t="s">
        <v>1941</v>
      </c>
      <c r="C122" s="8" t="s">
        <v>1940</v>
      </c>
      <c r="D122" s="8" t="s">
        <v>1780</v>
      </c>
      <c r="E122" s="8">
        <v>2023</v>
      </c>
      <c r="F122" s="8">
        <v>16</v>
      </c>
      <c r="G122" s="8">
        <v>10</v>
      </c>
      <c r="H122" s="9">
        <v>863</v>
      </c>
      <c r="I122" s="9" t="s">
        <v>1779</v>
      </c>
      <c r="J122" s="8" t="s">
        <v>1186</v>
      </c>
      <c r="K122" s="8" t="str">
        <f>HYPERLINK("http://dx.doi.org/10.1038/s41561-023-01264-6","http://dx.doi.org/10.1038/s41561-023-01264-6")</f>
        <v>http://dx.doi.org/10.1038/s41561-023-01264-6</v>
      </c>
      <c r="L122" s="8"/>
      <c r="M122" s="8" t="s">
        <v>1185</v>
      </c>
    </row>
    <row r="123" spans="1:13" ht="15" x14ac:dyDescent="0.25">
      <c r="A123" s="7" t="s">
        <v>1939</v>
      </c>
      <c r="B123" s="8" t="s">
        <v>1938</v>
      </c>
      <c r="C123" s="8" t="s">
        <v>1937</v>
      </c>
      <c r="D123" s="8" t="s">
        <v>1936</v>
      </c>
      <c r="E123" s="8">
        <v>2023</v>
      </c>
      <c r="F123" s="8">
        <v>10</v>
      </c>
      <c r="G123" s="8">
        <v>2</v>
      </c>
      <c r="H123" s="9">
        <v>495</v>
      </c>
      <c r="I123" s="9">
        <v>508</v>
      </c>
      <c r="J123" s="8" t="s">
        <v>1186</v>
      </c>
      <c r="K123" s="8" t="str">
        <f>HYPERLINK("http://dx.doi.org/10.1007/s40684-022-00454-8","http://dx.doi.org/10.1007/s40684-022-00454-8")</f>
        <v>http://dx.doi.org/10.1007/s40684-022-00454-8</v>
      </c>
      <c r="L123" s="8" t="s">
        <v>1185</v>
      </c>
      <c r="M123" s="8"/>
    </row>
    <row r="124" spans="1:13" ht="15" x14ac:dyDescent="0.25">
      <c r="A124" s="7" t="s">
        <v>1935</v>
      </c>
      <c r="B124" s="8" t="s">
        <v>1934</v>
      </c>
      <c r="C124" s="8" t="s">
        <v>1933</v>
      </c>
      <c r="D124" s="8" t="s">
        <v>1214</v>
      </c>
      <c r="E124" s="8">
        <v>2022</v>
      </c>
      <c r="F124" s="8">
        <v>809</v>
      </c>
      <c r="G124" s="8" t="s">
        <v>1186</v>
      </c>
      <c r="H124" s="9" t="s">
        <v>1186</v>
      </c>
      <c r="I124" s="9" t="s">
        <v>1186</v>
      </c>
      <c r="J124" s="8">
        <v>151101</v>
      </c>
      <c r="K124" s="8" t="str">
        <f>HYPERLINK("http://dx.doi.org/10.1016/j.scitotenv.2021.151101","http://dx.doi.org/10.1016/j.scitotenv.2021.151101")</f>
        <v>http://dx.doi.org/10.1016/j.scitotenv.2021.151101</v>
      </c>
      <c r="L124" s="8" t="s">
        <v>1185</v>
      </c>
      <c r="M124" s="8"/>
    </row>
    <row r="125" spans="1:13" ht="15" x14ac:dyDescent="0.25">
      <c r="A125" s="7" t="s">
        <v>454</v>
      </c>
      <c r="B125" s="8" t="s">
        <v>1932</v>
      </c>
      <c r="C125" s="8" t="s">
        <v>1931</v>
      </c>
      <c r="D125" s="8" t="s">
        <v>1203</v>
      </c>
      <c r="E125" s="8">
        <v>2024</v>
      </c>
      <c r="F125" s="8">
        <v>442</v>
      </c>
      <c r="G125" s="8" t="s">
        <v>1186</v>
      </c>
      <c r="H125" s="9" t="s">
        <v>1186</v>
      </c>
      <c r="I125" s="9" t="s">
        <v>1186</v>
      </c>
      <c r="J125" s="8">
        <v>141145</v>
      </c>
      <c r="K125" s="8" t="str">
        <f>HYPERLINK("http://dx.doi.org/10.1016/j.jclepro.2024.141145","http://dx.doi.org/10.1016/j.jclepro.2024.141145")</f>
        <v>http://dx.doi.org/10.1016/j.jclepro.2024.141145</v>
      </c>
      <c r="L125" s="8"/>
      <c r="M125" s="8" t="s">
        <v>1185</v>
      </c>
    </row>
    <row r="126" spans="1:13" ht="15" x14ac:dyDescent="0.25">
      <c r="A126" s="7" t="s">
        <v>1930</v>
      </c>
      <c r="B126" s="8" t="s">
        <v>1929</v>
      </c>
      <c r="C126" s="8" t="s">
        <v>1928</v>
      </c>
      <c r="D126" s="8" t="s">
        <v>1594</v>
      </c>
      <c r="E126" s="8">
        <v>2023</v>
      </c>
      <c r="F126" s="8">
        <v>10</v>
      </c>
      <c r="G126" s="8">
        <v>2</v>
      </c>
      <c r="H126" s="9">
        <v>152</v>
      </c>
      <c r="I126" s="9">
        <v>158</v>
      </c>
      <c r="J126" s="8" t="s">
        <v>1186</v>
      </c>
      <c r="K126" s="8" t="str">
        <f>HYPERLINK("http://dx.doi.org/10.1021/acs.estlett.2c00710","http://dx.doi.org/10.1021/acs.estlett.2c00710")</f>
        <v>http://dx.doi.org/10.1021/acs.estlett.2c00710</v>
      </c>
      <c r="L126" s="8" t="s">
        <v>1185</v>
      </c>
      <c r="M126" s="8"/>
    </row>
    <row r="127" spans="1:13" ht="15" x14ac:dyDescent="0.25">
      <c r="A127" s="7" t="s">
        <v>1927</v>
      </c>
      <c r="B127" s="8" t="s">
        <v>1926</v>
      </c>
      <c r="C127" s="8" t="s">
        <v>1925</v>
      </c>
      <c r="D127" s="8" t="s">
        <v>1924</v>
      </c>
      <c r="E127" s="8">
        <v>2018</v>
      </c>
      <c r="F127" s="8">
        <v>146</v>
      </c>
      <c r="G127" s="8" t="s">
        <v>1186</v>
      </c>
      <c r="H127" s="9">
        <v>377</v>
      </c>
      <c r="I127" s="9">
        <v>385</v>
      </c>
      <c r="J127" s="8" t="s">
        <v>1186</v>
      </c>
      <c r="K127" s="8" t="str">
        <f>HYPERLINK("http://dx.doi.org/10.1016/j.ijmecsci.2018.07.045","http://dx.doi.org/10.1016/j.ijmecsci.2018.07.045")</f>
        <v>http://dx.doi.org/10.1016/j.ijmecsci.2018.07.045</v>
      </c>
      <c r="L127" s="8" t="s">
        <v>1185</v>
      </c>
      <c r="M127" s="8"/>
    </row>
    <row r="128" spans="1:13" ht="15" x14ac:dyDescent="0.25">
      <c r="A128" s="7" t="s">
        <v>1923</v>
      </c>
      <c r="B128" s="8" t="s">
        <v>1922</v>
      </c>
      <c r="C128" s="8" t="s">
        <v>1921</v>
      </c>
      <c r="D128" s="8" t="s">
        <v>1920</v>
      </c>
      <c r="E128" s="8">
        <v>2017</v>
      </c>
      <c r="F128" s="8">
        <v>121</v>
      </c>
      <c r="G128" s="8">
        <v>37</v>
      </c>
      <c r="H128" s="9">
        <v>20426</v>
      </c>
      <c r="I128" s="9">
        <v>20432</v>
      </c>
      <c r="J128" s="8" t="s">
        <v>1186</v>
      </c>
      <c r="K128" s="8" t="str">
        <f>HYPERLINK("http://dx.doi.org/10.1021/acs.jpcc.7b04165","http://dx.doi.org/10.1021/acs.jpcc.7b04165")</f>
        <v>http://dx.doi.org/10.1021/acs.jpcc.7b04165</v>
      </c>
      <c r="L128" s="8" t="s">
        <v>1185</v>
      </c>
      <c r="M128" s="8"/>
    </row>
    <row r="129" spans="1:122" ht="15" x14ac:dyDescent="0.25">
      <c r="A129" s="7" t="s">
        <v>1919</v>
      </c>
      <c r="B129" s="8" t="s">
        <v>1918</v>
      </c>
      <c r="C129" s="8" t="s">
        <v>1917</v>
      </c>
      <c r="D129" s="8" t="s">
        <v>1916</v>
      </c>
      <c r="E129" s="8">
        <v>2017</v>
      </c>
      <c r="F129" s="8">
        <v>163</v>
      </c>
      <c r="G129" s="8" t="s">
        <v>1186</v>
      </c>
      <c r="H129" s="9">
        <v>15</v>
      </c>
      <c r="I129" s="9">
        <v>27</v>
      </c>
      <c r="J129" s="8" t="s">
        <v>1186</v>
      </c>
      <c r="K129" s="8" t="str">
        <f>HYPERLINK("http://dx.doi.org/10.1016/j.biosystemseng.2017.08.004","http://dx.doi.org/10.1016/j.biosystemseng.2017.08.004")</f>
        <v>http://dx.doi.org/10.1016/j.biosystemseng.2017.08.004</v>
      </c>
      <c r="L129" s="8" t="s">
        <v>1185</v>
      </c>
      <c r="M129" s="8"/>
    </row>
    <row r="130" spans="1:122" ht="15" x14ac:dyDescent="0.25">
      <c r="A130" s="7" t="s">
        <v>1915</v>
      </c>
      <c r="B130" s="8" t="s">
        <v>1914</v>
      </c>
      <c r="C130" s="8" t="s">
        <v>1913</v>
      </c>
      <c r="D130" s="8" t="s">
        <v>1912</v>
      </c>
      <c r="E130" s="8">
        <v>2015</v>
      </c>
      <c r="F130" s="8">
        <v>29</v>
      </c>
      <c r="G130" s="8">
        <v>4</v>
      </c>
      <c r="H130" s="9">
        <v>2289</v>
      </c>
      <c r="I130" s="9">
        <v>2298</v>
      </c>
      <c r="J130" s="8" t="s">
        <v>1186</v>
      </c>
      <c r="K130" s="8" t="str">
        <f>HYPERLINK("http://dx.doi.org/10.1021/ef502919f","http://dx.doi.org/10.1021/ef502919f")</f>
        <v>http://dx.doi.org/10.1021/ef502919f</v>
      </c>
      <c r="L130" s="8" t="s">
        <v>1185</v>
      </c>
      <c r="M130" s="8"/>
    </row>
    <row r="131" spans="1:122" ht="15" x14ac:dyDescent="0.25">
      <c r="A131" s="7" t="s">
        <v>1911</v>
      </c>
      <c r="B131" s="8" t="s">
        <v>1720</v>
      </c>
      <c r="C131" s="8" t="s">
        <v>1910</v>
      </c>
      <c r="D131" s="8" t="s">
        <v>1718</v>
      </c>
      <c r="E131" s="8">
        <v>2019</v>
      </c>
      <c r="F131" s="8">
        <v>239</v>
      </c>
      <c r="G131" s="8" t="s">
        <v>1186</v>
      </c>
      <c r="H131" s="9">
        <v>395</v>
      </c>
      <c r="I131" s="9">
        <v>406</v>
      </c>
      <c r="J131" s="8" t="s">
        <v>1186</v>
      </c>
      <c r="K131" s="8" t="str">
        <f>HYPERLINK("http://dx.doi.org/10.1016/j.jenvman.2019.03.067","http://dx.doi.org/10.1016/j.jenvman.2019.03.067")</f>
        <v>http://dx.doi.org/10.1016/j.jenvman.2019.03.067</v>
      </c>
      <c r="L131" s="8" t="s">
        <v>1185</v>
      </c>
      <c r="M131" s="8"/>
    </row>
    <row r="132" spans="1:122" ht="15" x14ac:dyDescent="0.25">
      <c r="A132" s="7" t="s">
        <v>1909</v>
      </c>
      <c r="B132" s="8" t="s">
        <v>1908</v>
      </c>
      <c r="C132" s="8" t="s">
        <v>1907</v>
      </c>
      <c r="D132" s="8" t="s">
        <v>1906</v>
      </c>
      <c r="E132" s="8">
        <v>2022</v>
      </c>
      <c r="F132" s="8">
        <v>15</v>
      </c>
      <c r="G132" s="8">
        <v>20</v>
      </c>
      <c r="H132" s="9" t="s">
        <v>1186</v>
      </c>
      <c r="I132" s="9" t="s">
        <v>1186</v>
      </c>
      <c r="J132" s="8">
        <v>7745</v>
      </c>
      <c r="K132" s="8" t="str">
        <f>HYPERLINK("http://dx.doi.org/10.3390/en15207745","http://dx.doi.org/10.3390/en15207745")</f>
        <v>http://dx.doi.org/10.3390/en15207745</v>
      </c>
      <c r="L132" s="8" t="s">
        <v>1185</v>
      </c>
      <c r="M132" s="8"/>
    </row>
    <row r="133" spans="1:122" ht="15" x14ac:dyDescent="0.25">
      <c r="A133" s="7" t="s">
        <v>1905</v>
      </c>
      <c r="B133" s="8" t="s">
        <v>1904</v>
      </c>
      <c r="C133" s="8" t="s">
        <v>1903</v>
      </c>
      <c r="D133" s="8" t="s">
        <v>1562</v>
      </c>
      <c r="E133" s="8">
        <v>2023</v>
      </c>
      <c r="F133" s="8">
        <v>148</v>
      </c>
      <c r="G133" s="8">
        <v>20</v>
      </c>
      <c r="H133" s="9">
        <v>5221</v>
      </c>
      <c r="I133" s="9">
        <v>5232</v>
      </c>
      <c r="J133" s="8" t="s">
        <v>1186</v>
      </c>
      <c r="K133" s="8" t="str">
        <f>HYPERLINK("http://dx.doi.org/10.1039/d3an01246h","http://dx.doi.org/10.1039/d3an01246h")</f>
        <v>http://dx.doi.org/10.1039/d3an01246h</v>
      </c>
      <c r="L133" s="8" t="s">
        <v>1185</v>
      </c>
      <c r="M133" s="8"/>
    </row>
    <row r="134" spans="1:122" ht="15" x14ac:dyDescent="0.25">
      <c r="A134" s="7" t="s">
        <v>1902</v>
      </c>
      <c r="B134" s="8" t="s">
        <v>1901</v>
      </c>
      <c r="C134" s="8" t="s">
        <v>1900</v>
      </c>
      <c r="D134" s="8" t="s">
        <v>1899</v>
      </c>
      <c r="E134" s="8">
        <v>2022</v>
      </c>
      <c r="F134" s="8">
        <v>2</v>
      </c>
      <c r="G134" s="8">
        <v>5</v>
      </c>
      <c r="H134" s="9">
        <v>409</v>
      </c>
      <c r="I134" s="9">
        <v>417</v>
      </c>
      <c r="J134" s="8" t="s">
        <v>1186</v>
      </c>
      <c r="K134" s="8" t="str">
        <f>HYPERLINK("http://dx.doi.org/10.1021/acsenvironau.1c00054","http://dx.doi.org/10.1021/acsenvironau.1c00054")</f>
        <v>http://dx.doi.org/10.1021/acsenvironau.1c00054</v>
      </c>
      <c r="L134" s="8" t="s">
        <v>1185</v>
      </c>
      <c r="M134" s="8"/>
    </row>
    <row r="135" spans="1:122" s="3" customFormat="1" ht="15" x14ac:dyDescent="0.25">
      <c r="A135" s="7" t="s">
        <v>1898</v>
      </c>
      <c r="B135" s="8" t="s">
        <v>1897</v>
      </c>
      <c r="C135" s="8" t="s">
        <v>1896</v>
      </c>
      <c r="D135" s="8" t="s">
        <v>1214</v>
      </c>
      <c r="E135" s="8">
        <v>2019</v>
      </c>
      <c r="F135" s="8">
        <v>666</v>
      </c>
      <c r="G135" s="8" t="s">
        <v>1186</v>
      </c>
      <c r="H135" s="9">
        <v>377</v>
      </c>
      <c r="I135" s="9">
        <v>389</v>
      </c>
      <c r="J135" s="8" t="s">
        <v>1186</v>
      </c>
      <c r="K135" s="8" t="str">
        <f>HYPERLINK("http://dx.doi.org/10.1016/j.scitotenv.2019.02.278","http://dx.doi.org/10.1016/j.scitotenv.2019.02.278")</f>
        <v>http://dx.doi.org/10.1016/j.scitotenv.2019.02.278</v>
      </c>
      <c r="L135" s="8"/>
      <c r="M135" s="8" t="s">
        <v>1185</v>
      </c>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row>
    <row r="136" spans="1:122" ht="15" x14ac:dyDescent="0.25">
      <c r="A136" s="7" t="s">
        <v>1895</v>
      </c>
      <c r="B136" s="8" t="s">
        <v>1894</v>
      </c>
      <c r="C136" s="8" t="s">
        <v>1893</v>
      </c>
      <c r="D136" s="8" t="s">
        <v>1892</v>
      </c>
      <c r="E136" s="8">
        <v>2023</v>
      </c>
      <c r="F136" s="8">
        <v>12</v>
      </c>
      <c r="G136" s="8">
        <v>2</v>
      </c>
      <c r="H136" s="9" t="s">
        <v>1186</v>
      </c>
      <c r="I136" s="9" t="s">
        <v>1186</v>
      </c>
      <c r="J136" s="8">
        <v>149</v>
      </c>
      <c r="K136" s="8" t="str">
        <f>HYPERLINK("http://dx.doi.org/10.3390/biology12020149","http://dx.doi.org/10.3390/biology12020149")</f>
        <v>http://dx.doi.org/10.3390/biology12020149</v>
      </c>
      <c r="L136" s="8"/>
      <c r="M136" s="8" t="s">
        <v>1185</v>
      </c>
    </row>
    <row r="137" spans="1:122" ht="15" x14ac:dyDescent="0.25">
      <c r="A137" s="7" t="s">
        <v>1891</v>
      </c>
      <c r="B137" s="8" t="s">
        <v>1890</v>
      </c>
      <c r="C137" s="8" t="s">
        <v>1889</v>
      </c>
      <c r="D137" s="8" t="s">
        <v>1225</v>
      </c>
      <c r="E137" s="8">
        <v>2023</v>
      </c>
      <c r="F137" s="8">
        <v>474</v>
      </c>
      <c r="G137" s="8" t="s">
        <v>1186</v>
      </c>
      <c r="H137" s="9" t="s">
        <v>1186</v>
      </c>
      <c r="I137" s="9" t="s">
        <v>1186</v>
      </c>
      <c r="J137" s="8">
        <v>145653</v>
      </c>
      <c r="K137" s="8" t="str">
        <f>HYPERLINK("http://dx.doi.org/10.1016/j.cej.2023.145653","http://dx.doi.org/10.1016/j.cej.2023.145653")</f>
        <v>http://dx.doi.org/10.1016/j.cej.2023.145653</v>
      </c>
      <c r="L137" s="8" t="s">
        <v>1185</v>
      </c>
      <c r="M137" s="8"/>
    </row>
    <row r="138" spans="1:122" ht="15" x14ac:dyDescent="0.25">
      <c r="A138" s="7" t="s">
        <v>1888</v>
      </c>
      <c r="B138" s="8" t="s">
        <v>1887</v>
      </c>
      <c r="C138" s="8" t="s">
        <v>1886</v>
      </c>
      <c r="D138" s="8" t="s">
        <v>1195</v>
      </c>
      <c r="E138" s="8">
        <v>2024</v>
      </c>
      <c r="F138" s="8">
        <v>465</v>
      </c>
      <c r="G138" s="8" t="s">
        <v>1186</v>
      </c>
      <c r="H138" s="9" t="s">
        <v>1186</v>
      </c>
      <c r="I138" s="9" t="s">
        <v>1186</v>
      </c>
      <c r="J138" s="8">
        <v>133473</v>
      </c>
      <c r="K138" s="8" t="str">
        <f>HYPERLINK("http://dx.doi.org/10.1016/j.jhazmat.2024.133473","http://dx.doi.org/10.1016/j.jhazmat.2024.133473")</f>
        <v>http://dx.doi.org/10.1016/j.jhazmat.2024.133473</v>
      </c>
      <c r="L138" s="8"/>
      <c r="M138" s="8" t="s">
        <v>1185</v>
      </c>
    </row>
    <row r="139" spans="1:122" ht="15" x14ac:dyDescent="0.25">
      <c r="A139" s="7" t="s">
        <v>1885</v>
      </c>
      <c r="B139" s="8" t="s">
        <v>1884</v>
      </c>
      <c r="C139" s="8" t="s">
        <v>1883</v>
      </c>
      <c r="D139" s="8" t="s">
        <v>1882</v>
      </c>
      <c r="E139" s="8">
        <v>2020</v>
      </c>
      <c r="F139" s="8">
        <v>70</v>
      </c>
      <c r="G139" s="8">
        <v>12</v>
      </c>
      <c r="H139" s="9">
        <v>1048</v>
      </c>
      <c r="I139" s="9">
        <v>1055</v>
      </c>
      <c r="J139" s="8" t="s">
        <v>1186</v>
      </c>
      <c r="K139" s="8" t="str">
        <f>HYPERLINK("http://dx.doi.org/10.1093/biosci/biaa119","http://dx.doi.org/10.1093/biosci/biaa119")</f>
        <v>http://dx.doi.org/10.1093/biosci/biaa119</v>
      </c>
      <c r="L139" s="8" t="s">
        <v>1184</v>
      </c>
      <c r="M139" s="8" t="s">
        <v>1184</v>
      </c>
    </row>
    <row r="140" spans="1:122" ht="15" x14ac:dyDescent="0.25">
      <c r="A140" s="7" t="s">
        <v>457</v>
      </c>
      <c r="B140" s="8" t="s">
        <v>1881</v>
      </c>
      <c r="C140" s="8" t="s">
        <v>1880</v>
      </c>
      <c r="D140" s="8" t="s">
        <v>1879</v>
      </c>
      <c r="E140" s="8">
        <v>2023</v>
      </c>
      <c r="F140" s="8">
        <v>243</v>
      </c>
      <c r="G140" s="8" t="s">
        <v>1186</v>
      </c>
      <c r="H140" s="9" t="s">
        <v>1186</v>
      </c>
      <c r="I140" s="9" t="s">
        <v>1186</v>
      </c>
      <c r="J140" s="8">
        <v>120385</v>
      </c>
      <c r="K140" s="8" t="str">
        <f>HYPERLINK("http://dx.doi.org/10.1016/j.watres.2023.120385","http://dx.doi.org/10.1016/j.watres.2023.120385")</f>
        <v>http://dx.doi.org/10.1016/j.watres.2023.120385</v>
      </c>
      <c r="L140" s="8"/>
      <c r="M140" s="8" t="s">
        <v>1185</v>
      </c>
    </row>
    <row r="141" spans="1:122" ht="15" x14ac:dyDescent="0.25">
      <c r="A141" s="7" t="s">
        <v>1878</v>
      </c>
      <c r="B141" s="8" t="s">
        <v>1877</v>
      </c>
      <c r="C141" s="8" t="s">
        <v>1876</v>
      </c>
      <c r="D141" s="8" t="s">
        <v>1251</v>
      </c>
      <c r="E141" s="8">
        <v>2022</v>
      </c>
      <c r="F141" s="8">
        <v>56</v>
      </c>
      <c r="G141" s="8">
        <v>10</v>
      </c>
      <c r="H141" s="9">
        <v>6243</v>
      </c>
      <c r="I141" s="9">
        <v>6252</v>
      </c>
      <c r="J141" s="8" t="s">
        <v>1186</v>
      </c>
      <c r="K141" s="8" t="str">
        <f>HYPERLINK("http://dx.doi.org/10.1021/acs.est.1c07825","http://dx.doi.org/10.1021/acs.est.1c07825")</f>
        <v>http://dx.doi.org/10.1021/acs.est.1c07825</v>
      </c>
      <c r="L141" s="8"/>
      <c r="M141" s="8" t="s">
        <v>1185</v>
      </c>
    </row>
    <row r="142" spans="1:122" ht="15" x14ac:dyDescent="0.25">
      <c r="A142" s="7" t="s">
        <v>1875</v>
      </c>
      <c r="B142" s="8" t="s">
        <v>1874</v>
      </c>
      <c r="C142" s="8" t="s">
        <v>1873</v>
      </c>
      <c r="D142" s="8" t="s">
        <v>1233</v>
      </c>
      <c r="E142" s="8">
        <v>2023</v>
      </c>
      <c r="F142" s="8">
        <v>318</v>
      </c>
      <c r="G142" s="8" t="s">
        <v>1186</v>
      </c>
      <c r="H142" s="9" t="s">
        <v>1186</v>
      </c>
      <c r="I142" s="9" t="s">
        <v>1186</v>
      </c>
      <c r="J142" s="8">
        <v>120889</v>
      </c>
      <c r="K142" s="8" t="str">
        <f>HYPERLINK("http://dx.doi.org/10.1016/j.envpol.2022.120889","http://dx.doi.org/10.1016/j.envpol.2022.120889")</f>
        <v>http://dx.doi.org/10.1016/j.envpol.2022.120889</v>
      </c>
      <c r="L142" s="8" t="s">
        <v>1185</v>
      </c>
      <c r="M142" s="8"/>
    </row>
    <row r="143" spans="1:122" ht="15" x14ac:dyDescent="0.25">
      <c r="A143" s="7" t="s">
        <v>1872</v>
      </c>
      <c r="B143" s="8" t="s">
        <v>1871</v>
      </c>
      <c r="C143" s="8" t="s">
        <v>1870</v>
      </c>
      <c r="D143" s="8" t="s">
        <v>1336</v>
      </c>
      <c r="E143" s="8">
        <v>2021</v>
      </c>
      <c r="F143" s="8">
        <v>11</v>
      </c>
      <c r="G143" s="8">
        <v>1</v>
      </c>
      <c r="H143" s="9" t="s">
        <v>1186</v>
      </c>
      <c r="I143" s="9" t="s">
        <v>1186</v>
      </c>
      <c r="J143" s="8">
        <v>4564</v>
      </c>
      <c r="K143" s="8" t="str">
        <f>HYPERLINK("http://dx.doi.org/10.1038/s41598-021-84251-4","http://dx.doi.org/10.1038/s41598-021-84251-4")</f>
        <v>http://dx.doi.org/10.1038/s41598-021-84251-4</v>
      </c>
      <c r="L143" s="8"/>
      <c r="M143" s="8" t="s">
        <v>1185</v>
      </c>
    </row>
    <row r="144" spans="1:122" ht="15" x14ac:dyDescent="0.25">
      <c r="A144" s="7" t="s">
        <v>1869</v>
      </c>
      <c r="B144" s="8" t="s">
        <v>1868</v>
      </c>
      <c r="C144" s="8" t="s">
        <v>1867</v>
      </c>
      <c r="D144" s="8" t="s">
        <v>1866</v>
      </c>
      <c r="E144" s="8">
        <v>2020</v>
      </c>
      <c r="F144" s="8">
        <v>15</v>
      </c>
      <c r="G144" s="8">
        <v>5</v>
      </c>
      <c r="H144" s="9" t="s">
        <v>1186</v>
      </c>
      <c r="I144" s="9" t="s">
        <v>1186</v>
      </c>
      <c r="J144" s="8" t="s">
        <v>1865</v>
      </c>
      <c r="K144" s="8" t="str">
        <f>HYPERLINK("http://dx.doi.org/10.1371/journal.pone.0232746","http://dx.doi.org/10.1371/journal.pone.0232746")</f>
        <v>http://dx.doi.org/10.1371/journal.pone.0232746</v>
      </c>
      <c r="L144" s="8" t="s">
        <v>1184</v>
      </c>
      <c r="M144" s="8" t="s">
        <v>1184</v>
      </c>
    </row>
    <row r="145" spans="1:13" ht="15" x14ac:dyDescent="0.25">
      <c r="A145" s="7" t="s">
        <v>673</v>
      </c>
      <c r="B145" s="8" t="s">
        <v>1864</v>
      </c>
      <c r="C145" s="8" t="s">
        <v>1863</v>
      </c>
      <c r="D145" s="8" t="s">
        <v>1214</v>
      </c>
      <c r="E145" s="8">
        <v>2022</v>
      </c>
      <c r="F145" s="8">
        <v>828</v>
      </c>
      <c r="G145" s="8" t="s">
        <v>1186</v>
      </c>
      <c r="H145" s="9" t="s">
        <v>1186</v>
      </c>
      <c r="I145" s="9" t="s">
        <v>1186</v>
      </c>
      <c r="J145" s="8">
        <v>154400</v>
      </c>
      <c r="K145" s="8" t="str">
        <f>HYPERLINK("http://dx.doi.org/10.1016/j.scitotenv.2022.154400","http://dx.doi.org/10.1016/j.scitotenv.2022.154400")</f>
        <v>http://dx.doi.org/10.1016/j.scitotenv.2022.154400</v>
      </c>
      <c r="L145" s="8"/>
      <c r="M145" s="8" t="s">
        <v>1185</v>
      </c>
    </row>
    <row r="146" spans="1:13" ht="15" x14ac:dyDescent="0.25">
      <c r="A146" s="7" t="s">
        <v>1862</v>
      </c>
      <c r="B146" s="8" t="s">
        <v>1861</v>
      </c>
      <c r="C146" s="8" t="s">
        <v>1860</v>
      </c>
      <c r="D146" s="8" t="s">
        <v>1336</v>
      </c>
      <c r="E146" s="8">
        <v>2019</v>
      </c>
      <c r="F146" s="8">
        <v>9</v>
      </c>
      <c r="G146" s="8" t="s">
        <v>1186</v>
      </c>
      <c r="H146" s="9" t="s">
        <v>1186</v>
      </c>
      <c r="I146" s="9" t="s">
        <v>1186</v>
      </c>
      <c r="J146" s="8">
        <v>8670</v>
      </c>
      <c r="K146" s="8" t="str">
        <f>HYPERLINK("http://dx.doi.org/10.1038/s41598-019-45054-w","http://dx.doi.org/10.1038/s41598-019-45054-w")</f>
        <v>http://dx.doi.org/10.1038/s41598-019-45054-w</v>
      </c>
      <c r="L146" s="8"/>
      <c r="M146" s="8" t="s">
        <v>1185</v>
      </c>
    </row>
    <row r="147" spans="1:13" ht="15" x14ac:dyDescent="0.25">
      <c r="A147" s="7" t="s">
        <v>260</v>
      </c>
      <c r="B147" s="8" t="s">
        <v>1859</v>
      </c>
      <c r="C147" s="8" t="s">
        <v>1858</v>
      </c>
      <c r="D147" s="8" t="s">
        <v>1441</v>
      </c>
      <c r="E147" s="8">
        <v>2023</v>
      </c>
      <c r="F147" s="8">
        <v>14</v>
      </c>
      <c r="G147" s="8">
        <v>1</v>
      </c>
      <c r="H147" s="8" t="s">
        <v>1186</v>
      </c>
      <c r="I147" s="8" t="s">
        <v>1186</v>
      </c>
      <c r="J147" s="8">
        <v>7898</v>
      </c>
      <c r="K147" s="8" t="str">
        <f>HYPERLINK("http://dx.doi.org/10.1038/s41467-023-43695-0","http://dx.doi.org/10.1038/s41467-023-43695-0")</f>
        <v>http://dx.doi.org/10.1038/s41467-023-43695-0</v>
      </c>
      <c r="L147" s="8"/>
      <c r="M147" s="8" t="s">
        <v>1185</v>
      </c>
    </row>
    <row r="148" spans="1:13" ht="15" x14ac:dyDescent="0.25">
      <c r="A148" s="7" t="s">
        <v>385</v>
      </c>
      <c r="B148" s="8" t="s">
        <v>1857</v>
      </c>
      <c r="C148" s="8" t="s">
        <v>1856</v>
      </c>
      <c r="D148" s="8" t="s">
        <v>1195</v>
      </c>
      <c r="E148" s="8">
        <v>2024</v>
      </c>
      <c r="F148" s="8">
        <v>465</v>
      </c>
      <c r="G148" s="8" t="s">
        <v>1186</v>
      </c>
      <c r="H148" s="8" t="s">
        <v>1186</v>
      </c>
      <c r="I148" s="8" t="s">
        <v>1186</v>
      </c>
      <c r="J148" s="8">
        <v>133177</v>
      </c>
      <c r="K148" s="8" t="str">
        <f>HYPERLINK("http://dx.doi.org/10.1016/j.jhazmat.2023.133177","http://dx.doi.org/10.1016/j.jhazmat.2023.133177")</f>
        <v>http://dx.doi.org/10.1016/j.jhazmat.2023.133177</v>
      </c>
      <c r="L148" s="8"/>
      <c r="M148" s="8" t="s">
        <v>1185</v>
      </c>
    </row>
    <row r="149" spans="1:13" ht="15" x14ac:dyDescent="0.25">
      <c r="A149" s="7" t="s">
        <v>1855</v>
      </c>
      <c r="B149" s="8" t="s">
        <v>1854</v>
      </c>
      <c r="C149" s="8" t="s">
        <v>1853</v>
      </c>
      <c r="D149" s="8" t="s">
        <v>1852</v>
      </c>
      <c r="E149" s="8">
        <v>2023</v>
      </c>
      <c r="F149" s="8">
        <v>197</v>
      </c>
      <c r="G149" s="8" t="s">
        <v>1186</v>
      </c>
      <c r="H149" s="8">
        <v>148</v>
      </c>
      <c r="I149" s="8">
        <v>158</v>
      </c>
      <c r="J149" s="8" t="s">
        <v>1186</v>
      </c>
      <c r="K149" s="8" t="str">
        <f>HYPERLINK("http://dx.doi.org/10.1016/j.cherd.2023.07.027","http://dx.doi.org/10.1016/j.cherd.2023.07.027")</f>
        <v>http://dx.doi.org/10.1016/j.cherd.2023.07.027</v>
      </c>
      <c r="L149" s="8" t="s">
        <v>1185</v>
      </c>
      <c r="M149" s="8"/>
    </row>
    <row r="150" spans="1:13" ht="15" x14ac:dyDescent="0.25">
      <c r="A150" s="7" t="s">
        <v>1851</v>
      </c>
      <c r="B150" s="8" t="s">
        <v>1850</v>
      </c>
      <c r="C150" s="8" t="s">
        <v>1849</v>
      </c>
      <c r="D150" s="8" t="s">
        <v>1848</v>
      </c>
      <c r="E150" s="8">
        <v>2021</v>
      </c>
      <c r="F150" s="8">
        <v>52</v>
      </c>
      <c r="G150" s="8">
        <v>10</v>
      </c>
      <c r="H150" s="8">
        <v>19</v>
      </c>
      <c r="I150" s="8">
        <v>45</v>
      </c>
      <c r="J150" s="8" t="s">
        <v>1186</v>
      </c>
      <c r="K150" s="8" t="s">
        <v>1847</v>
      </c>
      <c r="L150" s="8" t="s">
        <v>1185</v>
      </c>
      <c r="M150" s="8"/>
    </row>
    <row r="151" spans="1:13" ht="15" x14ac:dyDescent="0.25">
      <c r="A151" s="7" t="s">
        <v>1846</v>
      </c>
      <c r="B151" s="8" t="s">
        <v>1845</v>
      </c>
      <c r="C151" s="8" t="s">
        <v>1844</v>
      </c>
      <c r="D151" s="8" t="s">
        <v>1843</v>
      </c>
      <c r="E151" s="8">
        <v>2018</v>
      </c>
      <c r="F151" s="8">
        <v>31</v>
      </c>
      <c r="G151" s="8">
        <v>7</v>
      </c>
      <c r="H151" s="8">
        <v>491</v>
      </c>
      <c r="I151" s="8">
        <v>497</v>
      </c>
      <c r="J151" s="8" t="s">
        <v>1186</v>
      </c>
      <c r="K151" s="8" t="str">
        <f>HYPERLINK("http://dx.doi.org/10.1002/pts.2379","http://dx.doi.org/10.1002/pts.2379")</f>
        <v>http://dx.doi.org/10.1002/pts.2379</v>
      </c>
      <c r="L151" s="8" t="s">
        <v>1185</v>
      </c>
      <c r="M151" s="8"/>
    </row>
    <row r="152" spans="1:13" ht="15" x14ac:dyDescent="0.25">
      <c r="A152" s="7" t="s">
        <v>1842</v>
      </c>
      <c r="B152" s="8" t="s">
        <v>1841</v>
      </c>
      <c r="C152" s="8" t="s">
        <v>1840</v>
      </c>
      <c r="D152" s="8" t="s">
        <v>1225</v>
      </c>
      <c r="E152" s="8">
        <v>2023</v>
      </c>
      <c r="F152" s="8">
        <v>477</v>
      </c>
      <c r="G152" s="8" t="s">
        <v>1186</v>
      </c>
      <c r="H152" s="9" t="s">
        <v>1186</v>
      </c>
      <c r="I152" s="9" t="s">
        <v>1186</v>
      </c>
      <c r="J152" s="8">
        <v>147053</v>
      </c>
      <c r="K152" s="8" t="str">
        <f>HYPERLINK("http://dx.doi.org/10.1016/j.cej.2023.147053","http://dx.doi.org/10.1016/j.cej.2023.147053")</f>
        <v>http://dx.doi.org/10.1016/j.cej.2023.147053</v>
      </c>
      <c r="L152" s="8" t="s">
        <v>1185</v>
      </c>
      <c r="M152" s="8"/>
    </row>
    <row r="153" spans="1:13" ht="15" x14ac:dyDescent="0.25">
      <c r="A153" s="7" t="s">
        <v>1839</v>
      </c>
      <c r="B153" s="8" t="s">
        <v>1838</v>
      </c>
      <c r="C153" s="8" t="s">
        <v>1837</v>
      </c>
      <c r="D153" s="8" t="s">
        <v>1251</v>
      </c>
      <c r="E153" s="8">
        <v>2018</v>
      </c>
      <c r="F153" s="8">
        <v>52</v>
      </c>
      <c r="G153" s="8">
        <v>19</v>
      </c>
      <c r="H153" s="9">
        <v>11123</v>
      </c>
      <c r="I153" s="9">
        <v>11131</v>
      </c>
      <c r="J153" s="8" t="s">
        <v>1186</v>
      </c>
      <c r="K153" s="8" t="str">
        <f>HYPERLINK("http://dx.doi.org/10.1021/acs.est.8b03172","http://dx.doi.org/10.1021/acs.est.8b03172")</f>
        <v>http://dx.doi.org/10.1021/acs.est.8b03172</v>
      </c>
      <c r="L153" s="8" t="s">
        <v>1185</v>
      </c>
      <c r="M153" s="8"/>
    </row>
    <row r="154" spans="1:13" ht="15" x14ac:dyDescent="0.25">
      <c r="A154" s="7" t="s">
        <v>1836</v>
      </c>
      <c r="B154" s="8" t="s">
        <v>1835</v>
      </c>
      <c r="C154" s="8" t="s">
        <v>1834</v>
      </c>
      <c r="D154" s="8" t="s">
        <v>1833</v>
      </c>
      <c r="E154" s="8">
        <v>2017</v>
      </c>
      <c r="F154" s="8">
        <v>71</v>
      </c>
      <c r="G154" s="8">
        <v>3</v>
      </c>
      <c r="H154" s="9">
        <v>209</v>
      </c>
      <c r="I154" s="9">
        <v>217</v>
      </c>
      <c r="J154" s="8" t="s">
        <v>1186</v>
      </c>
      <c r="K154" s="8" t="s">
        <v>1832</v>
      </c>
      <c r="L154" s="8" t="s">
        <v>1185</v>
      </c>
      <c r="M154" s="8"/>
    </row>
    <row r="155" spans="1:13" ht="15" x14ac:dyDescent="0.25">
      <c r="A155" s="7" t="s">
        <v>1831</v>
      </c>
      <c r="B155" s="8" t="s">
        <v>1830</v>
      </c>
      <c r="C155" s="8" t="s">
        <v>1829</v>
      </c>
      <c r="D155" s="8" t="s">
        <v>1427</v>
      </c>
      <c r="E155" s="8">
        <v>2022</v>
      </c>
      <c r="F155" s="8">
        <v>20</v>
      </c>
      <c r="G155" s="8">
        <v>2</v>
      </c>
      <c r="H155" s="9">
        <v>931</v>
      </c>
      <c r="I155" s="9">
        <v>936</v>
      </c>
      <c r="J155" s="8" t="s">
        <v>1186</v>
      </c>
      <c r="K155" s="8" t="str">
        <f>HYPERLINK("http://dx.doi.org/10.1007/s40201-022-00833-y","http://dx.doi.org/10.1007/s40201-022-00833-y")</f>
        <v>http://dx.doi.org/10.1007/s40201-022-00833-y</v>
      </c>
      <c r="L155" s="8"/>
      <c r="M155" s="8" t="s">
        <v>1185</v>
      </c>
    </row>
    <row r="156" spans="1:13" ht="15" x14ac:dyDescent="0.25">
      <c r="A156" s="7" t="s">
        <v>1828</v>
      </c>
      <c r="B156" s="8" t="s">
        <v>1827</v>
      </c>
      <c r="C156" s="8" t="s">
        <v>1826</v>
      </c>
      <c r="D156" s="8" t="s">
        <v>1825</v>
      </c>
      <c r="E156" s="8">
        <v>2022</v>
      </c>
      <c r="F156" s="8">
        <v>7</v>
      </c>
      <c r="G156" s="8">
        <v>4</v>
      </c>
      <c r="H156" s="9" t="s">
        <v>1186</v>
      </c>
      <c r="I156" s="9" t="s">
        <v>1186</v>
      </c>
      <c r="J156" s="8">
        <v>44</v>
      </c>
      <c r="K156" s="8" t="str">
        <f>HYPERLINK("http://dx.doi.org/10.3390/recycling7040044","http://dx.doi.org/10.3390/recycling7040044")</f>
        <v>http://dx.doi.org/10.3390/recycling7040044</v>
      </c>
      <c r="L156" s="8" t="s">
        <v>1185</v>
      </c>
      <c r="M156" s="8"/>
    </row>
    <row r="157" spans="1:13" ht="15" x14ac:dyDescent="0.25">
      <c r="A157" s="7" t="s">
        <v>1824</v>
      </c>
      <c r="B157" s="8" t="s">
        <v>1823</v>
      </c>
      <c r="C157" s="8" t="s">
        <v>1822</v>
      </c>
      <c r="D157" s="8" t="s">
        <v>1821</v>
      </c>
      <c r="E157" s="8">
        <v>2022</v>
      </c>
      <c r="F157" s="8">
        <v>11</v>
      </c>
      <c r="G157" s="8">
        <v>12</v>
      </c>
      <c r="H157" s="9" t="s">
        <v>1186</v>
      </c>
      <c r="I157" s="9" t="s">
        <v>1186</v>
      </c>
      <c r="J157" s="8">
        <v>585</v>
      </c>
      <c r="K157" s="8" t="str">
        <f>HYPERLINK("http://dx.doi.org/10.3390/ijgi11120585","http://dx.doi.org/10.3390/ijgi11120585")</f>
        <v>http://dx.doi.org/10.3390/ijgi11120585</v>
      </c>
      <c r="L157" s="8" t="s">
        <v>1185</v>
      </c>
      <c r="M157" s="8"/>
    </row>
    <row r="158" spans="1:13" ht="15" x14ac:dyDescent="0.25">
      <c r="A158" s="7" t="s">
        <v>1820</v>
      </c>
      <c r="B158" s="8" t="s">
        <v>1819</v>
      </c>
      <c r="C158" s="8" t="s">
        <v>1818</v>
      </c>
      <c r="D158" s="8" t="s">
        <v>1817</v>
      </c>
      <c r="E158" s="8">
        <v>2021</v>
      </c>
      <c r="F158" s="8">
        <v>6</v>
      </c>
      <c r="G158" s="8">
        <v>2</v>
      </c>
      <c r="H158" s="9">
        <v>1370</v>
      </c>
      <c r="I158" s="9">
        <v>1377</v>
      </c>
      <c r="J158" s="8" t="s">
        <v>1186</v>
      </c>
      <c r="K158" s="8" t="str">
        <f>HYPERLINK("http://dx.doi.org/10.1021/acsomega.0c04999","http://dx.doi.org/10.1021/acsomega.0c04999")</f>
        <v>http://dx.doi.org/10.1021/acsomega.0c04999</v>
      </c>
      <c r="L158" s="8" t="s">
        <v>1185</v>
      </c>
      <c r="M158" s="8"/>
    </row>
    <row r="159" spans="1:13" ht="15" x14ac:dyDescent="0.25">
      <c r="A159" s="7" t="s">
        <v>677</v>
      </c>
      <c r="B159" s="8" t="s">
        <v>1816</v>
      </c>
      <c r="C159" s="8" t="s">
        <v>1815</v>
      </c>
      <c r="D159" s="8" t="s">
        <v>1214</v>
      </c>
      <c r="E159" s="8">
        <v>2022</v>
      </c>
      <c r="F159" s="8">
        <v>821</v>
      </c>
      <c r="G159" s="8" t="s">
        <v>1186</v>
      </c>
      <c r="H159" s="9" t="s">
        <v>1186</v>
      </c>
      <c r="I159" s="9" t="s">
        <v>1186</v>
      </c>
      <c r="J159" s="8">
        <v>153450</v>
      </c>
      <c r="K159" s="8" t="str">
        <f>HYPERLINK("http://dx.doi.org/10.1016/j.scitotenv.2022.153450","http://dx.doi.org/10.1016/j.scitotenv.2022.153450")</f>
        <v>http://dx.doi.org/10.1016/j.scitotenv.2022.153450</v>
      </c>
      <c r="L159" s="8"/>
      <c r="M159" s="8" t="s">
        <v>1185</v>
      </c>
    </row>
    <row r="160" spans="1:13" ht="15" x14ac:dyDescent="0.25">
      <c r="A160" s="7" t="s">
        <v>682</v>
      </c>
      <c r="B160" s="8" t="s">
        <v>1814</v>
      </c>
      <c r="C160" s="8" t="s">
        <v>1813</v>
      </c>
      <c r="D160" s="8" t="s">
        <v>1454</v>
      </c>
      <c r="E160" s="8">
        <v>2020</v>
      </c>
      <c r="F160" s="8">
        <v>136</v>
      </c>
      <c r="G160" s="8" t="s">
        <v>1186</v>
      </c>
      <c r="H160" s="9" t="s">
        <v>1186</v>
      </c>
      <c r="I160" s="9" t="s">
        <v>1186</v>
      </c>
      <c r="J160" s="8">
        <v>105411</v>
      </c>
      <c r="K160" s="8" t="str">
        <f>HYPERLINK("http://dx.doi.org/10.1016/j.envint.2019.105411","http://dx.doi.org/10.1016/j.envint.2019.105411")</f>
        <v>http://dx.doi.org/10.1016/j.envint.2019.105411</v>
      </c>
      <c r="L160" s="8"/>
      <c r="M160" s="8" t="s">
        <v>1185</v>
      </c>
    </row>
    <row r="161" spans="1:13" ht="15" x14ac:dyDescent="0.25">
      <c r="A161" s="7" t="s">
        <v>398</v>
      </c>
      <c r="B161" s="8" t="s">
        <v>1812</v>
      </c>
      <c r="C161" s="8" t="s">
        <v>1811</v>
      </c>
      <c r="D161" s="8" t="s">
        <v>1214</v>
      </c>
      <c r="E161" s="8">
        <v>2019</v>
      </c>
      <c r="F161" s="8">
        <v>685</v>
      </c>
      <c r="G161" s="8" t="s">
        <v>1186</v>
      </c>
      <c r="H161" s="9">
        <v>96</v>
      </c>
      <c r="I161" s="9">
        <v>103</v>
      </c>
      <c r="J161" s="8" t="s">
        <v>1186</v>
      </c>
      <c r="K161" s="8" t="str">
        <f>HYPERLINK("http://dx.doi.org/10.1016/j.scitotenv.2019.05.405","http://dx.doi.org/10.1016/j.scitotenv.2019.05.405")</f>
        <v>http://dx.doi.org/10.1016/j.scitotenv.2019.05.405</v>
      </c>
      <c r="L161" s="8"/>
      <c r="M161" s="8" t="s">
        <v>1185</v>
      </c>
    </row>
    <row r="162" spans="1:13" ht="15" x14ac:dyDescent="0.25">
      <c r="A162" s="7" t="s">
        <v>1810</v>
      </c>
      <c r="B162" s="8" t="s">
        <v>1809</v>
      </c>
      <c r="C162" s="8" t="s">
        <v>1808</v>
      </c>
      <c r="D162" s="8" t="s">
        <v>1739</v>
      </c>
      <c r="E162" s="8">
        <v>2023</v>
      </c>
      <c r="F162" s="8">
        <v>25</v>
      </c>
      <c r="G162" s="8">
        <v>10</v>
      </c>
      <c r="H162" s="9">
        <v>1718</v>
      </c>
      <c r="I162" s="9">
        <v>1731</v>
      </c>
      <c r="J162" s="8" t="s">
        <v>1186</v>
      </c>
      <c r="K162" s="8" t="str">
        <f>HYPERLINK("http://dx.doi.org/10.1039/d3em00193h","http://dx.doi.org/10.1039/d3em00193h")</f>
        <v>http://dx.doi.org/10.1039/d3em00193h</v>
      </c>
      <c r="L162" s="8" t="s">
        <v>1185</v>
      </c>
      <c r="M162" s="8"/>
    </row>
    <row r="163" spans="1:13" ht="15" x14ac:dyDescent="0.25">
      <c r="A163" s="7" t="s">
        <v>460</v>
      </c>
      <c r="B163" s="8" t="s">
        <v>1807</v>
      </c>
      <c r="C163" s="8" t="s">
        <v>1806</v>
      </c>
      <c r="D163" s="8" t="s">
        <v>1214</v>
      </c>
      <c r="E163" s="8">
        <v>2024</v>
      </c>
      <c r="F163" s="8">
        <v>913</v>
      </c>
      <c r="G163" s="8" t="s">
        <v>1186</v>
      </c>
      <c r="H163" s="9" t="s">
        <v>1186</v>
      </c>
      <c r="I163" s="9" t="s">
        <v>1186</v>
      </c>
      <c r="J163" s="8">
        <v>169678</v>
      </c>
      <c r="K163" s="8" t="str">
        <f>HYPERLINK("http://dx.doi.org/10.1016/j.scitotenv.2023.169678","http://dx.doi.org/10.1016/j.scitotenv.2023.169678")</f>
        <v>http://dx.doi.org/10.1016/j.scitotenv.2023.169678</v>
      </c>
      <c r="L163" s="8"/>
      <c r="M163" s="8" t="s">
        <v>1185</v>
      </c>
    </row>
    <row r="164" spans="1:13" ht="15" x14ac:dyDescent="0.25">
      <c r="A164" s="7" t="s">
        <v>692</v>
      </c>
      <c r="B164" s="8" t="s">
        <v>1805</v>
      </c>
      <c r="C164" s="8" t="s">
        <v>1804</v>
      </c>
      <c r="D164" s="8" t="s">
        <v>1195</v>
      </c>
      <c r="E164" s="8">
        <v>2021</v>
      </c>
      <c r="F164" s="8">
        <v>416</v>
      </c>
      <c r="G164" s="8" t="s">
        <v>1186</v>
      </c>
      <c r="H164" s="9" t="s">
        <v>1186</v>
      </c>
      <c r="I164" s="9" t="s">
        <v>1186</v>
      </c>
      <c r="J164" s="8">
        <v>126168</v>
      </c>
      <c r="K164" s="8" t="str">
        <f>HYPERLINK("http://dx.doi.org/10.1016/j.jhazmat.2021.126168","http://dx.doi.org/10.1016/j.jhazmat.2021.126168")</f>
        <v>http://dx.doi.org/10.1016/j.jhazmat.2021.126168</v>
      </c>
      <c r="L164" s="8"/>
      <c r="M164" s="8" t="s">
        <v>1185</v>
      </c>
    </row>
    <row r="165" spans="1:13" ht="15" x14ac:dyDescent="0.25">
      <c r="A165" s="7" t="s">
        <v>1803</v>
      </c>
      <c r="B165" s="8" t="s">
        <v>1802</v>
      </c>
      <c r="C165" s="8" t="s">
        <v>1801</v>
      </c>
      <c r="D165" s="8" t="s">
        <v>1251</v>
      </c>
      <c r="E165" s="8">
        <v>2023</v>
      </c>
      <c r="F165" s="8" t="s">
        <v>1186</v>
      </c>
      <c r="G165" s="8" t="s">
        <v>1186</v>
      </c>
      <c r="H165" s="9" t="s">
        <v>1186</v>
      </c>
      <c r="I165" s="9" t="s">
        <v>1186</v>
      </c>
      <c r="J165" s="8" t="s">
        <v>1186</v>
      </c>
      <c r="K165" s="8" t="str">
        <f>HYPERLINK("http://dx.doi.org/10.1021/acs.est.2c07016","http://dx.doi.org/10.1021/acs.est.2c07016")</f>
        <v>http://dx.doi.org/10.1021/acs.est.2c07016</v>
      </c>
      <c r="L165" s="8" t="s">
        <v>1185</v>
      </c>
      <c r="M165" s="8" t="s">
        <v>1185</v>
      </c>
    </row>
    <row r="166" spans="1:13" ht="15" x14ac:dyDescent="0.25">
      <c r="A166" s="7" t="s">
        <v>1800</v>
      </c>
      <c r="B166" s="8" t="s">
        <v>1799</v>
      </c>
      <c r="C166" s="8" t="s">
        <v>1798</v>
      </c>
      <c r="D166" s="8" t="s">
        <v>1370</v>
      </c>
      <c r="E166" s="8">
        <v>2023</v>
      </c>
      <c r="F166" s="8">
        <v>310</v>
      </c>
      <c r="G166" s="8" t="s">
        <v>1186</v>
      </c>
      <c r="H166" s="9" t="s">
        <v>1186</v>
      </c>
      <c r="I166" s="9" t="s">
        <v>1186</v>
      </c>
      <c r="J166" s="8">
        <v>136764</v>
      </c>
      <c r="K166" s="8" t="str">
        <f>HYPERLINK("http://dx.doi.org/10.1016/j.chemosphere.2022.136764","http://dx.doi.org/10.1016/j.chemosphere.2022.136764")</f>
        <v>http://dx.doi.org/10.1016/j.chemosphere.2022.136764</v>
      </c>
      <c r="L166" s="8" t="s">
        <v>1185</v>
      </c>
      <c r="M166" s="8"/>
    </row>
    <row r="167" spans="1:13" ht="15" x14ac:dyDescent="0.25">
      <c r="A167" s="7" t="s">
        <v>1797</v>
      </c>
      <c r="B167" s="8" t="s">
        <v>1796</v>
      </c>
      <c r="C167" s="8" t="s">
        <v>1795</v>
      </c>
      <c r="D167" s="8" t="s">
        <v>1219</v>
      </c>
      <c r="E167" s="8">
        <v>2023</v>
      </c>
      <c r="F167" s="8">
        <v>12</v>
      </c>
      <c r="G167" s="8" t="s">
        <v>1186</v>
      </c>
      <c r="H167" s="9" t="s">
        <v>1186</v>
      </c>
      <c r="I167" s="9" t="s">
        <v>1186</v>
      </c>
      <c r="J167" s="8">
        <v>100346</v>
      </c>
      <c r="K167" s="8" t="str">
        <f>HYPERLINK("http://dx.doi.org/10.1016/j.hazadv.2023.100346","http://dx.doi.org/10.1016/j.hazadv.2023.100346")</f>
        <v>http://dx.doi.org/10.1016/j.hazadv.2023.100346</v>
      </c>
      <c r="L167" s="8" t="s">
        <v>1184</v>
      </c>
      <c r="M167" s="8" t="s">
        <v>1184</v>
      </c>
    </row>
    <row r="168" spans="1:13" ht="15" x14ac:dyDescent="0.25">
      <c r="A168" s="7" t="s">
        <v>226</v>
      </c>
      <c r="B168" s="8" t="s">
        <v>1794</v>
      </c>
      <c r="C168" s="8" t="s">
        <v>1793</v>
      </c>
      <c r="D168" s="8" t="s">
        <v>1214</v>
      </c>
      <c r="E168" s="8">
        <v>2022</v>
      </c>
      <c r="F168" s="8">
        <v>829</v>
      </c>
      <c r="G168" s="8" t="s">
        <v>1186</v>
      </c>
      <c r="H168" s="9" t="s">
        <v>1186</v>
      </c>
      <c r="I168" s="9" t="s">
        <v>1186</v>
      </c>
      <c r="J168" s="8">
        <v>154337</v>
      </c>
      <c r="K168" s="8" t="str">
        <f>HYPERLINK("http://dx.doi.org/10.1016/j.scitotenv.2022.154337","http://dx.doi.org/10.1016/j.scitotenv.2022.154337")</f>
        <v>http://dx.doi.org/10.1016/j.scitotenv.2022.154337</v>
      </c>
      <c r="L168" s="8"/>
      <c r="M168" s="8" t="s">
        <v>1185</v>
      </c>
    </row>
    <row r="169" spans="1:13" ht="15" x14ac:dyDescent="0.25">
      <c r="A169" s="7" t="s">
        <v>21</v>
      </c>
      <c r="B169" s="8" t="s">
        <v>1792</v>
      </c>
      <c r="C169" s="8" t="s">
        <v>1791</v>
      </c>
      <c r="D169" s="8" t="s">
        <v>1601</v>
      </c>
      <c r="E169" s="8">
        <v>2024</v>
      </c>
      <c r="F169" s="8">
        <v>196</v>
      </c>
      <c r="G169" s="8">
        <v>3</v>
      </c>
      <c r="H169" s="9" t="s">
        <v>1186</v>
      </c>
      <c r="I169" s="9" t="s">
        <v>1186</v>
      </c>
      <c r="J169" s="8">
        <v>242</v>
      </c>
      <c r="K169" s="8" t="str">
        <f>HYPERLINK("http://dx.doi.org/10.1007/s10661-024-12381-z","http://dx.doi.org/10.1007/s10661-024-12381-z")</f>
        <v>http://dx.doi.org/10.1007/s10661-024-12381-z</v>
      </c>
      <c r="L169" s="8"/>
      <c r="M169" s="8" t="s">
        <v>1185</v>
      </c>
    </row>
    <row r="170" spans="1:13" ht="15" x14ac:dyDescent="0.25">
      <c r="A170" s="7" t="s">
        <v>1790</v>
      </c>
      <c r="B170" s="8" t="s">
        <v>1789</v>
      </c>
      <c r="C170" s="8" t="s">
        <v>1788</v>
      </c>
      <c r="D170" s="8" t="s">
        <v>1392</v>
      </c>
      <c r="E170" s="8">
        <v>2021</v>
      </c>
      <c r="F170" s="8">
        <v>232</v>
      </c>
      <c r="G170" s="8">
        <v>4</v>
      </c>
      <c r="H170" s="9" t="s">
        <v>1186</v>
      </c>
      <c r="I170" s="9" t="s">
        <v>1186</v>
      </c>
      <c r="J170" s="8">
        <v>133</v>
      </c>
      <c r="K170" s="8" t="str">
        <f>HYPERLINK("http://dx.doi.org/10.1007/s11270-021-05080-9","http://dx.doi.org/10.1007/s11270-021-05080-9")</f>
        <v>http://dx.doi.org/10.1007/s11270-021-05080-9</v>
      </c>
      <c r="L170" s="8"/>
      <c r="M170" s="8" t="s">
        <v>1185</v>
      </c>
    </row>
    <row r="171" spans="1:13" ht="15" x14ac:dyDescent="0.25">
      <c r="A171" s="7" t="s">
        <v>696</v>
      </c>
      <c r="B171" s="8" t="s">
        <v>1787</v>
      </c>
      <c r="C171" s="8" t="s">
        <v>1786</v>
      </c>
      <c r="D171" s="8" t="s">
        <v>1214</v>
      </c>
      <c r="E171" s="8">
        <v>2019</v>
      </c>
      <c r="F171" s="8">
        <v>675</v>
      </c>
      <c r="G171" s="8" t="s">
        <v>1186</v>
      </c>
      <c r="H171" s="9">
        <v>462</v>
      </c>
      <c r="I171" s="9">
        <v>471</v>
      </c>
      <c r="J171" s="8" t="s">
        <v>1186</v>
      </c>
      <c r="K171" s="8" t="str">
        <f>HYPERLINK("http://dx.doi.org/10.1016/j.scitotenv.2019.04.110","http://dx.doi.org/10.1016/j.scitotenv.2019.04.110")</f>
        <v>http://dx.doi.org/10.1016/j.scitotenv.2019.04.110</v>
      </c>
      <c r="L171" s="8"/>
      <c r="M171" s="8" t="s">
        <v>1185</v>
      </c>
    </row>
    <row r="172" spans="1:13" ht="15" x14ac:dyDescent="0.25">
      <c r="A172" s="7" t="s">
        <v>1785</v>
      </c>
      <c r="B172" s="8" t="s">
        <v>1784</v>
      </c>
      <c r="C172" s="8" t="s">
        <v>1783</v>
      </c>
      <c r="D172" s="8" t="s">
        <v>1780</v>
      </c>
      <c r="E172" s="8">
        <v>2022</v>
      </c>
      <c r="F172" s="8">
        <v>15</v>
      </c>
      <c r="G172" s="8">
        <v>12</v>
      </c>
      <c r="H172" s="9">
        <v>967</v>
      </c>
      <c r="I172" s="9">
        <v>975</v>
      </c>
      <c r="J172" s="8" t="s">
        <v>1186</v>
      </c>
      <c r="K172" s="8" t="str">
        <f>HYPERLINK("http://dx.doi.org/10.1038/s41561-022-01051-9","http://dx.doi.org/10.1038/s41561-022-01051-9")</f>
        <v>http://dx.doi.org/10.1038/s41561-022-01051-9</v>
      </c>
      <c r="L172" s="8"/>
      <c r="M172" s="8" t="s">
        <v>1185</v>
      </c>
    </row>
    <row r="173" spans="1:13" ht="15" x14ac:dyDescent="0.25">
      <c r="A173" s="7" t="s">
        <v>358</v>
      </c>
      <c r="B173" s="8" t="s">
        <v>1782</v>
      </c>
      <c r="C173" s="8" t="s">
        <v>1781</v>
      </c>
      <c r="D173" s="8" t="s">
        <v>1780</v>
      </c>
      <c r="E173" s="8">
        <v>2019</v>
      </c>
      <c r="F173" s="8">
        <v>12</v>
      </c>
      <c r="G173" s="8">
        <v>5</v>
      </c>
      <c r="H173" s="9">
        <v>339</v>
      </c>
      <c r="I173" s="9" t="s">
        <v>1779</v>
      </c>
      <c r="J173" s="8" t="s">
        <v>1186</v>
      </c>
      <c r="K173" s="8" t="str">
        <f>HYPERLINK("http://dx.doi.org/10.1038/s41561-019-0335-5","http://dx.doi.org/10.1038/s41561-019-0335-5")</f>
        <v>http://dx.doi.org/10.1038/s41561-019-0335-5</v>
      </c>
      <c r="L173" s="8"/>
      <c r="M173" s="8" t="s">
        <v>1185</v>
      </c>
    </row>
    <row r="174" spans="1:13" ht="15" x14ac:dyDescent="0.25">
      <c r="A174" s="7" t="s">
        <v>1778</v>
      </c>
      <c r="B174" s="8" t="s">
        <v>1777</v>
      </c>
      <c r="C174" s="8" t="s">
        <v>1776</v>
      </c>
      <c r="D174" s="8" t="s">
        <v>1441</v>
      </c>
      <c r="E174" s="8">
        <v>2020</v>
      </c>
      <c r="F174" s="8">
        <v>11</v>
      </c>
      <c r="G174" s="8">
        <v>1</v>
      </c>
      <c r="H174" s="9" t="s">
        <v>1186</v>
      </c>
      <c r="I174" s="9" t="s">
        <v>1186</v>
      </c>
      <c r="J174" s="8" t="s">
        <v>1186</v>
      </c>
      <c r="K174" s="8" t="str">
        <f>HYPERLINK("http://dx.doi.org/10.1038/s41467-020-17201-9","http://dx.doi.org/10.1038/s41467-020-17201-9")</f>
        <v>http://dx.doi.org/10.1038/s41467-020-17201-9</v>
      </c>
      <c r="L174" s="8"/>
      <c r="M174" s="8" t="s">
        <v>1185</v>
      </c>
    </row>
    <row r="175" spans="1:13" ht="15" x14ac:dyDescent="0.25">
      <c r="A175" s="7" t="s">
        <v>1775</v>
      </c>
      <c r="B175" s="8" t="s">
        <v>1774</v>
      </c>
      <c r="C175" s="8" t="s">
        <v>1773</v>
      </c>
      <c r="D175" s="8" t="s">
        <v>1772</v>
      </c>
      <c r="E175" s="8">
        <v>2019</v>
      </c>
      <c r="F175" s="8">
        <v>36</v>
      </c>
      <c r="G175" s="8">
        <v>11</v>
      </c>
      <c r="H175" s="9">
        <v>843</v>
      </c>
      <c r="I175" s="9">
        <v>850</v>
      </c>
      <c r="J175" s="8" t="s">
        <v>1186</v>
      </c>
      <c r="K175" s="8" t="str">
        <f>HYPERLINK("http://dx.doi.org/10.1097/EJA.0000000000001087","http://dx.doi.org/10.1097/EJA.0000000000001087")</f>
        <v>http://dx.doi.org/10.1097/EJA.0000000000001087</v>
      </c>
      <c r="L175" s="8" t="s">
        <v>1185</v>
      </c>
      <c r="M175" s="8"/>
    </row>
    <row r="176" spans="1:13" ht="15" x14ac:dyDescent="0.25">
      <c r="A176" s="7" t="s">
        <v>1771</v>
      </c>
      <c r="B176" s="8" t="s">
        <v>1770</v>
      </c>
      <c r="C176" s="8" t="s">
        <v>1769</v>
      </c>
      <c r="D176" s="8" t="s">
        <v>1768</v>
      </c>
      <c r="E176" s="8">
        <v>2021</v>
      </c>
      <c r="F176" s="8">
        <v>123</v>
      </c>
      <c r="G176" s="8" t="s">
        <v>1186</v>
      </c>
      <c r="H176" s="9" t="s">
        <v>1186</v>
      </c>
      <c r="I176" s="9" t="s">
        <v>1186</v>
      </c>
      <c r="J176" s="8">
        <v>112012</v>
      </c>
      <c r="K176" s="8" t="str">
        <f>HYPERLINK("http://dx.doi.org/10.1016/j.msec.2021.112012","http://dx.doi.org/10.1016/j.msec.2021.112012")</f>
        <v>http://dx.doi.org/10.1016/j.msec.2021.112012</v>
      </c>
      <c r="L176" s="8" t="s">
        <v>1185</v>
      </c>
      <c r="M176" s="8"/>
    </row>
    <row r="177" spans="1:13" ht="15" x14ac:dyDescent="0.25">
      <c r="A177" s="7" t="s">
        <v>1767</v>
      </c>
      <c r="B177" s="8" t="s">
        <v>1766</v>
      </c>
      <c r="C177" s="8" t="s">
        <v>1765</v>
      </c>
      <c r="D177" s="8" t="s">
        <v>1233</v>
      </c>
      <c r="E177" s="8">
        <v>2023</v>
      </c>
      <c r="F177" s="8">
        <v>316</v>
      </c>
      <c r="G177" s="8" t="s">
        <v>1186</v>
      </c>
      <c r="H177" s="9" t="s">
        <v>1186</v>
      </c>
      <c r="I177" s="9" t="s">
        <v>1186</v>
      </c>
      <c r="J177" s="8">
        <v>120513</v>
      </c>
      <c r="K177" s="8" t="str">
        <f>HYPERLINK("http://dx.doi.org/10.1016/j.envpol.2022.120513","http://dx.doi.org/10.1016/j.envpol.2022.120513")</f>
        <v>http://dx.doi.org/10.1016/j.envpol.2022.120513</v>
      </c>
      <c r="L177" s="8"/>
      <c r="M177" s="8" t="s">
        <v>1185</v>
      </c>
    </row>
    <row r="178" spans="1:13" ht="15" x14ac:dyDescent="0.25">
      <c r="A178" s="7" t="s">
        <v>465</v>
      </c>
      <c r="B178" s="8" t="s">
        <v>1764</v>
      </c>
      <c r="C178" s="8" t="s">
        <v>1763</v>
      </c>
      <c r="D178" s="8" t="s">
        <v>1370</v>
      </c>
      <c r="E178" s="8">
        <v>2022</v>
      </c>
      <c r="F178" s="8">
        <v>308</v>
      </c>
      <c r="G178" s="8" t="s">
        <v>1186</v>
      </c>
      <c r="H178" s="9" t="s">
        <v>1186</v>
      </c>
      <c r="I178" s="9" t="s">
        <v>1186</v>
      </c>
      <c r="J178" s="8">
        <v>136194</v>
      </c>
      <c r="K178" s="8" t="str">
        <f>HYPERLINK("http://dx.doi.org/10.1016/j.chemosphere.2022.136194","http://dx.doi.org/10.1016/j.chemosphere.2022.136194")</f>
        <v>http://dx.doi.org/10.1016/j.chemosphere.2022.136194</v>
      </c>
      <c r="L178" s="8"/>
      <c r="M178" s="8" t="s">
        <v>1185</v>
      </c>
    </row>
    <row r="179" spans="1:13" ht="15" x14ac:dyDescent="0.25">
      <c r="A179" s="7" t="s">
        <v>1762</v>
      </c>
      <c r="B179" s="8" t="s">
        <v>1761</v>
      </c>
      <c r="C179" s="8" t="s">
        <v>1760</v>
      </c>
      <c r="D179" s="8" t="s">
        <v>1759</v>
      </c>
      <c r="E179" s="8">
        <v>2023</v>
      </c>
      <c r="F179" s="8">
        <v>103</v>
      </c>
      <c r="G179" s="8">
        <v>14</v>
      </c>
      <c r="H179" s="9">
        <v>7293</v>
      </c>
      <c r="I179" s="9">
        <v>7301</v>
      </c>
      <c r="J179" s="8" t="s">
        <v>1186</v>
      </c>
      <c r="K179" s="8" t="str">
        <f>HYPERLINK("http://dx.doi.org/10.1002/jsfa.12817","http://dx.doi.org/10.1002/jsfa.12817")</f>
        <v>http://dx.doi.org/10.1002/jsfa.12817</v>
      </c>
      <c r="L179" s="8" t="s">
        <v>1185</v>
      </c>
      <c r="M179" s="8"/>
    </row>
    <row r="180" spans="1:13" ht="15" x14ac:dyDescent="0.25">
      <c r="A180" s="7" t="s">
        <v>1758</v>
      </c>
      <c r="B180" s="8" t="s">
        <v>1757</v>
      </c>
      <c r="C180" s="8" t="s">
        <v>1756</v>
      </c>
      <c r="D180" s="8" t="s">
        <v>1755</v>
      </c>
      <c r="E180" s="8">
        <v>2024</v>
      </c>
      <c r="F180" s="8" t="s">
        <v>1186</v>
      </c>
      <c r="G180" s="8" t="s">
        <v>1186</v>
      </c>
      <c r="H180" s="9" t="s">
        <v>1186</v>
      </c>
      <c r="I180" s="9" t="s">
        <v>1186</v>
      </c>
      <c r="J180" s="8" t="s">
        <v>1186</v>
      </c>
      <c r="K180" s="8" t="str">
        <f>HYPERLINK("http://dx.doi.org/10.1039/d4ea00010b","http://dx.doi.org/10.1039/d4ea00010b")</f>
        <v>http://dx.doi.org/10.1039/d4ea00010b</v>
      </c>
      <c r="L180" s="8" t="s">
        <v>1185</v>
      </c>
      <c r="M180" s="8"/>
    </row>
    <row r="181" spans="1:13" ht="15" x14ac:dyDescent="0.25">
      <c r="A181" s="7" t="s">
        <v>1754</v>
      </c>
      <c r="B181" s="8" t="s">
        <v>1753</v>
      </c>
      <c r="C181" s="8" t="s">
        <v>1752</v>
      </c>
      <c r="D181" s="8" t="s">
        <v>1751</v>
      </c>
      <c r="E181" s="8">
        <v>2016</v>
      </c>
      <c r="F181" s="8">
        <v>13</v>
      </c>
      <c r="G181" s="8">
        <v>11</v>
      </c>
      <c r="H181" s="9">
        <v>1053</v>
      </c>
      <c r="I181" s="9">
        <v>1060</v>
      </c>
      <c r="J181" s="8" t="s">
        <v>1186</v>
      </c>
      <c r="K181" s="8" t="str">
        <f>HYPERLINK("http://dx.doi.org/10.1002/ppap.201600024","http://dx.doi.org/10.1002/ppap.201600024")</f>
        <v>http://dx.doi.org/10.1002/ppap.201600024</v>
      </c>
      <c r="L181" s="8" t="s">
        <v>1185</v>
      </c>
      <c r="M181" s="8"/>
    </row>
    <row r="182" spans="1:13" ht="15" x14ac:dyDescent="0.25">
      <c r="A182" s="7" t="s">
        <v>1750</v>
      </c>
      <c r="B182" s="8" t="s">
        <v>1749</v>
      </c>
      <c r="C182" s="8" t="s">
        <v>1748</v>
      </c>
      <c r="D182" s="8" t="s">
        <v>1747</v>
      </c>
      <c r="E182" s="8">
        <v>2018</v>
      </c>
      <c r="F182" s="8">
        <v>89</v>
      </c>
      <c r="G182" s="8" t="s">
        <v>1746</v>
      </c>
      <c r="H182" s="9">
        <v>415</v>
      </c>
      <c r="I182" s="9">
        <v>428</v>
      </c>
      <c r="J182" s="8" t="s">
        <v>1186</v>
      </c>
      <c r="K182" s="8" t="str">
        <f>HYPERLINK("http://dx.doi.org/10.1007/s11085-017-9796-3","http://dx.doi.org/10.1007/s11085-017-9796-3")</f>
        <v>http://dx.doi.org/10.1007/s11085-017-9796-3</v>
      </c>
      <c r="L182" s="8" t="s">
        <v>1185</v>
      </c>
      <c r="M182" s="8"/>
    </row>
    <row r="183" spans="1:13" ht="15" x14ac:dyDescent="0.25">
      <c r="A183" s="7" t="s">
        <v>1745</v>
      </c>
      <c r="B183" s="8" t="s">
        <v>1744</v>
      </c>
      <c r="C183" s="8" t="s">
        <v>1743</v>
      </c>
      <c r="D183" s="8" t="s">
        <v>1214</v>
      </c>
      <c r="E183" s="8">
        <v>2020</v>
      </c>
      <c r="F183" s="8">
        <v>743</v>
      </c>
      <c r="G183" s="8" t="s">
        <v>1186</v>
      </c>
      <c r="H183" s="9" t="s">
        <v>1186</v>
      </c>
      <c r="I183" s="9" t="s">
        <v>1186</v>
      </c>
      <c r="J183" s="8">
        <v>140755</v>
      </c>
      <c r="K183" s="8" t="str">
        <f>HYPERLINK("http://dx.doi.org/10.1016/j.scitotenv.2020.140755","http://dx.doi.org/10.1016/j.scitotenv.2020.140755")</f>
        <v>http://dx.doi.org/10.1016/j.scitotenv.2020.140755</v>
      </c>
      <c r="L183" s="8" t="s">
        <v>1185</v>
      </c>
      <c r="M183" s="8"/>
    </row>
    <row r="184" spans="1:13" ht="15" x14ac:dyDescent="0.25">
      <c r="A184" s="7" t="s">
        <v>1742</v>
      </c>
      <c r="B184" s="8" t="s">
        <v>1741</v>
      </c>
      <c r="C184" s="8" t="s">
        <v>1740</v>
      </c>
      <c r="D184" s="8" t="s">
        <v>1739</v>
      </c>
      <c r="E184" s="8">
        <v>2020</v>
      </c>
      <c r="F184" s="8">
        <v>22</v>
      </c>
      <c r="G184" s="8">
        <v>9</v>
      </c>
      <c r="H184" s="9">
        <v>1828</v>
      </c>
      <c r="I184" s="9">
        <v>1841</v>
      </c>
      <c r="J184" s="8" t="s">
        <v>1186</v>
      </c>
      <c r="K184" s="8" t="str">
        <f>HYPERLINK("http://dx.doi.org/10.1039/d0em00190b","http://dx.doi.org/10.1039/d0em00190b")</f>
        <v>http://dx.doi.org/10.1039/d0em00190b</v>
      </c>
      <c r="L184" s="8" t="s">
        <v>1185</v>
      </c>
      <c r="M184" s="8"/>
    </row>
    <row r="185" spans="1:13" ht="15" x14ac:dyDescent="0.25">
      <c r="A185" s="7" t="s">
        <v>1738</v>
      </c>
      <c r="B185" s="8" t="s">
        <v>1737</v>
      </c>
      <c r="C185" s="8" t="s">
        <v>1736</v>
      </c>
      <c r="D185" s="8" t="s">
        <v>1735</v>
      </c>
      <c r="E185" s="8">
        <v>2017</v>
      </c>
      <c r="F185" s="8">
        <v>2</v>
      </c>
      <c r="G185" s="8" t="s">
        <v>1186</v>
      </c>
      <c r="H185" s="9">
        <v>43</v>
      </c>
      <c r="I185" s="9">
        <v>56</v>
      </c>
      <c r="J185" s="8" t="s">
        <v>1186</v>
      </c>
      <c r="K185" s="8" t="str">
        <f>HYPERLINK("http://dx.doi.org/10.1016/j.tsep.2017.04.004","http://dx.doi.org/10.1016/j.tsep.2017.04.004")</f>
        <v>http://dx.doi.org/10.1016/j.tsep.2017.04.004</v>
      </c>
      <c r="L185" s="8" t="s">
        <v>1185</v>
      </c>
      <c r="M185" s="8"/>
    </row>
    <row r="186" spans="1:13" ht="15" x14ac:dyDescent="0.25">
      <c r="A186" s="7" t="s">
        <v>1734</v>
      </c>
      <c r="B186" s="8" t="s">
        <v>1733</v>
      </c>
      <c r="C186" s="8" t="s">
        <v>1732</v>
      </c>
      <c r="D186" s="8" t="s">
        <v>1214</v>
      </c>
      <c r="E186" s="8">
        <v>2022</v>
      </c>
      <c r="F186" s="8">
        <v>852</v>
      </c>
      <c r="G186" s="8" t="s">
        <v>1186</v>
      </c>
      <c r="H186" s="9" t="s">
        <v>1186</v>
      </c>
      <c r="I186" s="9" t="s">
        <v>1186</v>
      </c>
      <c r="J186" s="8">
        <v>158233</v>
      </c>
      <c r="K186" s="8" t="str">
        <f>HYPERLINK("http://dx.doi.org/10.1016/j.scitotenv.2022.158233","http://dx.doi.org/10.1016/j.scitotenv.2022.158233")</f>
        <v>http://dx.doi.org/10.1016/j.scitotenv.2022.158233</v>
      </c>
      <c r="L186" s="8" t="s">
        <v>1185</v>
      </c>
      <c r="M186" s="8"/>
    </row>
    <row r="187" spans="1:13" ht="15" x14ac:dyDescent="0.25">
      <c r="A187" s="7" t="s">
        <v>426</v>
      </c>
      <c r="B187" s="8" t="s">
        <v>1731</v>
      </c>
      <c r="C187" s="8" t="s">
        <v>1730</v>
      </c>
      <c r="D187" s="8" t="s">
        <v>1370</v>
      </c>
      <c r="E187" s="8">
        <v>2021</v>
      </c>
      <c r="F187" s="8">
        <v>272</v>
      </c>
      <c r="G187" s="8" t="s">
        <v>1186</v>
      </c>
      <c r="H187" s="9" t="s">
        <v>1186</v>
      </c>
      <c r="I187" s="9" t="s">
        <v>1186</v>
      </c>
      <c r="J187" s="8">
        <v>129874</v>
      </c>
      <c r="K187" s="8" t="str">
        <f>HYPERLINK("http://dx.doi.org/10.1016/j.chemosphere.2021.129874","http://dx.doi.org/10.1016/j.chemosphere.2021.129874")</f>
        <v>http://dx.doi.org/10.1016/j.chemosphere.2021.129874</v>
      </c>
      <c r="L187" s="8"/>
      <c r="M187" s="8" t="s">
        <v>1185</v>
      </c>
    </row>
    <row r="188" spans="1:13" ht="15" x14ac:dyDescent="0.25">
      <c r="A188" s="7" t="s">
        <v>1729</v>
      </c>
      <c r="B188" s="8" t="s">
        <v>1728</v>
      </c>
      <c r="C188" s="8" t="s">
        <v>1727</v>
      </c>
      <c r="D188" s="8" t="s">
        <v>1233</v>
      </c>
      <c r="E188" s="8">
        <v>2022</v>
      </c>
      <c r="F188" s="8">
        <v>310</v>
      </c>
      <c r="G188" s="8" t="s">
        <v>1186</v>
      </c>
      <c r="H188" s="9" t="s">
        <v>1186</v>
      </c>
      <c r="I188" s="9" t="s">
        <v>1186</v>
      </c>
      <c r="J188" s="8">
        <v>119808</v>
      </c>
      <c r="K188" s="8" t="str">
        <f>HYPERLINK("http://dx.doi.org/10.1016/j.envpol.2022.119808","http://dx.doi.org/10.1016/j.envpol.2022.119808")</f>
        <v>http://dx.doi.org/10.1016/j.envpol.2022.119808</v>
      </c>
      <c r="L188" s="8" t="s">
        <v>1184</v>
      </c>
      <c r="M188" s="8" t="s">
        <v>1184</v>
      </c>
    </row>
    <row r="189" spans="1:13" ht="15" x14ac:dyDescent="0.25">
      <c r="A189" s="7" t="s">
        <v>715</v>
      </c>
      <c r="B189" s="8" t="s">
        <v>1726</v>
      </c>
      <c r="C189" s="8" t="s">
        <v>1725</v>
      </c>
      <c r="D189" s="8" t="s">
        <v>1214</v>
      </c>
      <c r="E189" s="8">
        <v>2022</v>
      </c>
      <c r="F189" s="8">
        <v>851</v>
      </c>
      <c r="G189" s="8" t="s">
        <v>1186</v>
      </c>
      <c r="H189" s="9" t="s">
        <v>1186</v>
      </c>
      <c r="I189" s="9" t="s">
        <v>1186</v>
      </c>
      <c r="J189" s="8">
        <v>158167</v>
      </c>
      <c r="K189" s="8" t="str">
        <f>HYPERLINK("http://dx.doi.org/10.1016/j.scitotenv.2022.158167","http://dx.doi.org/10.1016/j.scitotenv.2022.158167")</f>
        <v>http://dx.doi.org/10.1016/j.scitotenv.2022.158167</v>
      </c>
      <c r="L189" s="8"/>
      <c r="M189" s="8" t="s">
        <v>1185</v>
      </c>
    </row>
    <row r="190" spans="1:13" ht="15" x14ac:dyDescent="0.25">
      <c r="A190" s="7" t="s">
        <v>1724</v>
      </c>
      <c r="B190" s="8" t="s">
        <v>1723</v>
      </c>
      <c r="C190" s="8" t="s">
        <v>1722</v>
      </c>
      <c r="D190" s="8" t="s">
        <v>1195</v>
      </c>
      <c r="E190" s="8">
        <v>2024</v>
      </c>
      <c r="F190" s="8">
        <v>464</v>
      </c>
      <c r="G190" s="8" t="s">
        <v>1186</v>
      </c>
      <c r="H190" s="9" t="s">
        <v>1186</v>
      </c>
      <c r="I190" s="9" t="s">
        <v>1186</v>
      </c>
      <c r="J190" s="8">
        <v>132969</v>
      </c>
      <c r="K190" s="8" t="str">
        <f>HYPERLINK("http://dx.doi.org/10.1016/j.jhazmat.2023.132969","http://dx.doi.org/10.1016/j.jhazmat.2023.132969")</f>
        <v>http://dx.doi.org/10.1016/j.jhazmat.2023.132969</v>
      </c>
      <c r="L190" s="8"/>
      <c r="M190" s="8" t="s">
        <v>1185</v>
      </c>
    </row>
    <row r="191" spans="1:13" ht="15" x14ac:dyDescent="0.25">
      <c r="A191" s="7" t="s">
        <v>1721</v>
      </c>
      <c r="B191" s="8" t="s">
        <v>1720</v>
      </c>
      <c r="C191" s="8" t="s">
        <v>1719</v>
      </c>
      <c r="D191" s="8" t="s">
        <v>1718</v>
      </c>
      <c r="E191" s="8">
        <v>2020</v>
      </c>
      <c r="F191" s="8">
        <v>261</v>
      </c>
      <c r="G191" s="8" t="s">
        <v>1186</v>
      </c>
      <c r="H191" s="9" t="s">
        <v>1186</v>
      </c>
      <c r="I191" s="9" t="s">
        <v>1186</v>
      </c>
      <c r="J191" s="8">
        <v>110112</v>
      </c>
      <c r="K191" s="8" t="str">
        <f>HYPERLINK("http://dx.doi.org/10.1016/j.jenvman.2020.110112","http://dx.doi.org/10.1016/j.jenvman.2020.110112")</f>
        <v>http://dx.doi.org/10.1016/j.jenvman.2020.110112</v>
      </c>
      <c r="L191" s="8" t="s">
        <v>1185</v>
      </c>
      <c r="M191" s="8"/>
    </row>
    <row r="192" spans="1:13" ht="15" x14ac:dyDescent="0.25">
      <c r="A192" s="7" t="s">
        <v>1717</v>
      </c>
      <c r="B192" s="8" t="s">
        <v>1716</v>
      </c>
      <c r="C192" s="8" t="s">
        <v>1715</v>
      </c>
      <c r="D192" s="8" t="s">
        <v>1714</v>
      </c>
      <c r="E192" s="8">
        <v>2019</v>
      </c>
      <c r="F192" s="8">
        <v>9</v>
      </c>
      <c r="G192" s="8">
        <v>1</v>
      </c>
      <c r="H192" s="9" t="s">
        <v>1186</v>
      </c>
      <c r="I192" s="9" t="s">
        <v>1186</v>
      </c>
      <c r="J192" s="8">
        <v>36</v>
      </c>
      <c r="K192" s="8" t="str">
        <f>HYPERLINK("http://dx.doi.org/10.3390/agronomy9010036","http://dx.doi.org/10.3390/agronomy9010036")</f>
        <v>http://dx.doi.org/10.3390/agronomy9010036</v>
      </c>
      <c r="L192" s="8" t="s">
        <v>1185</v>
      </c>
      <c r="M192" s="8"/>
    </row>
    <row r="193" spans="1:13" ht="15" x14ac:dyDescent="0.25">
      <c r="A193" s="7" t="s">
        <v>470</v>
      </c>
      <c r="B193" s="8" t="s">
        <v>1713</v>
      </c>
      <c r="C193" s="8" t="s">
        <v>1712</v>
      </c>
      <c r="D193" s="8" t="s">
        <v>1436</v>
      </c>
      <c r="E193" s="8">
        <v>2023</v>
      </c>
      <c r="F193" s="8">
        <v>298</v>
      </c>
      <c r="G193" s="8" t="s">
        <v>1186</v>
      </c>
      <c r="H193" s="9" t="s">
        <v>1186</v>
      </c>
      <c r="I193" s="9" t="s">
        <v>1186</v>
      </c>
      <c r="J193" s="8">
        <v>119617</v>
      </c>
      <c r="K193" s="8" t="str">
        <f>HYPERLINK("http://dx.doi.org/10.1016/j.atmosenv.2023.119617","http://dx.doi.org/10.1016/j.atmosenv.2023.119617")</f>
        <v>http://dx.doi.org/10.1016/j.atmosenv.2023.119617</v>
      </c>
      <c r="L193" s="8"/>
      <c r="M193" s="8" t="s">
        <v>1185</v>
      </c>
    </row>
    <row r="194" spans="1:13" ht="15" x14ac:dyDescent="0.25">
      <c r="A194" s="7" t="s">
        <v>718</v>
      </c>
      <c r="B194" s="8" t="s">
        <v>1711</v>
      </c>
      <c r="C194" s="8" t="s">
        <v>1710</v>
      </c>
      <c r="D194" s="8" t="s">
        <v>1454</v>
      </c>
      <c r="E194" s="8">
        <v>2022</v>
      </c>
      <c r="F194" s="8">
        <v>162</v>
      </c>
      <c r="G194" s="8" t="s">
        <v>1186</v>
      </c>
      <c r="H194" s="9" t="s">
        <v>1186</v>
      </c>
      <c r="I194" s="9" t="s">
        <v>1186</v>
      </c>
      <c r="J194" s="8">
        <v>107151</v>
      </c>
      <c r="K194" s="8" t="str">
        <f>HYPERLINK("http://dx.doi.org/10.1016/j.envint.2022.107151","http://dx.doi.org/10.1016/j.envint.2022.107151")</f>
        <v>http://dx.doi.org/10.1016/j.envint.2022.107151</v>
      </c>
      <c r="L194" s="8"/>
      <c r="M194" s="8" t="s">
        <v>1185</v>
      </c>
    </row>
    <row r="195" spans="1:13" ht="15" x14ac:dyDescent="0.25">
      <c r="A195" s="7" t="s">
        <v>1709</v>
      </c>
      <c r="B195" s="8" t="s">
        <v>1708</v>
      </c>
      <c r="C195" s="8" t="s">
        <v>1707</v>
      </c>
      <c r="D195" s="8" t="s">
        <v>1706</v>
      </c>
      <c r="E195" s="8">
        <v>2018</v>
      </c>
      <c r="F195" s="8">
        <v>138</v>
      </c>
      <c r="G195" s="8" t="s">
        <v>1186</v>
      </c>
      <c r="H195" s="9">
        <v>675</v>
      </c>
      <c r="I195" s="9">
        <v>685</v>
      </c>
      <c r="J195" s="8" t="s">
        <v>1186</v>
      </c>
      <c r="K195" s="8" t="str">
        <f>HYPERLINK("http://dx.doi.org/10.1016/j.applthermaleng.2018.04.065","http://dx.doi.org/10.1016/j.applthermaleng.2018.04.065")</f>
        <v>http://dx.doi.org/10.1016/j.applthermaleng.2018.04.065</v>
      </c>
      <c r="L195" s="8" t="s">
        <v>1185</v>
      </c>
      <c r="M195" s="8"/>
    </row>
    <row r="196" spans="1:13" ht="15" x14ac:dyDescent="0.25">
      <c r="A196" s="7" t="s">
        <v>1705</v>
      </c>
      <c r="B196" s="8" t="s">
        <v>1704</v>
      </c>
      <c r="C196" s="8" t="s">
        <v>1703</v>
      </c>
      <c r="D196" s="8" t="s">
        <v>1702</v>
      </c>
      <c r="E196" s="8">
        <v>2018</v>
      </c>
      <c r="F196" s="8">
        <v>40</v>
      </c>
      <c r="G196" s="8">
        <v>4</v>
      </c>
      <c r="H196" s="9" t="s">
        <v>1186</v>
      </c>
      <c r="I196" s="9" t="s">
        <v>1186</v>
      </c>
      <c r="J196" s="8">
        <v>224</v>
      </c>
      <c r="K196" s="8" t="str">
        <f>HYPERLINK("http://dx.doi.org/10.1007/s40430-018-1040-9","http://dx.doi.org/10.1007/s40430-018-1040-9")</f>
        <v>http://dx.doi.org/10.1007/s40430-018-1040-9</v>
      </c>
      <c r="L196" s="8" t="s">
        <v>1185</v>
      </c>
      <c r="M196" s="8"/>
    </row>
    <row r="197" spans="1:13" ht="15" x14ac:dyDescent="0.25">
      <c r="A197" s="7" t="s">
        <v>1701</v>
      </c>
      <c r="B197" s="8" t="s">
        <v>1700</v>
      </c>
      <c r="C197" s="8" t="s">
        <v>1699</v>
      </c>
      <c r="D197" s="8" t="s">
        <v>1698</v>
      </c>
      <c r="E197" s="8">
        <v>2021</v>
      </c>
      <c r="F197" s="8">
        <v>987</v>
      </c>
      <c r="G197" s="8" t="s">
        <v>1186</v>
      </c>
      <c r="H197" s="9" t="s">
        <v>1186</v>
      </c>
      <c r="I197" s="9" t="s">
        <v>1186</v>
      </c>
      <c r="J197" s="8">
        <v>164870</v>
      </c>
      <c r="K197" s="8" t="str">
        <f>HYPERLINK("http://dx.doi.org/10.1016/j.nima.2020.164870","http://dx.doi.org/10.1016/j.nima.2020.164870")</f>
        <v>http://dx.doi.org/10.1016/j.nima.2020.164870</v>
      </c>
      <c r="L197" s="8" t="s">
        <v>1185</v>
      </c>
      <c r="M197" s="8"/>
    </row>
    <row r="198" spans="1:13" ht="15" x14ac:dyDescent="0.25">
      <c r="A198" s="7" t="s">
        <v>1697</v>
      </c>
      <c r="B198" s="8" t="s">
        <v>1696</v>
      </c>
      <c r="C198" s="8" t="s">
        <v>1695</v>
      </c>
      <c r="D198" s="8" t="s">
        <v>1694</v>
      </c>
      <c r="E198" s="8">
        <v>2015</v>
      </c>
      <c r="F198" s="8">
        <v>120</v>
      </c>
      <c r="G198" s="8">
        <v>11</v>
      </c>
      <c r="H198" s="9">
        <v>7290</v>
      </c>
      <c r="I198" s="9">
        <v>7307</v>
      </c>
      <c r="J198" s="8" t="s">
        <v>1186</v>
      </c>
      <c r="K198" s="8" t="str">
        <f>HYPERLINK("http://dx.doi.org/10.1002/2015JB011969","http://dx.doi.org/10.1002/2015JB011969")</f>
        <v>http://dx.doi.org/10.1002/2015JB011969</v>
      </c>
      <c r="L198" s="8" t="s">
        <v>1185</v>
      </c>
      <c r="M198" s="8"/>
    </row>
    <row r="199" spans="1:13" ht="15" x14ac:dyDescent="0.25">
      <c r="A199" s="7" t="s">
        <v>1693</v>
      </c>
      <c r="B199" s="8" t="s">
        <v>1692</v>
      </c>
      <c r="C199" s="8" t="s">
        <v>1691</v>
      </c>
      <c r="D199" s="8" t="s">
        <v>1690</v>
      </c>
      <c r="E199" s="8">
        <v>2023</v>
      </c>
      <c r="F199" s="8">
        <v>12</v>
      </c>
      <c r="G199" s="8">
        <v>5</v>
      </c>
      <c r="H199" s="9" t="s">
        <v>1186</v>
      </c>
      <c r="I199" s="9" t="s">
        <v>1186</v>
      </c>
      <c r="J199" s="8">
        <v>977</v>
      </c>
      <c r="K199" s="8" t="str">
        <f>HYPERLINK("http://dx.doi.org/10.3390/plants12050977","http://dx.doi.org/10.3390/plants12050977")</f>
        <v>http://dx.doi.org/10.3390/plants12050977</v>
      </c>
      <c r="L199" s="8"/>
      <c r="M199" s="8" t="s">
        <v>1185</v>
      </c>
    </row>
    <row r="200" spans="1:13" ht="15" x14ac:dyDescent="0.25">
      <c r="A200" s="7" t="s">
        <v>1689</v>
      </c>
      <c r="B200" s="8" t="s">
        <v>1688</v>
      </c>
      <c r="C200" s="8" t="s">
        <v>1687</v>
      </c>
      <c r="D200" s="8" t="s">
        <v>1594</v>
      </c>
      <c r="E200" s="8">
        <v>2023</v>
      </c>
      <c r="F200" s="8">
        <v>10</v>
      </c>
      <c r="G200" s="8">
        <v>6</v>
      </c>
      <c r="H200" s="9">
        <v>513</v>
      </c>
      <c r="I200" s="9">
        <v>519</v>
      </c>
      <c r="J200" s="8" t="s">
        <v>1186</v>
      </c>
      <c r="K200" s="8" t="str">
        <f>HYPERLINK("http://dx.doi.org/10.1021/acs.estlett.3c00164","http://dx.doi.org/10.1021/acs.estlett.3c00164")</f>
        <v>http://dx.doi.org/10.1021/acs.estlett.3c00164</v>
      </c>
      <c r="L200" s="8"/>
      <c r="M200" s="8" t="s">
        <v>1185</v>
      </c>
    </row>
    <row r="201" spans="1:13" ht="15" x14ac:dyDescent="0.25">
      <c r="A201" s="7" t="s">
        <v>363</v>
      </c>
      <c r="B201" s="8" t="s">
        <v>1686</v>
      </c>
      <c r="C201" s="8" t="s">
        <v>1685</v>
      </c>
      <c r="D201" s="8" t="s">
        <v>1214</v>
      </c>
      <c r="E201" s="8">
        <v>2022</v>
      </c>
      <c r="F201" s="8">
        <v>835</v>
      </c>
      <c r="G201" s="8" t="s">
        <v>1186</v>
      </c>
      <c r="H201" s="9" t="s">
        <v>1186</v>
      </c>
      <c r="I201" s="9" t="s">
        <v>1186</v>
      </c>
      <c r="J201" s="8">
        <v>155426</v>
      </c>
      <c r="K201" s="8" t="str">
        <f>HYPERLINK("http://dx.doi.org/10.1016/j.scitotenv.2022.155426","http://dx.doi.org/10.1016/j.scitotenv.2022.155426")</f>
        <v>http://dx.doi.org/10.1016/j.scitotenv.2022.155426</v>
      </c>
      <c r="L201" s="8"/>
      <c r="M201" s="8" t="s">
        <v>1185</v>
      </c>
    </row>
    <row r="202" spans="1:13" ht="15" x14ac:dyDescent="0.25">
      <c r="A202" s="7" t="s">
        <v>1684</v>
      </c>
      <c r="B202" s="8" t="s">
        <v>1683</v>
      </c>
      <c r="C202" s="8" t="s">
        <v>1682</v>
      </c>
      <c r="D202" s="8" t="s">
        <v>1214</v>
      </c>
      <c r="E202" s="8">
        <v>2020</v>
      </c>
      <c r="F202" s="8">
        <v>742</v>
      </c>
      <c r="G202" s="8" t="s">
        <v>1186</v>
      </c>
      <c r="H202" s="9" t="s">
        <v>1186</v>
      </c>
      <c r="I202" s="9" t="s">
        <v>1186</v>
      </c>
      <c r="J202" s="8">
        <v>140523</v>
      </c>
      <c r="K202" s="8" t="str">
        <f>HYPERLINK("http://dx.doi.org/10.1016/j.scitotenv.2020.140523","http://dx.doi.org/10.1016/j.scitotenv.2020.140523")</f>
        <v>http://dx.doi.org/10.1016/j.scitotenv.2020.140523</v>
      </c>
      <c r="L202" s="8"/>
      <c r="M202" s="8" t="s">
        <v>1185</v>
      </c>
    </row>
    <row r="203" spans="1:13" ht="15" x14ac:dyDescent="0.25">
      <c r="A203" s="7" t="s">
        <v>1681</v>
      </c>
      <c r="B203" s="8" t="s">
        <v>1680</v>
      </c>
      <c r="C203" s="8" t="s">
        <v>1679</v>
      </c>
      <c r="D203" s="8" t="s">
        <v>1678</v>
      </c>
      <c r="E203" s="8">
        <v>2024</v>
      </c>
      <c r="F203" s="8">
        <v>10</v>
      </c>
      <c r="G203" s="8">
        <v>2</v>
      </c>
      <c r="H203" s="8" t="s">
        <v>1186</v>
      </c>
      <c r="I203" s="8" t="s">
        <v>1186</v>
      </c>
      <c r="J203" s="8">
        <v>100297</v>
      </c>
      <c r="K203" s="8" t="str">
        <f>HYPERLINK("http://dx.doi.org/10.1016/j.emcon.2023.100297","http://dx.doi.org/10.1016/j.emcon.2023.100297")</f>
        <v>http://dx.doi.org/10.1016/j.emcon.2023.100297</v>
      </c>
      <c r="L203" s="8" t="s">
        <v>1184</v>
      </c>
      <c r="M203" s="8" t="s">
        <v>1184</v>
      </c>
    </row>
    <row r="204" spans="1:13" ht="15" x14ac:dyDescent="0.25">
      <c r="A204" s="7" t="s">
        <v>1677</v>
      </c>
      <c r="B204" s="8" t="s">
        <v>1676</v>
      </c>
      <c r="C204" s="8" t="s">
        <v>1675</v>
      </c>
      <c r="D204" s="8" t="s">
        <v>1233</v>
      </c>
      <c r="E204" s="8">
        <v>2023</v>
      </c>
      <c r="F204" s="8">
        <v>335</v>
      </c>
      <c r="G204" s="8" t="s">
        <v>1186</v>
      </c>
      <c r="H204" s="9" t="s">
        <v>1186</v>
      </c>
      <c r="I204" s="9" t="s">
        <v>1186</v>
      </c>
      <c r="J204" s="8">
        <v>122348</v>
      </c>
      <c r="K204" s="8" t="str">
        <f>HYPERLINK("http://dx.doi.org/10.1016/j.envpol.2023.122348","http://dx.doi.org/10.1016/j.envpol.2023.122348")</f>
        <v>http://dx.doi.org/10.1016/j.envpol.2023.122348</v>
      </c>
      <c r="L204" s="8" t="s">
        <v>1185</v>
      </c>
      <c r="M204" s="8"/>
    </row>
    <row r="205" spans="1:13" ht="15" x14ac:dyDescent="0.25">
      <c r="A205" s="7" t="s">
        <v>407</v>
      </c>
      <c r="B205" s="8" t="s">
        <v>1674</v>
      </c>
      <c r="C205" s="8" t="s">
        <v>1673</v>
      </c>
      <c r="D205" s="8" t="s">
        <v>1195</v>
      </c>
      <c r="E205" s="8">
        <v>2021</v>
      </c>
      <c r="F205" s="8">
        <v>417</v>
      </c>
      <c r="G205" s="8" t="s">
        <v>1186</v>
      </c>
      <c r="H205" s="9" t="s">
        <v>1186</v>
      </c>
      <c r="I205" s="9" t="s">
        <v>1186</v>
      </c>
      <c r="J205" s="8">
        <v>126007</v>
      </c>
      <c r="K205" s="8" t="str">
        <f>HYPERLINK("http://dx.doi.org/10.1016/j.jhazmat.2021.126007","http://dx.doi.org/10.1016/j.jhazmat.2021.126007")</f>
        <v>http://dx.doi.org/10.1016/j.jhazmat.2021.126007</v>
      </c>
      <c r="L205" s="8"/>
      <c r="M205" s="8" t="s">
        <v>1185</v>
      </c>
    </row>
    <row r="206" spans="1:13" ht="15" x14ac:dyDescent="0.25">
      <c r="A206" s="7" t="s">
        <v>748</v>
      </c>
      <c r="B206" s="8" t="s">
        <v>1672</v>
      </c>
      <c r="C206" s="8" t="s">
        <v>1671</v>
      </c>
      <c r="D206" s="8" t="s">
        <v>1195</v>
      </c>
      <c r="E206" s="8">
        <v>2022</v>
      </c>
      <c r="F206" s="8">
        <v>436</v>
      </c>
      <c r="G206" s="8" t="s">
        <v>1186</v>
      </c>
      <c r="H206" s="9" t="s">
        <v>1186</v>
      </c>
      <c r="I206" s="9" t="s">
        <v>1186</v>
      </c>
      <c r="J206" s="8">
        <v>129096</v>
      </c>
      <c r="K206" s="8" t="str">
        <f>HYPERLINK("http://dx.doi.org/10.1016/j.jhazmat.2022.129096","http://dx.doi.org/10.1016/j.jhazmat.2022.129096")</f>
        <v>http://dx.doi.org/10.1016/j.jhazmat.2022.129096</v>
      </c>
      <c r="L206" s="8"/>
      <c r="M206" s="8" t="s">
        <v>1185</v>
      </c>
    </row>
    <row r="207" spans="1:13" ht="15" x14ac:dyDescent="0.25">
      <c r="A207" s="7" t="s">
        <v>1670</v>
      </c>
      <c r="B207" s="8" t="s">
        <v>1642</v>
      </c>
      <c r="C207" s="8" t="s">
        <v>1669</v>
      </c>
      <c r="D207" s="8" t="s">
        <v>1668</v>
      </c>
      <c r="E207" s="8">
        <v>2018</v>
      </c>
      <c r="F207" s="8">
        <v>10</v>
      </c>
      <c r="G207" s="8">
        <v>6</v>
      </c>
      <c r="H207" s="9" t="s">
        <v>1186</v>
      </c>
      <c r="I207" s="9" t="s">
        <v>1186</v>
      </c>
      <c r="J207" s="8">
        <v>643</v>
      </c>
      <c r="K207" s="8" t="str">
        <f>HYPERLINK("http://dx.doi.org/10.3390/polym10060643","http://dx.doi.org/10.3390/polym10060643")</f>
        <v>http://dx.doi.org/10.3390/polym10060643</v>
      </c>
      <c r="L207" s="8" t="s">
        <v>1185</v>
      </c>
      <c r="M207" s="8"/>
    </row>
    <row r="208" spans="1:13" ht="15" x14ac:dyDescent="0.25">
      <c r="A208" s="7" t="s">
        <v>1667</v>
      </c>
      <c r="B208" s="8" t="s">
        <v>1666</v>
      </c>
      <c r="C208" s="8" t="s">
        <v>1665</v>
      </c>
      <c r="D208" s="8" t="s">
        <v>1514</v>
      </c>
      <c r="E208" s="8">
        <v>2016</v>
      </c>
      <c r="F208" s="8">
        <v>104</v>
      </c>
      <c r="G208" s="8" t="s">
        <v>1664</v>
      </c>
      <c r="H208" s="9">
        <v>290</v>
      </c>
      <c r="I208" s="9">
        <v>293</v>
      </c>
      <c r="J208" s="8" t="s">
        <v>1186</v>
      </c>
      <c r="K208" s="8" t="str">
        <f>HYPERLINK("http://dx.doi.org/10.1016/j.marpolbul.2016.01.006","http://dx.doi.org/10.1016/j.marpolbul.2016.01.006")</f>
        <v>http://dx.doi.org/10.1016/j.marpolbul.2016.01.006</v>
      </c>
      <c r="L208" s="8"/>
      <c r="M208" s="8" t="s">
        <v>1185</v>
      </c>
    </row>
    <row r="209" spans="1:13" ht="15" x14ac:dyDescent="0.25">
      <c r="A209" s="7" t="s">
        <v>1663</v>
      </c>
      <c r="B209" s="8" t="s">
        <v>1662</v>
      </c>
      <c r="C209" s="8" t="s">
        <v>1661</v>
      </c>
      <c r="D209" s="8" t="s">
        <v>1514</v>
      </c>
      <c r="E209" s="8">
        <v>2022</v>
      </c>
      <c r="F209" s="8">
        <v>174</v>
      </c>
      <c r="G209" s="8" t="s">
        <v>1186</v>
      </c>
      <c r="H209" s="9" t="s">
        <v>1186</v>
      </c>
      <c r="I209" s="9" t="s">
        <v>1186</v>
      </c>
      <c r="J209" s="8">
        <v>113195</v>
      </c>
      <c r="K209" s="8" t="str">
        <f>HYPERLINK("http://dx.doi.org/10.1016/j.marpolbul.2021.113195","http://dx.doi.org/10.1016/j.marpolbul.2021.113195")</f>
        <v>http://dx.doi.org/10.1016/j.marpolbul.2021.113195</v>
      </c>
      <c r="L209" s="8"/>
      <c r="M209" s="8" t="s">
        <v>1185</v>
      </c>
    </row>
    <row r="210" spans="1:13" ht="15" x14ac:dyDescent="0.25">
      <c r="A210" s="7" t="s">
        <v>1660</v>
      </c>
      <c r="B210" s="8" t="s">
        <v>1659</v>
      </c>
      <c r="C210" s="8" t="s">
        <v>1658</v>
      </c>
      <c r="D210" s="8" t="s">
        <v>1354</v>
      </c>
      <c r="E210" s="8">
        <v>2021</v>
      </c>
      <c r="F210" s="8">
        <v>151</v>
      </c>
      <c r="G210" s="8" t="s">
        <v>1186</v>
      </c>
      <c r="H210" s="9">
        <v>341</v>
      </c>
      <c r="I210" s="9">
        <v>354</v>
      </c>
      <c r="J210" s="8" t="s">
        <v>1186</v>
      </c>
      <c r="K210" s="8" t="str">
        <f>HYPERLINK("http://dx.doi.org/10.1016/j.psep.2021.05.027","http://dx.doi.org/10.1016/j.psep.2021.05.027")</f>
        <v>http://dx.doi.org/10.1016/j.psep.2021.05.027</v>
      </c>
      <c r="L210" s="8"/>
      <c r="M210" s="8" t="s">
        <v>1185</v>
      </c>
    </row>
    <row r="211" spans="1:13" ht="15" x14ac:dyDescent="0.25">
      <c r="A211" s="7" t="s">
        <v>418</v>
      </c>
      <c r="B211" s="8" t="s">
        <v>1657</v>
      </c>
      <c r="C211" s="8" t="s">
        <v>1656</v>
      </c>
      <c r="D211" s="8" t="s">
        <v>1214</v>
      </c>
      <c r="E211" s="8">
        <v>2023</v>
      </c>
      <c r="F211" s="8">
        <v>877</v>
      </c>
      <c r="G211" s="8" t="s">
        <v>1186</v>
      </c>
      <c r="H211" s="9" t="s">
        <v>1186</v>
      </c>
      <c r="I211" s="9" t="s">
        <v>1186</v>
      </c>
      <c r="J211" s="8">
        <v>162947</v>
      </c>
      <c r="K211" s="8" t="str">
        <f>HYPERLINK("http://dx.doi.org/10.1016/j.scitotenv.2023.162947","http://dx.doi.org/10.1016/j.scitotenv.2023.162947")</f>
        <v>http://dx.doi.org/10.1016/j.scitotenv.2023.162947</v>
      </c>
      <c r="L211" s="8"/>
      <c r="M211" s="8" t="s">
        <v>1185</v>
      </c>
    </row>
    <row r="212" spans="1:13" ht="15" x14ac:dyDescent="0.25">
      <c r="A212" s="7" t="s">
        <v>84</v>
      </c>
      <c r="B212" s="8" t="s">
        <v>1655</v>
      </c>
      <c r="C212" s="8" t="s">
        <v>1654</v>
      </c>
      <c r="D212" s="8" t="s">
        <v>1214</v>
      </c>
      <c r="E212" s="8">
        <v>2023</v>
      </c>
      <c r="F212" s="8">
        <v>902</v>
      </c>
      <c r="G212" s="8" t="s">
        <v>1186</v>
      </c>
      <c r="H212" s="9" t="s">
        <v>1186</v>
      </c>
      <c r="I212" s="9" t="s">
        <v>1186</v>
      </c>
      <c r="J212" s="8">
        <v>166153</v>
      </c>
      <c r="K212" s="8" t="str">
        <f>HYPERLINK("http://dx.doi.org/10.1016/j.scitotenv.2023.166153","http://dx.doi.org/10.1016/j.scitotenv.2023.166153")</f>
        <v>http://dx.doi.org/10.1016/j.scitotenv.2023.166153</v>
      </c>
      <c r="L212" s="8"/>
      <c r="M212" s="8" t="s">
        <v>1185</v>
      </c>
    </row>
    <row r="213" spans="1:13" ht="15" x14ac:dyDescent="0.25">
      <c r="A213" s="7" t="s">
        <v>12</v>
      </c>
      <c r="B213" s="8" t="s">
        <v>1653</v>
      </c>
      <c r="C213" s="8" t="s">
        <v>1652</v>
      </c>
      <c r="D213" s="8" t="s">
        <v>1651</v>
      </c>
      <c r="E213" s="8">
        <v>2023</v>
      </c>
      <c r="F213" s="8">
        <v>57</v>
      </c>
      <c r="G213" s="8" t="s">
        <v>1186</v>
      </c>
      <c r="H213" s="9" t="s">
        <v>1186</v>
      </c>
      <c r="I213" s="9" t="s">
        <v>1186</v>
      </c>
      <c r="J213" s="8">
        <v>103266</v>
      </c>
      <c r="K213" s="8" t="str">
        <f>HYPERLINK("http://dx.doi.org/10.1016/j.seta.2023.103266","http://dx.doi.org/10.1016/j.seta.2023.103266")</f>
        <v>http://dx.doi.org/10.1016/j.seta.2023.103266</v>
      </c>
      <c r="L213" s="8" t="s">
        <v>1185</v>
      </c>
      <c r="M213" s="8"/>
    </row>
    <row r="214" spans="1:13" ht="15" x14ac:dyDescent="0.25">
      <c r="A214" s="7" t="s">
        <v>1650</v>
      </c>
      <c r="B214" s="8" t="s">
        <v>1649</v>
      </c>
      <c r="C214" s="8" t="s">
        <v>1648</v>
      </c>
      <c r="D214" s="8" t="s">
        <v>1514</v>
      </c>
      <c r="E214" s="8">
        <v>2021</v>
      </c>
      <c r="F214" s="8">
        <v>171</v>
      </c>
      <c r="G214" s="8" t="s">
        <v>1186</v>
      </c>
      <c r="H214" s="9" t="s">
        <v>1186</v>
      </c>
      <c r="I214" s="9" t="s">
        <v>1186</v>
      </c>
      <c r="J214" s="8">
        <v>112739</v>
      </c>
      <c r="K214" s="8" t="str">
        <f>HYPERLINK("http://dx.doi.org/10.1016/j.marpolbul.2021.112739","http://dx.doi.org/10.1016/j.marpolbul.2021.112739")</f>
        <v>http://dx.doi.org/10.1016/j.marpolbul.2021.112739</v>
      </c>
      <c r="L214" s="8"/>
      <c r="M214" s="8" t="s">
        <v>1185</v>
      </c>
    </row>
    <row r="215" spans="1:13" ht="15" x14ac:dyDescent="0.25">
      <c r="A215" s="7" t="s">
        <v>1647</v>
      </c>
      <c r="B215" s="8" t="s">
        <v>1646</v>
      </c>
      <c r="C215" s="8" t="s">
        <v>1645</v>
      </c>
      <c r="D215" s="8" t="s">
        <v>1644</v>
      </c>
      <c r="E215" s="8">
        <v>2024</v>
      </c>
      <c r="F215" s="8">
        <v>21</v>
      </c>
      <c r="G215" s="8">
        <v>3</v>
      </c>
      <c r="H215" s="8" t="s">
        <v>1186</v>
      </c>
      <c r="I215" s="8" t="s">
        <v>1186</v>
      </c>
      <c r="J215" s="8" t="s">
        <v>1186</v>
      </c>
      <c r="K215" s="8" t="str">
        <f>HYPERLINK("http://dx.doi.org/10.1002/ppap.202300129","http://dx.doi.org/10.1002/ppap.202300129")</f>
        <v>http://dx.doi.org/10.1002/ppap.202300129</v>
      </c>
      <c r="L215" s="8" t="s">
        <v>1185</v>
      </c>
      <c r="M215" s="8"/>
    </row>
    <row r="216" spans="1:13" ht="15" x14ac:dyDescent="0.25">
      <c r="A216" s="7" t="s">
        <v>1643</v>
      </c>
      <c r="B216" s="8" t="s">
        <v>1642</v>
      </c>
      <c r="C216" s="8" t="s">
        <v>1641</v>
      </c>
      <c r="D216" s="8" t="s">
        <v>1640</v>
      </c>
      <c r="E216" s="8">
        <v>2017</v>
      </c>
      <c r="F216" s="8">
        <v>77</v>
      </c>
      <c r="G216" s="8" t="s">
        <v>1186</v>
      </c>
      <c r="H216" s="8">
        <v>204</v>
      </c>
      <c r="I216" s="8">
        <v>213</v>
      </c>
      <c r="J216" s="8" t="s">
        <v>1186</v>
      </c>
      <c r="K216" s="8" t="str">
        <f>HYPERLINK("http://dx.doi.org/10.1016/j.ijadhadh.2017.06.001","http://dx.doi.org/10.1016/j.ijadhadh.2017.06.001")</f>
        <v>http://dx.doi.org/10.1016/j.ijadhadh.2017.06.001</v>
      </c>
      <c r="L216" s="8" t="s">
        <v>1185</v>
      </c>
      <c r="M216" s="8"/>
    </row>
    <row r="217" spans="1:13" ht="15" x14ac:dyDescent="0.25">
      <c r="A217" s="7" t="s">
        <v>1639</v>
      </c>
      <c r="B217" s="8" t="s">
        <v>1638</v>
      </c>
      <c r="C217" s="8" t="s">
        <v>1637</v>
      </c>
      <c r="D217" s="8" t="s">
        <v>1191</v>
      </c>
      <c r="E217" s="8">
        <v>2023</v>
      </c>
      <c r="F217" s="8">
        <v>171</v>
      </c>
      <c r="G217" s="8" t="s">
        <v>1186</v>
      </c>
      <c r="H217" s="8" t="s">
        <v>1186</v>
      </c>
      <c r="I217" s="8" t="s">
        <v>1186</v>
      </c>
      <c r="J217" s="8">
        <v>105946</v>
      </c>
      <c r="K217" s="8" t="str">
        <f>HYPERLINK("http://dx.doi.org/10.1016/j.jaap.2023.105946","http://dx.doi.org/10.1016/j.jaap.2023.105946")</f>
        <v>http://dx.doi.org/10.1016/j.jaap.2023.105946</v>
      </c>
      <c r="L217" s="8" t="s">
        <v>1185</v>
      </c>
      <c r="M217" s="8"/>
    </row>
    <row r="218" spans="1:13" ht="15" x14ac:dyDescent="0.25">
      <c r="A218" s="7" t="s">
        <v>1636</v>
      </c>
      <c r="B218" s="8" t="s">
        <v>1635</v>
      </c>
      <c r="C218" s="8" t="s">
        <v>1634</v>
      </c>
      <c r="D218" s="8" t="s">
        <v>1633</v>
      </c>
      <c r="E218" s="8">
        <v>2019</v>
      </c>
      <c r="F218" s="8">
        <v>56</v>
      </c>
      <c r="G218" s="8" t="s">
        <v>1186</v>
      </c>
      <c r="H218" s="8">
        <v>66</v>
      </c>
      <c r="I218" s="8">
        <v>74</v>
      </c>
      <c r="J218" s="8" t="s">
        <v>1186</v>
      </c>
      <c r="K218" s="8" t="str">
        <f>HYPERLINK("http://dx.doi.org/10.1016/j.rcim.2018.08.004","http://dx.doi.org/10.1016/j.rcim.2018.08.004")</f>
        <v>http://dx.doi.org/10.1016/j.rcim.2018.08.004</v>
      </c>
      <c r="L218" s="8" t="s">
        <v>1185</v>
      </c>
      <c r="M218" s="8"/>
    </row>
    <row r="219" spans="1:13" ht="15" x14ac:dyDescent="0.25">
      <c r="A219" s="7" t="s">
        <v>1632</v>
      </c>
      <c r="B219" s="8" t="s">
        <v>1631</v>
      </c>
      <c r="C219" s="8" t="s">
        <v>1630</v>
      </c>
      <c r="D219" s="8" t="s">
        <v>1629</v>
      </c>
      <c r="E219" s="8">
        <v>2023</v>
      </c>
      <c r="F219" s="8">
        <v>21</v>
      </c>
      <c r="G219" s="8">
        <v>6</v>
      </c>
      <c r="H219" s="8">
        <v>3055</v>
      </c>
      <c r="I219" s="8">
        <v>3062</v>
      </c>
      <c r="J219" s="8" t="s">
        <v>1186</v>
      </c>
      <c r="K219" s="8" t="str">
        <f>HYPERLINK("http://dx.doi.org/10.1007/s10311-023-01626-x","http://dx.doi.org/10.1007/s10311-023-01626-x")</f>
        <v>http://dx.doi.org/10.1007/s10311-023-01626-x</v>
      </c>
      <c r="L219" s="8" t="s">
        <v>1185</v>
      </c>
      <c r="M219" s="8"/>
    </row>
    <row r="220" spans="1:13" ht="15" x14ac:dyDescent="0.25">
      <c r="A220" s="7" t="s">
        <v>1628</v>
      </c>
      <c r="B220" s="8" t="s">
        <v>1627</v>
      </c>
      <c r="C220" s="8" t="s">
        <v>1626</v>
      </c>
      <c r="D220" s="8" t="s">
        <v>1625</v>
      </c>
      <c r="E220" s="8">
        <v>2018</v>
      </c>
      <c r="F220" s="8">
        <v>18</v>
      </c>
      <c r="G220" s="8">
        <v>9</v>
      </c>
      <c r="H220" s="8" t="s">
        <v>1186</v>
      </c>
      <c r="I220" s="8" t="s">
        <v>1186</v>
      </c>
      <c r="J220" s="8">
        <v>3156</v>
      </c>
      <c r="K220" s="8" t="str">
        <f>HYPERLINK("http://dx.doi.org/10.3390/s18093156","http://dx.doi.org/10.3390/s18093156")</f>
        <v>http://dx.doi.org/10.3390/s18093156</v>
      </c>
      <c r="L220" s="8" t="s">
        <v>1185</v>
      </c>
      <c r="M220" s="8"/>
    </row>
    <row r="221" spans="1:13" ht="15" x14ac:dyDescent="0.25">
      <c r="A221" s="7" t="s">
        <v>1624</v>
      </c>
      <c r="B221" s="8" t="s">
        <v>1623</v>
      </c>
      <c r="C221" s="8" t="s">
        <v>1622</v>
      </c>
      <c r="D221" s="8" t="s">
        <v>1621</v>
      </c>
      <c r="E221" s="8">
        <v>2021</v>
      </c>
      <c r="F221" s="8">
        <v>40</v>
      </c>
      <c r="G221" s="8" t="s">
        <v>1186</v>
      </c>
      <c r="H221" s="8" t="s">
        <v>1186</v>
      </c>
      <c r="I221" s="8" t="s">
        <v>1186</v>
      </c>
      <c r="J221" s="8">
        <v>102754</v>
      </c>
      <c r="K221" s="8" t="str">
        <f>HYPERLINK("http://dx.doi.org/10.1016/j.est.2021.102754","http://dx.doi.org/10.1016/j.est.2021.102754")</f>
        <v>http://dx.doi.org/10.1016/j.est.2021.102754</v>
      </c>
      <c r="L221" s="8" t="s">
        <v>1185</v>
      </c>
      <c r="M221" s="8"/>
    </row>
    <row r="222" spans="1:13" ht="15" x14ac:dyDescent="0.25">
      <c r="A222" s="7" t="s">
        <v>1620</v>
      </c>
      <c r="B222" s="8" t="s">
        <v>1619</v>
      </c>
      <c r="C222" s="8" t="s">
        <v>1618</v>
      </c>
      <c r="D222" s="8" t="s">
        <v>1233</v>
      </c>
      <c r="E222" s="8">
        <v>2020</v>
      </c>
      <c r="F222" s="8">
        <v>266</v>
      </c>
      <c r="G222" s="8" t="s">
        <v>1186</v>
      </c>
      <c r="H222" s="8" t="s">
        <v>1186</v>
      </c>
      <c r="I222" s="8" t="s">
        <v>1186</v>
      </c>
      <c r="J222" s="8">
        <v>115281</v>
      </c>
      <c r="K222" s="8" t="str">
        <f>HYPERLINK("http://dx.doi.org/10.1016/j.envpol.2020.115281","http://dx.doi.org/10.1016/j.envpol.2020.115281")</f>
        <v>http://dx.doi.org/10.1016/j.envpol.2020.115281</v>
      </c>
      <c r="L222" s="8" t="s">
        <v>1185</v>
      </c>
      <c r="M222" s="8"/>
    </row>
    <row r="223" spans="1:13" ht="15" x14ac:dyDescent="0.25">
      <c r="A223" s="7" t="s">
        <v>1617</v>
      </c>
      <c r="B223" s="8" t="s">
        <v>1616</v>
      </c>
      <c r="C223" s="8" t="s">
        <v>1615</v>
      </c>
      <c r="D223" s="8" t="s">
        <v>1614</v>
      </c>
      <c r="E223" s="8">
        <v>2022</v>
      </c>
      <c r="F223" s="8">
        <v>135</v>
      </c>
      <c r="G223" s="8" t="s">
        <v>1186</v>
      </c>
      <c r="H223" s="8">
        <v>169</v>
      </c>
      <c r="I223" s="8">
        <v>181</v>
      </c>
      <c r="J223" s="8" t="s">
        <v>1186</v>
      </c>
      <c r="K223" s="8" t="str">
        <f>HYPERLINK("http://dx.doi.org/10.1016/j.envsci.2022.05.005","http://dx.doi.org/10.1016/j.envsci.2022.05.005")</f>
        <v>http://dx.doi.org/10.1016/j.envsci.2022.05.005</v>
      </c>
      <c r="L223" s="8" t="s">
        <v>1185</v>
      </c>
      <c r="M223" s="8"/>
    </row>
    <row r="224" spans="1:13" ht="15" x14ac:dyDescent="0.25">
      <c r="A224" s="7" t="s">
        <v>750</v>
      </c>
      <c r="B224" s="8" t="s">
        <v>1613</v>
      </c>
      <c r="C224" s="8" t="s">
        <v>1612</v>
      </c>
      <c r="D224" s="8" t="s">
        <v>1233</v>
      </c>
      <c r="E224" s="8">
        <v>2023</v>
      </c>
      <c r="F224" s="8">
        <v>327</v>
      </c>
      <c r="G224" s="8" t="s">
        <v>1186</v>
      </c>
      <c r="H224" s="8" t="s">
        <v>1186</v>
      </c>
      <c r="I224" s="8" t="s">
        <v>1186</v>
      </c>
      <c r="J224" s="8">
        <v>121481</v>
      </c>
      <c r="K224" s="8" t="str">
        <f>HYPERLINK("http://dx.doi.org/10.1016/j.envpol.2023.121481","http://dx.doi.org/10.1016/j.envpol.2023.121481")</f>
        <v>http://dx.doi.org/10.1016/j.envpol.2023.121481</v>
      </c>
      <c r="L224" s="8"/>
      <c r="M224" s="8" t="s">
        <v>1185</v>
      </c>
    </row>
    <row r="225" spans="1:13" ht="15" x14ac:dyDescent="0.25">
      <c r="A225" s="7" t="s">
        <v>1611</v>
      </c>
      <c r="B225" s="8" t="s">
        <v>1610</v>
      </c>
      <c r="C225" s="8" t="s">
        <v>1609</v>
      </c>
      <c r="D225" s="8" t="s">
        <v>1233</v>
      </c>
      <c r="E225" s="8">
        <v>2022</v>
      </c>
      <c r="F225" s="8">
        <v>306</v>
      </c>
      <c r="G225" s="8" t="s">
        <v>1186</v>
      </c>
      <c r="H225" s="9" t="s">
        <v>1186</v>
      </c>
      <c r="I225" s="9" t="s">
        <v>1186</v>
      </c>
      <c r="J225" s="8">
        <v>119415</v>
      </c>
      <c r="K225" s="8" t="str">
        <f>HYPERLINK("http://dx.doi.org/10.1016/j.envpol.2022.119415","http://dx.doi.org/10.1016/j.envpol.2022.119415")</f>
        <v>http://dx.doi.org/10.1016/j.envpol.2022.119415</v>
      </c>
      <c r="L225" s="8"/>
      <c r="M225" s="8" t="s">
        <v>1185</v>
      </c>
    </row>
    <row r="226" spans="1:13" ht="15" x14ac:dyDescent="0.25">
      <c r="A226" s="7" t="s">
        <v>1608</v>
      </c>
      <c r="B226" s="8" t="s">
        <v>1607</v>
      </c>
      <c r="C226" s="8" t="s">
        <v>1606</v>
      </c>
      <c r="D226" s="8" t="s">
        <v>1605</v>
      </c>
      <c r="E226" s="8">
        <v>2024</v>
      </c>
      <c r="F226" s="8">
        <v>36</v>
      </c>
      <c r="G226" s="8">
        <v>1</v>
      </c>
      <c r="H226" s="9" t="s">
        <v>1186</v>
      </c>
      <c r="I226" s="9" t="s">
        <v>1186</v>
      </c>
      <c r="J226" s="8">
        <v>2296046</v>
      </c>
      <c r="K226" s="8" t="str">
        <f>HYPERLINK("http://dx.doi.org/10.1080/26395940.2023.2296046","http://dx.doi.org/10.1080/26395940.2023.2296046")</f>
        <v>http://dx.doi.org/10.1080/26395940.2023.2296046</v>
      </c>
      <c r="L226" s="8"/>
      <c r="M226" s="8" t="s">
        <v>1185</v>
      </c>
    </row>
    <row r="227" spans="1:13" ht="15" x14ac:dyDescent="0.25">
      <c r="A227" s="7" t="s">
        <v>1604</v>
      </c>
      <c r="B227" s="8" t="s">
        <v>1603</v>
      </c>
      <c r="C227" s="8" t="s">
        <v>1602</v>
      </c>
      <c r="D227" s="8" t="s">
        <v>1601</v>
      </c>
      <c r="E227" s="8">
        <v>2024</v>
      </c>
      <c r="F227" s="8">
        <v>196</v>
      </c>
      <c r="G227" s="8">
        <v>2</v>
      </c>
      <c r="H227" s="9" t="s">
        <v>1186</v>
      </c>
      <c r="I227" s="9" t="s">
        <v>1186</v>
      </c>
      <c r="J227" s="8">
        <v>159</v>
      </c>
      <c r="K227" s="8" t="str">
        <f>HYPERLINK("http://dx.doi.org/10.1007/s10661-024-12345-3","http://dx.doi.org/10.1007/s10661-024-12345-3")</f>
        <v>http://dx.doi.org/10.1007/s10661-024-12345-3</v>
      </c>
      <c r="L227" s="8" t="s">
        <v>1185</v>
      </c>
      <c r="M227" s="8"/>
    </row>
    <row r="228" spans="1:13" ht="15" x14ac:dyDescent="0.25">
      <c r="A228" s="7" t="s">
        <v>1600</v>
      </c>
      <c r="B228" s="8" t="s">
        <v>1599</v>
      </c>
      <c r="C228" s="8" t="s">
        <v>1598</v>
      </c>
      <c r="D228" s="8" t="s">
        <v>1195</v>
      </c>
      <c r="E228" s="8">
        <v>2022</v>
      </c>
      <c r="F228" s="8">
        <v>429</v>
      </c>
      <c r="G228" s="8" t="s">
        <v>1186</v>
      </c>
      <c r="H228" s="9" t="s">
        <v>1186</v>
      </c>
      <c r="I228" s="9" t="s">
        <v>1186</v>
      </c>
      <c r="J228" s="8">
        <v>128391</v>
      </c>
      <c r="K228" s="8" t="str">
        <f>HYPERLINK("http://dx.doi.org/10.1016/j.jhazmat.2022.128391","http://dx.doi.org/10.1016/j.jhazmat.2022.128391")</f>
        <v>http://dx.doi.org/10.1016/j.jhazmat.2022.128391</v>
      </c>
      <c r="L228" s="8"/>
      <c r="M228" s="8" t="s">
        <v>1185</v>
      </c>
    </row>
    <row r="229" spans="1:13" ht="15" x14ac:dyDescent="0.25">
      <c r="A229" s="7" t="s">
        <v>1597</v>
      </c>
      <c r="B229" s="8" t="s">
        <v>1596</v>
      </c>
      <c r="C229" s="8" t="s">
        <v>1595</v>
      </c>
      <c r="D229" s="8" t="s">
        <v>1594</v>
      </c>
      <c r="E229" s="8">
        <v>2023</v>
      </c>
      <c r="F229" s="8">
        <v>10</v>
      </c>
      <c r="G229" s="8">
        <v>6</v>
      </c>
      <c r="H229" s="9">
        <v>464</v>
      </c>
      <c r="I229" s="9">
        <v>470</v>
      </c>
      <c r="J229" s="8" t="s">
        <v>1186</v>
      </c>
      <c r="K229" s="8" t="str">
        <f>HYPERLINK("http://dx.doi.org/10.1021/acs.estlett.3c00147","http://dx.doi.org/10.1021/acs.estlett.3c00147")</f>
        <v>http://dx.doi.org/10.1021/acs.estlett.3c00147</v>
      </c>
      <c r="L229" s="8"/>
      <c r="M229" s="8" t="s">
        <v>1185</v>
      </c>
    </row>
    <row r="230" spans="1:13" ht="15" x14ac:dyDescent="0.25">
      <c r="A230" s="7" t="s">
        <v>1593</v>
      </c>
      <c r="B230" s="8" t="s">
        <v>1592</v>
      </c>
      <c r="C230" s="8" t="s">
        <v>1591</v>
      </c>
      <c r="D230" s="8" t="s">
        <v>1590</v>
      </c>
      <c r="E230" s="8">
        <v>2022</v>
      </c>
      <c r="F230" s="8">
        <v>49</v>
      </c>
      <c r="G230" s="8" t="s">
        <v>1186</v>
      </c>
      <c r="H230" s="9" t="s">
        <v>1186</v>
      </c>
      <c r="I230" s="9" t="s">
        <v>1186</v>
      </c>
      <c r="J230" s="8">
        <v>103084</v>
      </c>
      <c r="K230" s="8" t="str">
        <f>HYPERLINK("http://dx.doi.org/10.1016/j.jwpe.2022.103084","http://dx.doi.org/10.1016/j.jwpe.2022.103084")</f>
        <v>http://dx.doi.org/10.1016/j.jwpe.2022.103084</v>
      </c>
      <c r="L230" s="8" t="s">
        <v>1185</v>
      </c>
      <c r="M230" s="8"/>
    </row>
    <row r="231" spans="1:13" ht="15" x14ac:dyDescent="0.25">
      <c r="A231" s="7" t="s">
        <v>1589</v>
      </c>
      <c r="B231" s="8" t="s">
        <v>1588</v>
      </c>
      <c r="C231" s="8" t="s">
        <v>1587</v>
      </c>
      <c r="D231" s="8" t="s">
        <v>1416</v>
      </c>
      <c r="E231" s="8">
        <v>2023</v>
      </c>
      <c r="F231" s="8">
        <v>14</v>
      </c>
      <c r="G231" s="8">
        <v>2</v>
      </c>
      <c r="H231" s="8" t="s">
        <v>1186</v>
      </c>
      <c r="I231" s="8" t="s">
        <v>1186</v>
      </c>
      <c r="J231" s="8">
        <v>101651</v>
      </c>
      <c r="K231" s="8" t="str">
        <f>HYPERLINK("http://dx.doi.org/10.1016/j.apr.2023.101651","http://dx.doi.org/10.1016/j.apr.2023.101651")</f>
        <v>http://dx.doi.org/10.1016/j.apr.2023.101651</v>
      </c>
      <c r="L231" s="8"/>
      <c r="M231" s="8" t="s">
        <v>1185</v>
      </c>
    </row>
    <row r="232" spans="1:13" ht="15" x14ac:dyDescent="0.25">
      <c r="A232" s="7" t="s">
        <v>1586</v>
      </c>
      <c r="B232" s="8" t="s">
        <v>1585</v>
      </c>
      <c r="C232" s="8" t="s">
        <v>1584</v>
      </c>
      <c r="D232" s="8" t="s">
        <v>1436</v>
      </c>
      <c r="E232" s="8">
        <v>2023</v>
      </c>
      <c r="F232" s="8">
        <v>312</v>
      </c>
      <c r="G232" s="8" t="s">
        <v>1186</v>
      </c>
      <c r="H232" s="9" t="s">
        <v>1186</v>
      </c>
      <c r="I232" s="9" t="s">
        <v>1186</v>
      </c>
      <c r="J232" s="8">
        <v>120044</v>
      </c>
      <c r="K232" s="8" t="str">
        <f>HYPERLINK("http://dx.doi.org/10.1016/j.atmosenv.2023.120044","http://dx.doi.org/10.1016/j.atmosenv.2023.120044")</f>
        <v>http://dx.doi.org/10.1016/j.atmosenv.2023.120044</v>
      </c>
      <c r="L232" s="8" t="s">
        <v>1185</v>
      </c>
      <c r="M232" s="8"/>
    </row>
    <row r="233" spans="1:13" ht="15" x14ac:dyDescent="0.25">
      <c r="A233" s="7" t="s">
        <v>1583</v>
      </c>
      <c r="B233" s="8" t="s">
        <v>1582</v>
      </c>
      <c r="C233" s="8" t="s">
        <v>1581</v>
      </c>
      <c r="D233" s="8" t="s">
        <v>1233</v>
      </c>
      <c r="E233" s="8">
        <v>2022</v>
      </c>
      <c r="F233" s="8">
        <v>292</v>
      </c>
      <c r="G233" s="8" t="s">
        <v>1186</v>
      </c>
      <c r="H233" s="9" t="s">
        <v>1186</v>
      </c>
      <c r="I233" s="9" t="s">
        <v>1186</v>
      </c>
      <c r="J233" s="8">
        <v>118465</v>
      </c>
      <c r="K233" s="8" t="str">
        <f>HYPERLINK("http://dx.doi.org/10.1016/j.envpol.2021.118465","http://dx.doi.org/10.1016/j.envpol.2021.118465")</f>
        <v>http://dx.doi.org/10.1016/j.envpol.2021.118465</v>
      </c>
      <c r="L233" s="8"/>
      <c r="M233" s="8" t="s">
        <v>1185</v>
      </c>
    </row>
    <row r="234" spans="1:13" ht="15" x14ac:dyDescent="0.25">
      <c r="A234" s="7" t="s">
        <v>381</v>
      </c>
      <c r="B234" s="8" t="s">
        <v>1580</v>
      </c>
      <c r="C234" s="8" t="s">
        <v>1579</v>
      </c>
      <c r="D234" s="8" t="s">
        <v>1219</v>
      </c>
      <c r="E234" s="8">
        <v>2022</v>
      </c>
      <c r="F234" s="8">
        <v>7</v>
      </c>
      <c r="G234" s="8" t="s">
        <v>1186</v>
      </c>
      <c r="H234" s="9" t="s">
        <v>1186</v>
      </c>
      <c r="I234" s="9" t="s">
        <v>1186</v>
      </c>
      <c r="J234" s="8">
        <v>100104</v>
      </c>
      <c r="K234" s="8" t="str">
        <f>HYPERLINK("http://dx.doi.org/10.1016/j.hazadv.2022.100104","http://dx.doi.org/10.1016/j.hazadv.2022.100104")</f>
        <v>http://dx.doi.org/10.1016/j.hazadv.2022.100104</v>
      </c>
      <c r="L234" s="8"/>
      <c r="M234" s="8" t="s">
        <v>1185</v>
      </c>
    </row>
    <row r="235" spans="1:13" ht="15" x14ac:dyDescent="0.25">
      <c r="A235" s="7" t="s">
        <v>1578</v>
      </c>
      <c r="B235" s="8" t="s">
        <v>1577</v>
      </c>
      <c r="C235" s="8" t="s">
        <v>1576</v>
      </c>
      <c r="D235" s="8" t="s">
        <v>1575</v>
      </c>
      <c r="E235" s="8">
        <v>2019</v>
      </c>
      <c r="F235" s="8">
        <v>7</v>
      </c>
      <c r="G235" s="8">
        <v>3</v>
      </c>
      <c r="H235" s="9" t="s">
        <v>1186</v>
      </c>
      <c r="I235" s="9" t="s">
        <v>1186</v>
      </c>
      <c r="J235" s="8">
        <v>1800586</v>
      </c>
      <c r="K235" s="8" t="str">
        <f>HYPERLINK("http://dx.doi.org/10.1002/ente.201800586","http://dx.doi.org/10.1002/ente.201800586")</f>
        <v>http://dx.doi.org/10.1002/ente.201800586</v>
      </c>
      <c r="L235" s="8" t="s">
        <v>1185</v>
      </c>
      <c r="M235" s="8"/>
    </row>
    <row r="236" spans="1:13" ht="15" x14ac:dyDescent="0.25">
      <c r="A236" s="7" t="s">
        <v>766</v>
      </c>
      <c r="B236" s="8" t="s">
        <v>1574</v>
      </c>
      <c r="C236" s="8" t="s">
        <v>1573</v>
      </c>
      <c r="D236" s="8" t="s">
        <v>1572</v>
      </c>
      <c r="E236" s="8">
        <v>2022</v>
      </c>
      <c r="F236" s="8">
        <v>233</v>
      </c>
      <c r="G236" s="8" t="s">
        <v>1186</v>
      </c>
      <c r="H236" s="9" t="s">
        <v>1186</v>
      </c>
      <c r="I236" s="9" t="s">
        <v>1186</v>
      </c>
      <c r="J236" s="8">
        <v>113353</v>
      </c>
      <c r="K236" s="8" t="str">
        <f>HYPERLINK("http://dx.doi.org/10.1016/j.ecoenv.2022.113353","http://dx.doi.org/10.1016/j.ecoenv.2022.113353")</f>
        <v>http://dx.doi.org/10.1016/j.ecoenv.2022.113353</v>
      </c>
      <c r="L236" s="8"/>
      <c r="M236" s="8" t="s">
        <v>1185</v>
      </c>
    </row>
    <row r="237" spans="1:13" ht="15" x14ac:dyDescent="0.25">
      <c r="A237" s="7" t="s">
        <v>80</v>
      </c>
      <c r="B237" s="8" t="s">
        <v>1571</v>
      </c>
      <c r="C237" s="8" t="s">
        <v>1570</v>
      </c>
      <c r="D237" s="8" t="s">
        <v>1251</v>
      </c>
      <c r="E237" s="8">
        <v>2022</v>
      </c>
      <c r="F237" s="8">
        <v>56</v>
      </c>
      <c r="G237" s="8">
        <v>24</v>
      </c>
      <c r="H237" s="9">
        <v>17556</v>
      </c>
      <c r="I237" s="9">
        <v>17568</v>
      </c>
      <c r="J237" s="8" t="s">
        <v>1186</v>
      </c>
      <c r="K237" s="8" t="str">
        <f>HYPERLINK("http://dx.doi.org/10.1021/acs.est.2c05850","http://dx.doi.org/10.1021/acs.est.2c05850")</f>
        <v>http://dx.doi.org/10.1021/acs.est.2c05850</v>
      </c>
      <c r="L237" s="8"/>
      <c r="M237" s="8" t="s">
        <v>1185</v>
      </c>
    </row>
    <row r="238" spans="1:13" ht="15" x14ac:dyDescent="0.25">
      <c r="A238" s="7" t="s">
        <v>1569</v>
      </c>
      <c r="B238" s="8" t="s">
        <v>1568</v>
      </c>
      <c r="C238" s="8" t="s">
        <v>1567</v>
      </c>
      <c r="D238" s="8" t="s">
        <v>1566</v>
      </c>
      <c r="E238" s="8">
        <v>2020</v>
      </c>
      <c r="F238" s="8" t="s">
        <v>1186</v>
      </c>
      <c r="G238" s="8">
        <v>3</v>
      </c>
      <c r="H238" s="9">
        <v>36</v>
      </c>
      <c r="I238" s="9">
        <v>43</v>
      </c>
      <c r="J238" s="8" t="s">
        <v>1186</v>
      </c>
      <c r="K238" s="8" t="str">
        <f>HYPERLINK("http://dx.doi.org/10.32014/2020.2518-1491.41","http://dx.doi.org/10.32014/2020.2518-1491.41")</f>
        <v>http://dx.doi.org/10.32014/2020.2518-1491.41</v>
      </c>
      <c r="L238" s="8" t="s">
        <v>1185</v>
      </c>
      <c r="M238" s="8"/>
    </row>
    <row r="239" spans="1:13" ht="15" x14ac:dyDescent="0.25">
      <c r="A239" s="7" t="s">
        <v>1565</v>
      </c>
      <c r="B239" s="8" t="s">
        <v>1564</v>
      </c>
      <c r="C239" s="8" t="s">
        <v>1563</v>
      </c>
      <c r="D239" s="8" t="s">
        <v>1562</v>
      </c>
      <c r="E239" s="8">
        <v>2015</v>
      </c>
      <c r="F239" s="8">
        <v>140</v>
      </c>
      <c r="G239" s="8">
        <v>3</v>
      </c>
      <c r="H239" s="9">
        <v>696</v>
      </c>
      <c r="I239" s="9">
        <v>700</v>
      </c>
      <c r="J239" s="8" t="s">
        <v>1186</v>
      </c>
      <c r="K239" s="8" t="str">
        <f>HYPERLINK("http://dx.doi.org/10.1039/c4an01929f","http://dx.doi.org/10.1039/c4an01929f")</f>
        <v>http://dx.doi.org/10.1039/c4an01929f</v>
      </c>
      <c r="L239" s="8" t="s">
        <v>1185</v>
      </c>
      <c r="M239" s="8"/>
    </row>
    <row r="240" spans="1:13" ht="15" x14ac:dyDescent="0.25">
      <c r="A240" s="7" t="s">
        <v>1561</v>
      </c>
      <c r="B240" s="8" t="s">
        <v>1560</v>
      </c>
      <c r="C240" s="8" t="s">
        <v>1559</v>
      </c>
      <c r="D240" s="8" t="s">
        <v>1487</v>
      </c>
      <c r="E240" s="8">
        <v>2017</v>
      </c>
      <c r="F240" s="8">
        <v>96</v>
      </c>
      <c r="G240" s="8">
        <v>9</v>
      </c>
      <c r="H240" s="9">
        <v>3155</v>
      </c>
      <c r="I240" s="9">
        <v>3162</v>
      </c>
      <c r="J240" s="8" t="s">
        <v>1186</v>
      </c>
      <c r="K240" s="8" t="str">
        <f>HYPERLINK("http://dx.doi.org/10.3382/ps/pex131","http://dx.doi.org/10.3382/ps/pex131")</f>
        <v>http://dx.doi.org/10.3382/ps/pex131</v>
      </c>
      <c r="L240" s="8" t="s">
        <v>1185</v>
      </c>
      <c r="M240" s="8"/>
    </row>
    <row r="241" spans="1:13" ht="15" x14ac:dyDescent="0.25">
      <c r="A241" s="7" t="s">
        <v>140</v>
      </c>
      <c r="B241" s="8" t="s">
        <v>1558</v>
      </c>
      <c r="C241" s="8" t="s">
        <v>1557</v>
      </c>
      <c r="D241" s="8" t="s">
        <v>1195</v>
      </c>
      <c r="E241" s="8">
        <v>2020</v>
      </c>
      <c r="F241" s="8">
        <v>389</v>
      </c>
      <c r="G241" s="8" t="s">
        <v>1186</v>
      </c>
      <c r="H241" s="8" t="s">
        <v>1186</v>
      </c>
      <c r="I241" s="8" t="s">
        <v>1186</v>
      </c>
      <c r="J241" s="8">
        <v>121846</v>
      </c>
      <c r="K241" s="8" t="str">
        <f>HYPERLINK("http://dx.doi.org/10.1016/j.jhazmat.2019.121846","http://dx.doi.org/10.1016/j.jhazmat.2019.121846")</f>
        <v>http://dx.doi.org/10.1016/j.jhazmat.2019.121846</v>
      </c>
      <c r="L241" s="8"/>
      <c r="M241" s="8" t="s">
        <v>1185</v>
      </c>
    </row>
    <row r="242" spans="1:13" ht="15" x14ac:dyDescent="0.25">
      <c r="A242" s="7" t="s">
        <v>769</v>
      </c>
      <c r="B242" s="8" t="s">
        <v>1556</v>
      </c>
      <c r="C242" s="8" t="s">
        <v>1555</v>
      </c>
      <c r="D242" s="8" t="s">
        <v>1247</v>
      </c>
      <c r="E242" s="8">
        <v>2023</v>
      </c>
      <c r="F242" s="8">
        <v>14</v>
      </c>
      <c r="G242" s="8">
        <v>1</v>
      </c>
      <c r="H242" s="9" t="s">
        <v>1186</v>
      </c>
      <c r="I242" s="9" t="s">
        <v>1186</v>
      </c>
      <c r="J242" s="8">
        <v>28</v>
      </c>
      <c r="K242" s="8" t="str">
        <f>HYPERLINK("http://dx.doi.org/10.3390/atmos14010028","http://dx.doi.org/10.3390/atmos14010028")</f>
        <v>http://dx.doi.org/10.3390/atmos14010028</v>
      </c>
      <c r="L242" s="8"/>
      <c r="M242" s="8" t="s">
        <v>1185</v>
      </c>
    </row>
    <row r="243" spans="1:13" ht="15" x14ac:dyDescent="0.25">
      <c r="A243" s="7" t="s">
        <v>1554</v>
      </c>
      <c r="B243" s="8" t="s">
        <v>1553</v>
      </c>
      <c r="C243" s="8" t="s">
        <v>1552</v>
      </c>
      <c r="D243" s="8" t="s">
        <v>1370</v>
      </c>
      <c r="E243" s="8">
        <v>2021</v>
      </c>
      <c r="F243" s="8">
        <v>268</v>
      </c>
      <c r="G243" s="8" t="s">
        <v>1186</v>
      </c>
      <c r="H243" s="9" t="s">
        <v>1186</v>
      </c>
      <c r="I243" s="9" t="s">
        <v>1186</v>
      </c>
      <c r="J243" s="8">
        <v>128821</v>
      </c>
      <c r="K243" s="8" t="str">
        <f>HYPERLINK("http://dx.doi.org/10.1016/j.chemosphere.2020.128821","http://dx.doi.org/10.1016/j.chemosphere.2020.128821")</f>
        <v>http://dx.doi.org/10.1016/j.chemosphere.2020.128821</v>
      </c>
      <c r="L243" s="8"/>
      <c r="M243" s="8" t="s">
        <v>1185</v>
      </c>
    </row>
    <row r="244" spans="1:13" ht="15" x14ac:dyDescent="0.25">
      <c r="A244" s="7" t="s">
        <v>1551</v>
      </c>
      <c r="B244" s="8" t="s">
        <v>1550</v>
      </c>
      <c r="C244" s="8" t="s">
        <v>1549</v>
      </c>
      <c r="D244" s="8" t="s">
        <v>1354</v>
      </c>
      <c r="E244" s="8">
        <v>2022</v>
      </c>
      <c r="F244" s="8">
        <v>158</v>
      </c>
      <c r="G244" s="8" t="s">
        <v>1186</v>
      </c>
      <c r="H244" s="9" t="s">
        <v>1186</v>
      </c>
      <c r="I244" s="9" t="s">
        <v>1186</v>
      </c>
      <c r="J244" s="8" t="s">
        <v>1186</v>
      </c>
      <c r="K244" s="8" t="str">
        <f>HYPERLINK("http://dx.doi.org/10.1016/j.psep.2021.11.049","http://dx.doi.org/10.1016/j.psep.2021.11.049")</f>
        <v>http://dx.doi.org/10.1016/j.psep.2021.11.049</v>
      </c>
      <c r="L244" s="8" t="s">
        <v>1185</v>
      </c>
      <c r="M244" s="8"/>
    </row>
    <row r="245" spans="1:13" ht="15" x14ac:dyDescent="0.25">
      <c r="A245" s="7" t="s">
        <v>1548</v>
      </c>
      <c r="B245" s="8" t="s">
        <v>1547</v>
      </c>
      <c r="C245" s="8" t="s">
        <v>1546</v>
      </c>
      <c r="D245" s="8" t="s">
        <v>1545</v>
      </c>
      <c r="E245" s="8">
        <v>2017</v>
      </c>
      <c r="F245" s="8">
        <v>31</v>
      </c>
      <c r="G245" s="8">
        <v>6</v>
      </c>
      <c r="H245" s="9">
        <v>3043</v>
      </c>
      <c r="I245" s="9">
        <v>3051</v>
      </c>
      <c r="J245" s="8" t="s">
        <v>1186</v>
      </c>
      <c r="K245" s="8" t="str">
        <f>HYPERLINK("http://dx.doi.org/10.1007/s12206-017-0548-8","http://dx.doi.org/10.1007/s12206-017-0548-8")</f>
        <v>http://dx.doi.org/10.1007/s12206-017-0548-8</v>
      </c>
      <c r="L245" s="8" t="s">
        <v>1185</v>
      </c>
      <c r="M245" s="8"/>
    </row>
    <row r="246" spans="1:13" ht="15" x14ac:dyDescent="0.25">
      <c r="A246" s="7" t="s">
        <v>1544</v>
      </c>
      <c r="B246" s="8" t="s">
        <v>1543</v>
      </c>
      <c r="C246" s="8" t="s">
        <v>1542</v>
      </c>
      <c r="D246" s="8" t="s">
        <v>1195</v>
      </c>
      <c r="E246" s="8">
        <v>2019</v>
      </c>
      <c r="F246" s="8">
        <v>373</v>
      </c>
      <c r="G246" s="8" t="s">
        <v>1186</v>
      </c>
      <c r="H246" s="9">
        <v>649</v>
      </c>
      <c r="I246" s="9">
        <v>659</v>
      </c>
      <c r="J246" s="8" t="s">
        <v>1186</v>
      </c>
      <c r="K246" s="8" t="str">
        <f>HYPERLINK("http://dx.doi.org/10.1016/j.jhazmat.2019.04.014","http://dx.doi.org/10.1016/j.jhazmat.2019.04.014")</f>
        <v>http://dx.doi.org/10.1016/j.jhazmat.2019.04.014</v>
      </c>
      <c r="L246" s="8" t="s">
        <v>1185</v>
      </c>
      <c r="M246" s="8" t="s">
        <v>1185</v>
      </c>
    </row>
    <row r="247" spans="1:13" ht="15" x14ac:dyDescent="0.25">
      <c r="A247" s="7" t="s">
        <v>1541</v>
      </c>
      <c r="B247" s="8" t="s">
        <v>1540</v>
      </c>
      <c r="C247" s="8" t="s">
        <v>1539</v>
      </c>
      <c r="D247" s="8" t="s">
        <v>1370</v>
      </c>
      <c r="E247" s="8">
        <v>2022</v>
      </c>
      <c r="F247" s="8">
        <v>286</v>
      </c>
      <c r="G247" s="8" t="s">
        <v>1186</v>
      </c>
      <c r="H247" s="9" t="s">
        <v>1186</v>
      </c>
      <c r="I247" s="9" t="s">
        <v>1186</v>
      </c>
      <c r="J247" s="8">
        <v>131867</v>
      </c>
      <c r="K247" s="8" t="str">
        <f>HYPERLINK("http://dx.doi.org/10.1016/j.chemosphere.2021.131867","http://dx.doi.org/10.1016/j.chemosphere.2021.131867")</f>
        <v>http://dx.doi.org/10.1016/j.chemosphere.2021.131867</v>
      </c>
      <c r="L247" s="8" t="s">
        <v>1185</v>
      </c>
      <c r="M247" s="8"/>
    </row>
    <row r="248" spans="1:13" ht="15" x14ac:dyDescent="0.25">
      <c r="A248" s="7" t="s">
        <v>1538</v>
      </c>
      <c r="B248" s="8" t="s">
        <v>1537</v>
      </c>
      <c r="C248" s="8" t="s">
        <v>1536</v>
      </c>
      <c r="D248" s="8" t="s">
        <v>1535</v>
      </c>
      <c r="E248" s="8">
        <v>2019</v>
      </c>
      <c r="F248" s="8">
        <v>242</v>
      </c>
      <c r="G248" s="8" t="s">
        <v>1186</v>
      </c>
      <c r="H248" s="9">
        <v>55</v>
      </c>
      <c r="I248" s="9">
        <v>67</v>
      </c>
      <c r="J248" s="8" t="s">
        <v>1186</v>
      </c>
      <c r="K248" s="8" t="str">
        <f>HYPERLINK("http://dx.doi.org/10.1016/j.jfoodeng.2018.08.020","http://dx.doi.org/10.1016/j.jfoodeng.2018.08.020")</f>
        <v>http://dx.doi.org/10.1016/j.jfoodeng.2018.08.020</v>
      </c>
      <c r="L248" s="8" t="s">
        <v>1185</v>
      </c>
      <c r="M248" s="8"/>
    </row>
    <row r="249" spans="1:13" ht="15" x14ac:dyDescent="0.25">
      <c r="A249" s="7" t="s">
        <v>782</v>
      </c>
      <c r="B249" s="8" t="s">
        <v>1534</v>
      </c>
      <c r="C249" s="8" t="s">
        <v>1533</v>
      </c>
      <c r="D249" s="8" t="s">
        <v>1214</v>
      </c>
      <c r="E249" s="8">
        <v>2023</v>
      </c>
      <c r="F249" s="8">
        <v>895</v>
      </c>
      <c r="G249" s="8" t="s">
        <v>1186</v>
      </c>
      <c r="H249" s="9" t="s">
        <v>1186</v>
      </c>
      <c r="I249" s="9" t="s">
        <v>1186</v>
      </c>
      <c r="J249" s="8">
        <v>165190</v>
      </c>
      <c r="K249" s="8" t="str">
        <f>HYPERLINK("http://dx.doi.org/10.1016/j.scitotenv.2023.165190","http://dx.doi.org/10.1016/j.scitotenv.2023.165190")</f>
        <v>http://dx.doi.org/10.1016/j.scitotenv.2023.165190</v>
      </c>
      <c r="L249" s="8"/>
      <c r="M249" s="8" t="s">
        <v>1185</v>
      </c>
    </row>
    <row r="250" spans="1:13" ht="15" x14ac:dyDescent="0.25">
      <c r="A250" s="7" t="s">
        <v>1532</v>
      </c>
      <c r="B250" s="8" t="s">
        <v>1531</v>
      </c>
      <c r="C250" s="8" t="s">
        <v>1530</v>
      </c>
      <c r="D250" s="8" t="s">
        <v>1386</v>
      </c>
      <c r="E250" s="8">
        <v>2023</v>
      </c>
      <c r="F250" s="8">
        <v>30</v>
      </c>
      <c r="G250" s="8">
        <v>32</v>
      </c>
      <c r="H250" s="9">
        <v>78839</v>
      </c>
      <c r="I250" s="9">
        <v>78848</v>
      </c>
      <c r="J250" s="8" t="s">
        <v>1186</v>
      </c>
      <c r="K250" s="8" t="str">
        <f>HYPERLINK("http://dx.doi.org/10.1007/s11356-023-27750-3","http://dx.doi.org/10.1007/s11356-023-27750-3")</f>
        <v>http://dx.doi.org/10.1007/s11356-023-27750-3</v>
      </c>
      <c r="L250" s="8"/>
      <c r="M250" s="8" t="s">
        <v>1185</v>
      </c>
    </row>
    <row r="251" spans="1:13" ht="15" x14ac:dyDescent="0.25">
      <c r="A251" s="7" t="s">
        <v>1529</v>
      </c>
      <c r="B251" s="8" t="s">
        <v>1528</v>
      </c>
      <c r="C251" s="8" t="s">
        <v>1527</v>
      </c>
      <c r="D251" s="8" t="s">
        <v>1526</v>
      </c>
      <c r="E251" s="8">
        <v>2022</v>
      </c>
      <c r="F251" s="8">
        <v>8</v>
      </c>
      <c r="G251" s="8">
        <v>4</v>
      </c>
      <c r="H251" s="9">
        <v>1116</v>
      </c>
      <c r="I251" s="9">
        <v>1126</v>
      </c>
      <c r="J251" s="8" t="s">
        <v>1186</v>
      </c>
      <c r="K251" s="8" t="str">
        <f>HYPERLINK("http://dx.doi.org/10.1139/AS-2021-0054","http://dx.doi.org/10.1139/AS-2021-0054")</f>
        <v>http://dx.doi.org/10.1139/AS-2021-0054</v>
      </c>
      <c r="L251" s="8" t="s">
        <v>1184</v>
      </c>
      <c r="M251" s="8" t="s">
        <v>1184</v>
      </c>
    </row>
    <row r="252" spans="1:13" ht="15" x14ac:dyDescent="0.25">
      <c r="A252" s="7" t="s">
        <v>1525</v>
      </c>
      <c r="B252" s="8" t="s">
        <v>1524</v>
      </c>
      <c r="C252" s="8" t="s">
        <v>1523</v>
      </c>
      <c r="D252" s="8" t="s">
        <v>1195</v>
      </c>
      <c r="E252" s="8">
        <v>2024</v>
      </c>
      <c r="F252" s="8">
        <v>462</v>
      </c>
      <c r="G252" s="8" t="s">
        <v>1186</v>
      </c>
      <c r="H252" s="9" t="s">
        <v>1186</v>
      </c>
      <c r="I252" s="9" t="s">
        <v>1186</v>
      </c>
      <c r="J252" s="8">
        <v>132789</v>
      </c>
      <c r="K252" s="8" t="str">
        <f>HYPERLINK("http://dx.doi.org/10.1016/j.jhazmat.2023.132789","http://dx.doi.org/10.1016/j.jhazmat.2023.132789")</f>
        <v>http://dx.doi.org/10.1016/j.jhazmat.2023.132789</v>
      </c>
      <c r="L252" s="8"/>
      <c r="M252" s="8" t="s">
        <v>1185</v>
      </c>
    </row>
    <row r="253" spans="1:13" ht="15" x14ac:dyDescent="0.25">
      <c r="A253" s="7" t="s">
        <v>1522</v>
      </c>
      <c r="B253" s="8" t="s">
        <v>1521</v>
      </c>
      <c r="C253" s="8" t="s">
        <v>1520</v>
      </c>
      <c r="D253" s="8" t="s">
        <v>1214</v>
      </c>
      <c r="E253" s="8">
        <v>2021</v>
      </c>
      <c r="F253" s="8">
        <v>787</v>
      </c>
      <c r="G253" s="8" t="s">
        <v>1186</v>
      </c>
      <c r="H253" s="9" t="s">
        <v>1186</v>
      </c>
      <c r="I253" s="9" t="s">
        <v>1186</v>
      </c>
      <c r="J253" s="8">
        <v>147656</v>
      </c>
      <c r="K253" s="8" t="str">
        <f>HYPERLINK("http://dx.doi.org/10.1016/j.scitotenv.2021.147656","http://dx.doi.org/10.1016/j.scitotenv.2021.147656")</f>
        <v>http://dx.doi.org/10.1016/j.scitotenv.2021.147656</v>
      </c>
      <c r="L253" s="8"/>
      <c r="M253" s="8" t="s">
        <v>1185</v>
      </c>
    </row>
    <row r="254" spans="1:13" ht="15" x14ac:dyDescent="0.25">
      <c r="A254" s="7" t="s">
        <v>1519</v>
      </c>
      <c r="B254" s="8" t="s">
        <v>1518</v>
      </c>
      <c r="C254" s="8" t="s">
        <v>1517</v>
      </c>
      <c r="D254" s="8" t="s">
        <v>1454</v>
      </c>
      <c r="E254" s="8">
        <v>2024</v>
      </c>
      <c r="F254" s="8">
        <v>183</v>
      </c>
      <c r="G254" s="8" t="s">
        <v>1186</v>
      </c>
      <c r="H254" s="9" t="s">
        <v>1186</v>
      </c>
      <c r="I254" s="9" t="s">
        <v>1186</v>
      </c>
      <c r="J254" s="8">
        <v>108350</v>
      </c>
      <c r="K254" s="8" t="str">
        <f>HYPERLINK("http://dx.doi.org/10.1016/j.envint.2023.108350","http://dx.doi.org/10.1016/j.envint.2023.108350")</f>
        <v>http://dx.doi.org/10.1016/j.envint.2023.108350</v>
      </c>
      <c r="L254" s="8" t="s">
        <v>1185</v>
      </c>
      <c r="M254" s="8"/>
    </row>
    <row r="255" spans="1:13" ht="15" x14ac:dyDescent="0.25">
      <c r="A255" s="7" t="s">
        <v>95</v>
      </c>
      <c r="B255" s="8" t="s">
        <v>1516</v>
      </c>
      <c r="C255" s="8" t="s">
        <v>1515</v>
      </c>
      <c r="D255" s="8" t="s">
        <v>1514</v>
      </c>
      <c r="E255" s="8">
        <v>2023</v>
      </c>
      <c r="F255" s="8">
        <v>196</v>
      </c>
      <c r="G255" s="8" t="s">
        <v>1186</v>
      </c>
      <c r="H255" s="9" t="s">
        <v>1186</v>
      </c>
      <c r="I255" s="9" t="s">
        <v>1186</v>
      </c>
      <c r="J255" s="8">
        <v>115568</v>
      </c>
      <c r="K255" s="8" t="str">
        <f>HYPERLINK("http://dx.doi.org/10.1016/j.marpolbul.2023.115568","http://dx.doi.org/10.1016/j.marpolbul.2023.115568")</f>
        <v>http://dx.doi.org/10.1016/j.marpolbul.2023.115568</v>
      </c>
      <c r="L255" s="8"/>
      <c r="M255" s="8" t="s">
        <v>1185</v>
      </c>
    </row>
    <row r="256" spans="1:13" ht="15" x14ac:dyDescent="0.25">
      <c r="A256" s="7" t="s">
        <v>794</v>
      </c>
      <c r="B256" s="8" t="s">
        <v>1513</v>
      </c>
      <c r="C256" s="8" t="s">
        <v>1512</v>
      </c>
      <c r="D256" s="8" t="s">
        <v>1195</v>
      </c>
      <c r="E256" s="8">
        <v>2021</v>
      </c>
      <c r="F256" s="8">
        <v>414</v>
      </c>
      <c r="G256" s="8" t="s">
        <v>1186</v>
      </c>
      <c r="H256" s="9" t="s">
        <v>1186</v>
      </c>
      <c r="I256" s="9" t="s">
        <v>1186</v>
      </c>
      <c r="J256" s="8">
        <v>125477</v>
      </c>
      <c r="K256" s="8" t="str">
        <f>HYPERLINK("http://dx.doi.org/10.1016/j.jhazmat.2021.125477","http://dx.doi.org/10.1016/j.jhazmat.2021.125477")</f>
        <v>http://dx.doi.org/10.1016/j.jhazmat.2021.125477</v>
      </c>
      <c r="L256" s="8"/>
      <c r="M256" s="8" t="s">
        <v>1185</v>
      </c>
    </row>
    <row r="257" spans="1:13" ht="15" x14ac:dyDescent="0.25">
      <c r="A257" s="7" t="s">
        <v>818</v>
      </c>
      <c r="B257" s="8" t="s">
        <v>1511</v>
      </c>
      <c r="C257" s="8" t="s">
        <v>1510</v>
      </c>
      <c r="D257" s="8" t="s">
        <v>1207</v>
      </c>
      <c r="E257" s="8">
        <v>2022</v>
      </c>
      <c r="F257" s="8">
        <v>207</v>
      </c>
      <c r="G257" s="8" t="s">
        <v>1186</v>
      </c>
      <c r="H257" s="9" t="s">
        <v>1186</v>
      </c>
      <c r="I257" s="9" t="s">
        <v>1186</v>
      </c>
      <c r="J257" s="8">
        <v>112142</v>
      </c>
      <c r="K257" s="8" t="str">
        <f>HYPERLINK("http://dx.doi.org/10.1016/j.envres.2021.112142","http://dx.doi.org/10.1016/j.envres.2021.112142")</f>
        <v>http://dx.doi.org/10.1016/j.envres.2021.112142</v>
      </c>
      <c r="L257" s="8"/>
      <c r="M257" s="8" t="s">
        <v>1185</v>
      </c>
    </row>
    <row r="258" spans="1:13" ht="15" x14ac:dyDescent="0.25">
      <c r="A258" s="7" t="s">
        <v>1509</v>
      </c>
      <c r="B258" s="8" t="s">
        <v>1508</v>
      </c>
      <c r="C258" s="8" t="s">
        <v>1507</v>
      </c>
      <c r="D258" s="8" t="s">
        <v>1324</v>
      </c>
      <c r="E258" s="8">
        <v>2023</v>
      </c>
      <c r="F258" s="8">
        <v>95</v>
      </c>
      <c r="G258" s="8">
        <v>2</v>
      </c>
      <c r="H258" s="9">
        <v>1395</v>
      </c>
      <c r="I258" s="9">
        <v>1401</v>
      </c>
      <c r="J258" s="8" t="s">
        <v>1186</v>
      </c>
      <c r="K258" s="8" t="str">
        <f>HYPERLINK("http://dx.doi.org/10.1021/acs.analchem.2c04345","http://dx.doi.org/10.1021/acs.analchem.2c04345")</f>
        <v>http://dx.doi.org/10.1021/acs.analchem.2c04345</v>
      </c>
      <c r="L258" s="8" t="s">
        <v>1185</v>
      </c>
      <c r="M258" s="8"/>
    </row>
    <row r="259" spans="1:13" ht="15" x14ac:dyDescent="0.25">
      <c r="A259" s="7" t="s">
        <v>110</v>
      </c>
      <c r="B259" s="8" t="s">
        <v>1506</v>
      </c>
      <c r="C259" s="8" t="s">
        <v>1505</v>
      </c>
      <c r="D259" s="8" t="s">
        <v>1214</v>
      </c>
      <c r="E259" s="8">
        <v>2021</v>
      </c>
      <c r="F259" s="8">
        <v>761</v>
      </c>
      <c r="G259" s="8" t="s">
        <v>1186</v>
      </c>
      <c r="H259" s="9" t="s">
        <v>1186</v>
      </c>
      <c r="I259" s="9" t="s">
        <v>1186</v>
      </c>
      <c r="J259" s="8">
        <v>143272</v>
      </c>
      <c r="K259" s="8" t="str">
        <f>HYPERLINK("http://dx.doi.org/10.1016/j.scitotenv.2020.143272","http://dx.doi.org/10.1016/j.scitotenv.2020.143272")</f>
        <v>http://dx.doi.org/10.1016/j.scitotenv.2020.143272</v>
      </c>
      <c r="L259" s="8"/>
      <c r="M259" s="8" t="s">
        <v>1185</v>
      </c>
    </row>
    <row r="260" spans="1:13" ht="15" x14ac:dyDescent="0.25">
      <c r="A260" s="7" t="s">
        <v>122</v>
      </c>
      <c r="B260" s="8" t="s">
        <v>1504</v>
      </c>
      <c r="C260" s="8" t="s">
        <v>1503</v>
      </c>
      <c r="D260" s="8" t="s">
        <v>1214</v>
      </c>
      <c r="E260" s="8">
        <v>2024</v>
      </c>
      <c r="F260" s="8">
        <v>906</v>
      </c>
      <c r="G260" s="8" t="s">
        <v>1186</v>
      </c>
      <c r="H260" s="9" t="s">
        <v>1186</v>
      </c>
      <c r="I260" s="9" t="s">
        <v>1186</v>
      </c>
      <c r="J260" s="8">
        <v>168201</v>
      </c>
      <c r="K260" s="8" t="str">
        <f>HYPERLINK("http://dx.doi.org/10.1016/j.scitotenv.2023.168201","http://dx.doi.org/10.1016/j.scitotenv.2023.168201")</f>
        <v>http://dx.doi.org/10.1016/j.scitotenv.2023.168201</v>
      </c>
      <c r="L260" s="8"/>
      <c r="M260" s="8" t="s">
        <v>1185</v>
      </c>
    </row>
    <row r="261" spans="1:13" ht="15" x14ac:dyDescent="0.25">
      <c r="A261" s="7" t="s">
        <v>1502</v>
      </c>
      <c r="B261" s="8" t="s">
        <v>1501</v>
      </c>
      <c r="C261" s="8" t="s">
        <v>1500</v>
      </c>
      <c r="D261" s="8" t="s">
        <v>1499</v>
      </c>
      <c r="E261" s="8">
        <v>2022</v>
      </c>
      <c r="F261" s="8">
        <v>15</v>
      </c>
      <c r="G261" s="8">
        <v>5</v>
      </c>
      <c r="H261" s="9">
        <v>56</v>
      </c>
      <c r="I261" s="9">
        <v>62</v>
      </c>
      <c r="J261" s="8" t="s">
        <v>1186</v>
      </c>
      <c r="K261" s="8" t="str">
        <f>HYPERLINK("http://dx.doi.org/10.25165/j.ijabe.20221505.6428","http://dx.doi.org/10.25165/j.ijabe.20221505.6428")</f>
        <v>http://dx.doi.org/10.25165/j.ijabe.20221505.6428</v>
      </c>
      <c r="L261" s="8" t="s">
        <v>1185</v>
      </c>
      <c r="M261" s="8"/>
    </row>
    <row r="262" spans="1:13" ht="15" x14ac:dyDescent="0.25">
      <c r="A262" s="7" t="s">
        <v>1498</v>
      </c>
      <c r="B262" s="8" t="s">
        <v>1497</v>
      </c>
      <c r="C262" s="8" t="s">
        <v>1496</v>
      </c>
      <c r="D262" s="8" t="s">
        <v>1495</v>
      </c>
      <c r="E262" s="8">
        <v>2020</v>
      </c>
      <c r="F262" s="8">
        <v>249</v>
      </c>
      <c r="G262" s="8" t="s">
        <v>1186</v>
      </c>
      <c r="H262" s="9" t="s">
        <v>1186</v>
      </c>
      <c r="I262" s="9" t="s">
        <v>1186</v>
      </c>
      <c r="J262" s="8">
        <v>107758</v>
      </c>
      <c r="K262" s="8" t="str">
        <f>HYPERLINK("http://dx.doi.org/10.1016/j.fcr.2020.107758","http://dx.doi.org/10.1016/j.fcr.2020.107758")</f>
        <v>http://dx.doi.org/10.1016/j.fcr.2020.107758</v>
      </c>
      <c r="L262" s="8" t="s">
        <v>1185</v>
      </c>
      <c r="M262" s="8"/>
    </row>
    <row r="263" spans="1:13" ht="15" x14ac:dyDescent="0.25">
      <c r="A263" s="7" t="s">
        <v>1494</v>
      </c>
      <c r="B263" s="8" t="s">
        <v>1493</v>
      </c>
      <c r="C263" s="8" t="s">
        <v>1492</v>
      </c>
      <c r="D263" s="8" t="s">
        <v>1491</v>
      </c>
      <c r="E263" s="8">
        <v>2022</v>
      </c>
      <c r="F263" s="8">
        <v>94</v>
      </c>
      <c r="G263" s="8">
        <v>4</v>
      </c>
      <c r="H263" s="9">
        <v>505</v>
      </c>
      <c r="I263" s="9">
        <v>514</v>
      </c>
      <c r="J263" s="8" t="s">
        <v>1186</v>
      </c>
      <c r="K263" s="8" t="str">
        <f>HYPERLINK("http://dx.doi.org/10.1108/AEAT-04-2021-0100","http://dx.doi.org/10.1108/AEAT-04-2021-0100")</f>
        <v>http://dx.doi.org/10.1108/AEAT-04-2021-0100</v>
      </c>
      <c r="L263" s="8"/>
      <c r="M263" s="8" t="s">
        <v>1185</v>
      </c>
    </row>
    <row r="264" spans="1:13" ht="15" x14ac:dyDescent="0.25">
      <c r="A264" s="7" t="s">
        <v>1490</v>
      </c>
      <c r="B264" s="8" t="s">
        <v>1489</v>
      </c>
      <c r="C264" s="8" t="s">
        <v>1488</v>
      </c>
      <c r="D264" s="8" t="s">
        <v>1487</v>
      </c>
      <c r="E264" s="8">
        <v>2018</v>
      </c>
      <c r="F264" s="8">
        <v>97</v>
      </c>
      <c r="G264" s="8">
        <v>6</v>
      </c>
      <c r="H264" s="9">
        <v>1954</v>
      </c>
      <c r="I264" s="9">
        <v>1960</v>
      </c>
      <c r="J264" s="8" t="s">
        <v>1186</v>
      </c>
      <c r="K264" s="8" t="str">
        <f>HYPERLINK("http://dx.doi.org/10.3382/ps/pey048","http://dx.doi.org/10.3382/ps/pey048")</f>
        <v>http://dx.doi.org/10.3382/ps/pey048</v>
      </c>
      <c r="L264" s="8"/>
      <c r="M264" s="8" t="s">
        <v>1185</v>
      </c>
    </row>
    <row r="265" spans="1:13" ht="15" x14ac:dyDescent="0.25">
      <c r="A265" s="7" t="s">
        <v>1486</v>
      </c>
      <c r="B265" s="8" t="s">
        <v>1485</v>
      </c>
      <c r="C265" s="8" t="s">
        <v>1484</v>
      </c>
      <c r="D265" s="8" t="s">
        <v>1214</v>
      </c>
      <c r="E265" s="8">
        <v>2024</v>
      </c>
      <c r="F265" s="8">
        <v>912</v>
      </c>
      <c r="G265" s="8" t="s">
        <v>1186</v>
      </c>
      <c r="H265" s="9" t="s">
        <v>1186</v>
      </c>
      <c r="I265" s="9" t="s">
        <v>1186</v>
      </c>
      <c r="J265" s="8">
        <v>168883</v>
      </c>
      <c r="K265" s="8" t="str">
        <f>HYPERLINK("http://dx.doi.org/10.1016/j.scitotenv.2023.168883","http://dx.doi.org/10.1016/j.scitotenv.2023.168883")</f>
        <v>http://dx.doi.org/10.1016/j.scitotenv.2023.168883</v>
      </c>
      <c r="L265" s="8" t="s">
        <v>1185</v>
      </c>
      <c r="M265" s="8"/>
    </row>
    <row r="266" spans="1:13" ht="15" x14ac:dyDescent="0.25">
      <c r="A266" s="7" t="s">
        <v>1483</v>
      </c>
      <c r="B266" s="8" t="s">
        <v>1482</v>
      </c>
      <c r="C266" s="8" t="s">
        <v>1481</v>
      </c>
      <c r="D266" s="8" t="s">
        <v>1195</v>
      </c>
      <c r="E266" s="8">
        <v>2024</v>
      </c>
      <c r="F266" s="8">
        <v>465</v>
      </c>
      <c r="G266" s="8" t="s">
        <v>1186</v>
      </c>
      <c r="H266" s="9" t="s">
        <v>1186</v>
      </c>
      <c r="I266" s="9" t="s">
        <v>1186</v>
      </c>
      <c r="J266" s="8">
        <v>133276</v>
      </c>
      <c r="K266" s="8" t="str">
        <f>HYPERLINK("http://dx.doi.org/10.1016/j.jhazmat.2023.133276","http://dx.doi.org/10.1016/j.jhazmat.2023.133276")</f>
        <v>http://dx.doi.org/10.1016/j.jhazmat.2023.133276</v>
      </c>
      <c r="L266" s="8" t="s">
        <v>1185</v>
      </c>
      <c r="M266" s="8"/>
    </row>
    <row r="267" spans="1:13" ht="15" x14ac:dyDescent="0.25">
      <c r="A267" s="7" t="s">
        <v>1480</v>
      </c>
      <c r="B267" s="8" t="s">
        <v>1479</v>
      </c>
      <c r="C267" s="8" t="s">
        <v>1478</v>
      </c>
      <c r="D267" s="8" t="s">
        <v>1477</v>
      </c>
      <c r="E267" s="8">
        <v>2021</v>
      </c>
      <c r="F267" s="8">
        <v>93</v>
      </c>
      <c r="G267" s="8">
        <v>5</v>
      </c>
      <c r="H267" s="9">
        <v>693</v>
      </c>
      <c r="I267" s="9">
        <v>702</v>
      </c>
      <c r="J267" s="8" t="s">
        <v>1186</v>
      </c>
      <c r="K267" s="8" t="str">
        <f>HYPERLINK("http://dx.doi.org/10.1002/wer.1352","http://dx.doi.org/10.1002/wer.1352")</f>
        <v>http://dx.doi.org/10.1002/wer.1352</v>
      </c>
      <c r="L267" s="8" t="s">
        <v>1185</v>
      </c>
      <c r="M267" s="8"/>
    </row>
    <row r="268" spans="1:13" ht="15" x14ac:dyDescent="0.25">
      <c r="A268" s="7" t="s">
        <v>1476</v>
      </c>
      <c r="B268" s="8" t="s">
        <v>1475</v>
      </c>
      <c r="C268" s="8" t="s">
        <v>1474</v>
      </c>
      <c r="D268" s="8" t="s">
        <v>1473</v>
      </c>
      <c r="E268" s="8">
        <v>2022</v>
      </c>
      <c r="F268" s="8">
        <v>12</v>
      </c>
      <c r="G268" s="8">
        <v>8</v>
      </c>
      <c r="H268" s="9" t="s">
        <v>1186</v>
      </c>
      <c r="I268" s="9" t="s">
        <v>1186</v>
      </c>
      <c r="J268" s="8">
        <v>1272</v>
      </c>
      <c r="K268" s="8" t="str">
        <f>HYPERLINK("http://dx.doi.org/10.3390/agriculture12081272","http://dx.doi.org/10.3390/agriculture12081272")</f>
        <v>http://dx.doi.org/10.3390/agriculture12081272</v>
      </c>
      <c r="L268" s="8" t="s">
        <v>1185</v>
      </c>
      <c r="M268" s="8"/>
    </row>
    <row r="269" spans="1:13" ht="15" x14ac:dyDescent="0.25">
      <c r="A269" s="7" t="s">
        <v>822</v>
      </c>
      <c r="B269" s="8" t="s">
        <v>1472</v>
      </c>
      <c r="C269" s="8" t="s">
        <v>1471</v>
      </c>
      <c r="D269" s="8" t="s">
        <v>1247</v>
      </c>
      <c r="E269" s="8">
        <v>2022</v>
      </c>
      <c r="F269" s="8">
        <v>13</v>
      </c>
      <c r="G269" s="8">
        <v>12</v>
      </c>
      <c r="H269" s="9" t="s">
        <v>1186</v>
      </c>
      <c r="I269" s="9" t="s">
        <v>1186</v>
      </c>
      <c r="J269" s="8">
        <v>2017</v>
      </c>
      <c r="K269" s="8" t="str">
        <f>HYPERLINK("http://dx.doi.org/10.3390/atmos13122017","http://dx.doi.org/10.3390/atmos13122017")</f>
        <v>http://dx.doi.org/10.3390/atmos13122017</v>
      </c>
      <c r="L269" s="8"/>
      <c r="M269" s="8" t="s">
        <v>1185</v>
      </c>
    </row>
    <row r="270" spans="1:13" ht="15" x14ac:dyDescent="0.25">
      <c r="A270" s="7" t="s">
        <v>826</v>
      </c>
      <c r="B270" s="8" t="s">
        <v>1470</v>
      </c>
      <c r="C270" s="8" t="s">
        <v>1469</v>
      </c>
      <c r="D270" s="8" t="s">
        <v>1214</v>
      </c>
      <c r="E270" s="8">
        <v>2023</v>
      </c>
      <c r="F270" s="8">
        <v>889</v>
      </c>
      <c r="G270" s="8" t="s">
        <v>1186</v>
      </c>
      <c r="H270" s="9" t="s">
        <v>1186</v>
      </c>
      <c r="I270" s="9" t="s">
        <v>1186</v>
      </c>
      <c r="J270" s="8">
        <v>164292</v>
      </c>
      <c r="K270" s="8" t="str">
        <f>HYPERLINK("http://dx.doi.org/10.1016/j.scitotenv.2023.164292","http://dx.doi.org/10.1016/j.scitotenv.2023.164292")</f>
        <v>http://dx.doi.org/10.1016/j.scitotenv.2023.164292</v>
      </c>
      <c r="L270" s="8"/>
      <c r="M270" s="8" t="s">
        <v>1185</v>
      </c>
    </row>
    <row r="271" spans="1:13" ht="15" x14ac:dyDescent="0.25">
      <c r="A271" s="7" t="s">
        <v>1468</v>
      </c>
      <c r="B271" s="8" t="s">
        <v>1467</v>
      </c>
      <c r="C271" s="8" t="s">
        <v>1466</v>
      </c>
      <c r="D271" s="8" t="s">
        <v>1465</v>
      </c>
      <c r="E271" s="8">
        <v>2018</v>
      </c>
      <c r="F271" s="8">
        <v>92</v>
      </c>
      <c r="G271" s="8" t="s">
        <v>1186</v>
      </c>
      <c r="H271" s="9">
        <v>94</v>
      </c>
      <c r="I271" s="9">
        <v>105</v>
      </c>
      <c r="J271" s="8" t="s">
        <v>1186</v>
      </c>
      <c r="K271" s="8" t="str">
        <f>HYPERLINK("http://dx.doi.org/10.1016/j.ijrefrig.2018.05.037","http://dx.doi.org/10.1016/j.ijrefrig.2018.05.037")</f>
        <v>http://dx.doi.org/10.1016/j.ijrefrig.2018.05.037</v>
      </c>
      <c r="L271" s="8" t="s">
        <v>1185</v>
      </c>
      <c r="M271" s="8"/>
    </row>
    <row r="272" spans="1:13" ht="15" x14ac:dyDescent="0.25">
      <c r="A272" s="7" t="s">
        <v>832</v>
      </c>
      <c r="B272" s="8" t="s">
        <v>1464</v>
      </c>
      <c r="C272" s="8" t="s">
        <v>1463</v>
      </c>
      <c r="D272" s="8" t="s">
        <v>1462</v>
      </c>
      <c r="E272" s="8">
        <v>2025</v>
      </c>
      <c r="F272" s="8">
        <v>148</v>
      </c>
      <c r="G272" s="8" t="s">
        <v>1186</v>
      </c>
      <c r="H272" s="9">
        <v>602</v>
      </c>
      <c r="I272" s="9">
        <v>613</v>
      </c>
      <c r="J272" s="8" t="s">
        <v>1186</v>
      </c>
      <c r="K272" s="8" t="str">
        <f>HYPERLINK("http://dx.doi.org/10.1016/j.jes.2023.09.027","http://dx.doi.org/10.1016/j.jes.2023.09.027")</f>
        <v>http://dx.doi.org/10.1016/j.jes.2023.09.027</v>
      </c>
      <c r="L272" s="8"/>
      <c r="M272" s="8" t="s">
        <v>1185</v>
      </c>
    </row>
    <row r="273" spans="1:13" ht="15" x14ac:dyDescent="0.25">
      <c r="A273" s="7" t="s">
        <v>1461</v>
      </c>
      <c r="B273" s="8" t="s">
        <v>1460</v>
      </c>
      <c r="C273" s="8" t="s">
        <v>1459</v>
      </c>
      <c r="D273" s="8" t="s">
        <v>1458</v>
      </c>
      <c r="E273" s="8">
        <v>2023</v>
      </c>
      <c r="F273" s="8">
        <v>186</v>
      </c>
      <c r="G273" s="8">
        <v>3</v>
      </c>
      <c r="H273" s="9">
        <v>425</v>
      </c>
      <c r="I273" s="9">
        <v>453</v>
      </c>
      <c r="J273" s="8" t="s">
        <v>1186</v>
      </c>
      <c r="K273" s="8" t="str">
        <f>HYPERLINK("http://dx.doi.org/10.1007/s10546-022-00763-0","http://dx.doi.org/10.1007/s10546-022-00763-0")</f>
        <v>http://dx.doi.org/10.1007/s10546-022-00763-0</v>
      </c>
      <c r="L273" s="8" t="s">
        <v>1185</v>
      </c>
      <c r="M273" s="8"/>
    </row>
    <row r="274" spans="1:13" ht="15" x14ac:dyDescent="0.25">
      <c r="A274" s="7" t="s">
        <v>1457</v>
      </c>
      <c r="B274" s="8" t="s">
        <v>1456</v>
      </c>
      <c r="C274" s="8" t="s">
        <v>1455</v>
      </c>
      <c r="D274" s="8" t="s">
        <v>1454</v>
      </c>
      <c r="E274" s="8">
        <v>2019</v>
      </c>
      <c r="F274" s="8">
        <v>132</v>
      </c>
      <c r="G274" s="8" t="s">
        <v>1186</v>
      </c>
      <c r="H274" s="9" t="s">
        <v>1186</v>
      </c>
      <c r="I274" s="9" t="s">
        <v>1186</v>
      </c>
      <c r="J274" s="8">
        <v>105127</v>
      </c>
      <c r="K274" s="8" t="str">
        <f>HYPERLINK("http://dx.doi.org/10.1016/j.envint.2019.105127","http://dx.doi.org/10.1016/j.envint.2019.105127")</f>
        <v>http://dx.doi.org/10.1016/j.envint.2019.105127</v>
      </c>
      <c r="L274" s="8"/>
      <c r="M274" s="8" t="s">
        <v>1185</v>
      </c>
    </row>
    <row r="275" spans="1:13" ht="15" x14ac:dyDescent="0.25">
      <c r="A275" s="7" t="s">
        <v>835</v>
      </c>
      <c r="B275" s="8" t="s">
        <v>1453</v>
      </c>
      <c r="C275" s="8" t="s">
        <v>1452</v>
      </c>
      <c r="D275" s="8" t="s">
        <v>1389</v>
      </c>
      <c r="E275" s="8">
        <v>2023</v>
      </c>
      <c r="F275" s="8">
        <v>15</v>
      </c>
      <c r="G275" s="8">
        <v>23</v>
      </c>
      <c r="H275" s="9" t="s">
        <v>1186</v>
      </c>
      <c r="I275" s="9" t="s">
        <v>1186</v>
      </c>
      <c r="J275" s="8">
        <v>16464</v>
      </c>
      <c r="K275" s="8" t="str">
        <f>HYPERLINK("http://dx.doi.org/10.3390/su152316464","http://dx.doi.org/10.3390/su152316464")</f>
        <v>http://dx.doi.org/10.3390/su152316464</v>
      </c>
      <c r="L275" s="8"/>
      <c r="M275" s="8" t="s">
        <v>1185</v>
      </c>
    </row>
    <row r="276" spans="1:13" ht="15" x14ac:dyDescent="0.25">
      <c r="A276" s="7" t="s">
        <v>858</v>
      </c>
      <c r="B276" s="8" t="s">
        <v>1451</v>
      </c>
      <c r="C276" s="8" t="s">
        <v>1450</v>
      </c>
      <c r="D276" s="8" t="s">
        <v>1214</v>
      </c>
      <c r="E276" s="8">
        <v>2024</v>
      </c>
      <c r="F276" s="8">
        <v>908</v>
      </c>
      <c r="G276" s="8" t="s">
        <v>1186</v>
      </c>
      <c r="H276" s="9" t="s">
        <v>1186</v>
      </c>
      <c r="I276" s="9" t="s">
        <v>1186</v>
      </c>
      <c r="J276" s="8">
        <v>168398</v>
      </c>
      <c r="K276" s="8" t="str">
        <f>HYPERLINK("http://dx.doi.org/10.1016/j.scitotenv.2023.168398","http://dx.doi.org/10.1016/j.scitotenv.2023.168398")</f>
        <v>http://dx.doi.org/10.1016/j.scitotenv.2023.168398</v>
      </c>
      <c r="L276" s="8"/>
      <c r="M276" s="8" t="s">
        <v>1185</v>
      </c>
    </row>
    <row r="277" spans="1:13" ht="15" x14ac:dyDescent="0.25">
      <c r="A277" s="7" t="s">
        <v>863</v>
      </c>
      <c r="B277" s="8" t="s">
        <v>1449</v>
      </c>
      <c r="C277" s="8" t="s">
        <v>1448</v>
      </c>
      <c r="D277" s="8" t="s">
        <v>1447</v>
      </c>
      <c r="E277" s="8">
        <v>2020</v>
      </c>
      <c r="F277" s="8">
        <v>74</v>
      </c>
      <c r="G277" s="8">
        <v>9</v>
      </c>
      <c r="H277" s="9">
        <v>1079</v>
      </c>
      <c r="I277" s="9">
        <v>1098</v>
      </c>
      <c r="J277" s="8">
        <v>3702820920652</v>
      </c>
      <c r="K277" s="8" t="str">
        <f>HYPERLINK("http://dx.doi.org/10.1177/0003702820920652","http://dx.doi.org/10.1177/0003702820920652")</f>
        <v>http://dx.doi.org/10.1177/0003702820920652</v>
      </c>
      <c r="L277" s="8"/>
      <c r="M277" s="8" t="s">
        <v>1185</v>
      </c>
    </row>
    <row r="278" spans="1:13" ht="15" x14ac:dyDescent="0.25">
      <c r="A278" s="7" t="s">
        <v>1446</v>
      </c>
      <c r="B278" s="8" t="s">
        <v>1445</v>
      </c>
      <c r="C278" s="8" t="s">
        <v>1444</v>
      </c>
      <c r="D278" s="8" t="s">
        <v>1251</v>
      </c>
      <c r="E278" s="8">
        <v>2020</v>
      </c>
      <c r="F278" s="8">
        <v>54</v>
      </c>
      <c r="G278" s="8">
        <v>18</v>
      </c>
      <c r="H278" s="9">
        <v>11100</v>
      </c>
      <c r="I278" s="9">
        <v>11108</v>
      </c>
      <c r="J278" s="8" t="s">
        <v>1186</v>
      </c>
      <c r="K278" s="8" t="str">
        <f>HYPERLINK("http://dx.doi.org/10.1021/acs.est.0c04000","http://dx.doi.org/10.1021/acs.est.0c04000")</f>
        <v>http://dx.doi.org/10.1021/acs.est.0c04000</v>
      </c>
      <c r="L278" s="8"/>
      <c r="M278" s="8" t="s">
        <v>1185</v>
      </c>
    </row>
    <row r="279" spans="1:13" ht="15" x14ac:dyDescent="0.25">
      <c r="A279" s="7" t="s">
        <v>233</v>
      </c>
      <c r="B279" s="8" t="s">
        <v>1443</v>
      </c>
      <c r="C279" s="8" t="s">
        <v>1442</v>
      </c>
      <c r="D279" s="8" t="s">
        <v>1441</v>
      </c>
      <c r="E279" s="8">
        <v>2023</v>
      </c>
      <c r="F279" s="8">
        <v>14</v>
      </c>
      <c r="G279" s="8">
        <v>1</v>
      </c>
      <c r="H279" s="9" t="s">
        <v>1186</v>
      </c>
      <c r="I279" s="9" t="s">
        <v>1186</v>
      </c>
      <c r="J279" s="8">
        <v>3707</v>
      </c>
      <c r="K279" s="8" t="str">
        <f>HYPERLINK("http://dx.doi.org/10.1038/s41467-023-39340-5","http://dx.doi.org/10.1038/s41467-023-39340-5")</f>
        <v>http://dx.doi.org/10.1038/s41467-023-39340-5</v>
      </c>
      <c r="L279" s="8"/>
      <c r="M279" s="8" t="s">
        <v>1185</v>
      </c>
    </row>
    <row r="280" spans="1:13" ht="15" x14ac:dyDescent="0.25">
      <c r="A280" s="7" t="s">
        <v>867</v>
      </c>
      <c r="B280" s="8" t="s">
        <v>1440</v>
      </c>
      <c r="C280" s="8" t="s">
        <v>1439</v>
      </c>
      <c r="D280" s="8" t="s">
        <v>1386</v>
      </c>
      <c r="E280" s="8">
        <v>2023</v>
      </c>
      <c r="F280" s="8">
        <v>30</v>
      </c>
      <c r="G280" s="8">
        <v>29</v>
      </c>
      <c r="H280" s="9">
        <v>74372</v>
      </c>
      <c r="I280" s="9">
        <v>74385</v>
      </c>
      <c r="J280" s="8" t="s">
        <v>1186</v>
      </c>
      <c r="K280" s="8" t="str">
        <f>HYPERLINK("http://dx.doi.org/10.1007/s11356-023-27581-2","http://dx.doi.org/10.1007/s11356-023-27581-2")</f>
        <v>http://dx.doi.org/10.1007/s11356-023-27581-2</v>
      </c>
      <c r="L280" s="8"/>
      <c r="M280" s="8" t="s">
        <v>1185</v>
      </c>
    </row>
    <row r="281" spans="1:13" ht="15" x14ac:dyDescent="0.25">
      <c r="A281" s="7" t="s">
        <v>255</v>
      </c>
      <c r="B281" s="8" t="s">
        <v>1438</v>
      </c>
      <c r="C281" s="8" t="s">
        <v>1437</v>
      </c>
      <c r="D281" s="8" t="s">
        <v>1436</v>
      </c>
      <c r="E281" s="8">
        <v>2021</v>
      </c>
      <c r="F281" s="8">
        <v>253</v>
      </c>
      <c r="G281" s="8" t="s">
        <v>1186</v>
      </c>
      <c r="H281" s="9" t="s">
        <v>1186</v>
      </c>
      <c r="I281" s="9" t="s">
        <v>1186</v>
      </c>
      <c r="J281" s="8">
        <v>118389</v>
      </c>
      <c r="K281" s="8" t="str">
        <f>HYPERLINK("http://dx.doi.org/10.1016/j.atmosenv.2021.118389","http://dx.doi.org/10.1016/j.atmosenv.2021.118389")</f>
        <v>http://dx.doi.org/10.1016/j.atmosenv.2021.118389</v>
      </c>
      <c r="L281" s="8"/>
      <c r="M281" s="8" t="s">
        <v>1185</v>
      </c>
    </row>
    <row r="282" spans="1:13" ht="15" x14ac:dyDescent="0.25">
      <c r="A282" s="7" t="s">
        <v>475</v>
      </c>
      <c r="B282" s="8" t="s">
        <v>1435</v>
      </c>
      <c r="C282" s="8" t="s">
        <v>1434</v>
      </c>
      <c r="D282" s="8" t="s">
        <v>1433</v>
      </c>
      <c r="E282" s="8">
        <v>2024</v>
      </c>
      <c r="F282" s="8">
        <v>393</v>
      </c>
      <c r="G282" s="8" t="s">
        <v>1186</v>
      </c>
      <c r="H282" s="9" t="s">
        <v>1186</v>
      </c>
      <c r="I282" s="9" t="s">
        <v>1186</v>
      </c>
      <c r="J282" s="8">
        <v>130132</v>
      </c>
      <c r="K282" s="8" t="str">
        <f>HYPERLINK("http://dx.doi.org/10.1016/j.biortech.2023.130132","http://dx.doi.org/10.1016/j.biortech.2023.130132")</f>
        <v>http://dx.doi.org/10.1016/j.biortech.2023.130132</v>
      </c>
      <c r="L282" s="8"/>
      <c r="M282" s="8" t="s">
        <v>1185</v>
      </c>
    </row>
    <row r="283" spans="1:13" ht="15" x14ac:dyDescent="0.25">
      <c r="A283" s="7" t="s">
        <v>26</v>
      </c>
      <c r="B283" s="8" t="s">
        <v>1432</v>
      </c>
      <c r="C283" s="8" t="s">
        <v>1431</v>
      </c>
      <c r="D283" s="8" t="s">
        <v>1233</v>
      </c>
      <c r="E283" s="8">
        <v>2023</v>
      </c>
      <c r="F283" s="8">
        <v>333</v>
      </c>
      <c r="G283" s="8" t="s">
        <v>1186</v>
      </c>
      <c r="H283" s="9" t="s">
        <v>1186</v>
      </c>
      <c r="I283" s="9" t="s">
        <v>1186</v>
      </c>
      <c r="J283" s="8">
        <v>122011</v>
      </c>
      <c r="K283" s="8" t="str">
        <f>HYPERLINK("http://dx.doi.org/10.1016/j.envpol.2023.122011","http://dx.doi.org/10.1016/j.envpol.2023.122011")</f>
        <v>http://dx.doi.org/10.1016/j.envpol.2023.122011</v>
      </c>
      <c r="L283" s="8"/>
      <c r="M283" s="8" t="s">
        <v>1185</v>
      </c>
    </row>
    <row r="284" spans="1:13" ht="15" x14ac:dyDescent="0.25">
      <c r="A284" s="7" t="s">
        <v>1430</v>
      </c>
      <c r="B284" s="8" t="s">
        <v>1429</v>
      </c>
      <c r="C284" s="8" t="s">
        <v>1428</v>
      </c>
      <c r="D284" s="8" t="s">
        <v>1427</v>
      </c>
      <c r="E284" s="8">
        <v>2020</v>
      </c>
      <c r="F284" s="8">
        <v>18</v>
      </c>
      <c r="G284" s="8">
        <v>2</v>
      </c>
      <c r="H284" s="9">
        <v>1569</v>
      </c>
      <c r="I284" s="9">
        <v>1579</v>
      </c>
      <c r="J284" s="8" t="s">
        <v>1186</v>
      </c>
      <c r="K284" s="8" t="str">
        <f>HYPERLINK("http://dx.doi.org/10.1007/s40201-020-00575-9","http://dx.doi.org/10.1007/s40201-020-00575-9")</f>
        <v>http://dx.doi.org/10.1007/s40201-020-00575-9</v>
      </c>
      <c r="L284" s="8" t="s">
        <v>1185</v>
      </c>
      <c r="M284" s="8"/>
    </row>
    <row r="285" spans="1:13" ht="15" x14ac:dyDescent="0.25">
      <c r="A285" s="7" t="s">
        <v>1426</v>
      </c>
      <c r="B285" s="8" t="s">
        <v>1425</v>
      </c>
      <c r="C285" s="8" t="s">
        <v>1424</v>
      </c>
      <c r="D285" s="8" t="s">
        <v>1251</v>
      </c>
      <c r="E285" s="8">
        <v>2019</v>
      </c>
      <c r="F285" s="8">
        <v>53</v>
      </c>
      <c r="G285" s="8">
        <v>9</v>
      </c>
      <c r="H285" s="9">
        <v>4775</v>
      </c>
      <c r="I285" s="9">
        <v>4783</v>
      </c>
      <c r="J285" s="8" t="s">
        <v>1186</v>
      </c>
      <c r="K285" s="8" t="str">
        <f>HYPERLINK("http://dx.doi.org/10.1021/acs.est.8b06984","http://dx.doi.org/10.1021/acs.est.8b06984")</f>
        <v>http://dx.doi.org/10.1021/acs.est.8b06984</v>
      </c>
      <c r="L285" s="8" t="s">
        <v>1185</v>
      </c>
      <c r="M285" s="8"/>
    </row>
    <row r="286" spans="1:13" ht="15" x14ac:dyDescent="0.25">
      <c r="A286" s="7" t="s">
        <v>291</v>
      </c>
      <c r="B286" s="8" t="s">
        <v>1423</v>
      </c>
      <c r="C286" s="8" t="s">
        <v>1422</v>
      </c>
      <c r="D286" s="8" t="s">
        <v>1214</v>
      </c>
      <c r="E286" s="8">
        <v>2023</v>
      </c>
      <c r="F286" s="8">
        <v>889</v>
      </c>
      <c r="G286" s="8" t="s">
        <v>1186</v>
      </c>
      <c r="H286" s="9" t="s">
        <v>1186</v>
      </c>
      <c r="I286" s="9" t="s">
        <v>1186</v>
      </c>
      <c r="J286" s="8">
        <v>164173</v>
      </c>
      <c r="K286" s="8" t="str">
        <f>HYPERLINK("http://dx.doi.org/10.1016/j.scitotenv.2023.164173","http://dx.doi.org/10.1016/j.scitotenv.2023.164173")</f>
        <v>http://dx.doi.org/10.1016/j.scitotenv.2023.164173</v>
      </c>
      <c r="L286" s="8"/>
      <c r="M286" s="8" t="s">
        <v>1185</v>
      </c>
    </row>
    <row r="287" spans="1:13" ht="15" x14ac:dyDescent="0.25">
      <c r="A287" s="7" t="s">
        <v>880</v>
      </c>
      <c r="B287" s="8" t="s">
        <v>1421</v>
      </c>
      <c r="C287" s="8" t="s">
        <v>1420</v>
      </c>
      <c r="D287" s="8" t="s">
        <v>1214</v>
      </c>
      <c r="E287" s="8">
        <v>2022</v>
      </c>
      <c r="F287" s="8">
        <v>847</v>
      </c>
      <c r="G287" s="8" t="s">
        <v>1186</v>
      </c>
      <c r="H287" s="9" t="s">
        <v>1186</v>
      </c>
      <c r="I287" s="9" t="s">
        <v>1186</v>
      </c>
      <c r="J287" s="8">
        <v>157609</v>
      </c>
      <c r="K287" s="8" t="str">
        <f>HYPERLINK("http://dx.doi.org/10.1016/j.scitotenv.2022.157609","http://dx.doi.org/10.1016/j.scitotenv.2022.157609")</f>
        <v>http://dx.doi.org/10.1016/j.scitotenv.2022.157609</v>
      </c>
      <c r="L287" s="8"/>
      <c r="M287" s="8" t="s">
        <v>1185</v>
      </c>
    </row>
    <row r="288" spans="1:13" ht="15" x14ac:dyDescent="0.25">
      <c r="A288" s="7" t="s">
        <v>1419</v>
      </c>
      <c r="B288" s="8" t="s">
        <v>1418</v>
      </c>
      <c r="C288" s="8" t="s">
        <v>1417</v>
      </c>
      <c r="D288" s="8" t="s">
        <v>1416</v>
      </c>
      <c r="E288" s="8">
        <v>2016</v>
      </c>
      <c r="F288" s="8">
        <v>7</v>
      </c>
      <c r="G288" s="8">
        <v>4</v>
      </c>
      <c r="H288" s="9">
        <v>619</v>
      </c>
      <c r="I288" s="9">
        <v>625</v>
      </c>
      <c r="J288" s="8" t="s">
        <v>1186</v>
      </c>
      <c r="K288" s="8" t="str">
        <f>HYPERLINK("http://dx.doi.org/10.1016/j.apr.2016.02.002","http://dx.doi.org/10.1016/j.apr.2016.02.002")</f>
        <v>http://dx.doi.org/10.1016/j.apr.2016.02.002</v>
      </c>
      <c r="L288" s="8"/>
      <c r="M288" s="8" t="s">
        <v>1185</v>
      </c>
    </row>
    <row r="289" spans="1:13" ht="15" x14ac:dyDescent="0.25">
      <c r="A289" s="7" t="s">
        <v>1415</v>
      </c>
      <c r="B289" s="8" t="s">
        <v>1414</v>
      </c>
      <c r="C289" s="8" t="s">
        <v>1413</v>
      </c>
      <c r="D289" s="8" t="s">
        <v>1195</v>
      </c>
      <c r="E289" s="8">
        <v>2024</v>
      </c>
      <c r="F289" s="8">
        <v>465</v>
      </c>
      <c r="G289" s="8" t="s">
        <v>1186</v>
      </c>
      <c r="H289" s="9" t="s">
        <v>1186</v>
      </c>
      <c r="I289" s="9" t="s">
        <v>1186</v>
      </c>
      <c r="J289" s="8">
        <v>133170</v>
      </c>
      <c r="K289" s="8" t="str">
        <f>HYPERLINK("http://dx.doi.org/10.1016/j.jhazmat.2023.133170","http://dx.doi.org/10.1016/j.jhazmat.2023.133170")</f>
        <v>http://dx.doi.org/10.1016/j.jhazmat.2023.133170</v>
      </c>
      <c r="L289" s="8" t="s">
        <v>1185</v>
      </c>
      <c r="M289" s="8"/>
    </row>
    <row r="290" spans="1:13" ht="15" x14ac:dyDescent="0.25">
      <c r="A290" s="7" t="s">
        <v>1412</v>
      </c>
      <c r="B290" s="8" t="s">
        <v>1411</v>
      </c>
      <c r="C290" s="8" t="s">
        <v>1410</v>
      </c>
      <c r="D290" s="8" t="s">
        <v>1191</v>
      </c>
      <c r="E290" s="8">
        <v>2023</v>
      </c>
      <c r="F290" s="8">
        <v>173</v>
      </c>
      <c r="G290" s="8" t="s">
        <v>1186</v>
      </c>
      <c r="H290" s="9" t="s">
        <v>1186</v>
      </c>
      <c r="I290" s="9" t="s">
        <v>1186</v>
      </c>
      <c r="J290" s="8">
        <v>106051</v>
      </c>
      <c r="K290" s="8" t="str">
        <f>HYPERLINK("http://dx.doi.org/10.1016/j.jaap.2023.106051","http://dx.doi.org/10.1016/j.jaap.2023.106051")</f>
        <v>http://dx.doi.org/10.1016/j.jaap.2023.106051</v>
      </c>
      <c r="L290" s="8" t="s">
        <v>1185</v>
      </c>
      <c r="M290" s="8"/>
    </row>
    <row r="291" spans="1:13" ht="15" x14ac:dyDescent="0.25">
      <c r="A291" s="7" t="s">
        <v>1409</v>
      </c>
      <c r="B291" s="8" t="s">
        <v>1408</v>
      </c>
      <c r="C291" s="8" t="s">
        <v>1407</v>
      </c>
      <c r="D291" s="8" t="s">
        <v>1195</v>
      </c>
      <c r="E291" s="8">
        <v>2024</v>
      </c>
      <c r="F291" s="8">
        <v>469</v>
      </c>
      <c r="G291" s="8" t="s">
        <v>1186</v>
      </c>
      <c r="H291" s="9" t="s">
        <v>1186</v>
      </c>
      <c r="I291" s="9" t="s">
        <v>1186</v>
      </c>
      <c r="J291" s="8">
        <v>133981</v>
      </c>
      <c r="K291" s="8" t="str">
        <f>HYPERLINK("http://dx.doi.org/10.1016/j.jhazmat.2024.133981","http://dx.doi.org/10.1016/j.jhazmat.2024.133981")</f>
        <v>http://dx.doi.org/10.1016/j.jhazmat.2024.133981</v>
      </c>
      <c r="L291" s="8" t="s">
        <v>1185</v>
      </c>
      <c r="M291" s="8"/>
    </row>
    <row r="292" spans="1:13" ht="15" x14ac:dyDescent="0.25">
      <c r="A292" s="7" t="s">
        <v>313</v>
      </c>
      <c r="B292" s="8" t="s">
        <v>1406</v>
      </c>
      <c r="C292" s="8" t="s">
        <v>1405</v>
      </c>
      <c r="D292" s="8" t="s">
        <v>1214</v>
      </c>
      <c r="E292" s="8">
        <v>2024</v>
      </c>
      <c r="F292" s="8">
        <v>912</v>
      </c>
      <c r="G292" s="8" t="s">
        <v>1186</v>
      </c>
      <c r="H292" s="9" t="s">
        <v>1186</v>
      </c>
      <c r="I292" s="9" t="s">
        <v>1186</v>
      </c>
      <c r="J292" s="8">
        <v>168834</v>
      </c>
      <c r="K292" s="8" t="str">
        <f>HYPERLINK("http://dx.doi.org/10.1016/j.scitotenv.2023.168834","http://dx.doi.org/10.1016/j.scitotenv.2023.168834")</f>
        <v>http://dx.doi.org/10.1016/j.scitotenv.2023.168834</v>
      </c>
      <c r="L292" s="8"/>
      <c r="M292" s="8" t="s">
        <v>1185</v>
      </c>
    </row>
    <row r="293" spans="1:13" ht="15" x14ac:dyDescent="0.25">
      <c r="A293" s="7" t="s">
        <v>42</v>
      </c>
      <c r="B293" s="8" t="s">
        <v>1404</v>
      </c>
      <c r="C293" s="8" t="s">
        <v>1403</v>
      </c>
      <c r="D293" s="8" t="s">
        <v>1195</v>
      </c>
      <c r="E293" s="8">
        <v>2020</v>
      </c>
      <c r="F293" s="8">
        <v>400</v>
      </c>
      <c r="G293" s="8" t="s">
        <v>1186</v>
      </c>
      <c r="H293" s="9" t="s">
        <v>1186</v>
      </c>
      <c r="I293" s="9" t="s">
        <v>1186</v>
      </c>
      <c r="J293" s="8">
        <v>123223</v>
      </c>
      <c r="K293" s="8" t="str">
        <f>HYPERLINK("http://dx.doi.org/10.1016/j.jhazmat.2020.123223","http://dx.doi.org/10.1016/j.jhazmat.2020.123223")</f>
        <v>http://dx.doi.org/10.1016/j.jhazmat.2020.123223</v>
      </c>
      <c r="L293" s="8"/>
      <c r="M293" s="8" t="s">
        <v>1185</v>
      </c>
    </row>
    <row r="294" spans="1:13" ht="15" x14ac:dyDescent="0.25">
      <c r="A294" s="7" t="s">
        <v>1402</v>
      </c>
      <c r="B294" s="8" t="s">
        <v>1401</v>
      </c>
      <c r="C294" s="8" t="s">
        <v>1400</v>
      </c>
      <c r="D294" s="8" t="s">
        <v>1399</v>
      </c>
      <c r="E294" s="8">
        <v>2023</v>
      </c>
      <c r="F294" s="8">
        <v>59</v>
      </c>
      <c r="G294" s="8">
        <v>4</v>
      </c>
      <c r="H294" s="9">
        <v>4990</v>
      </c>
      <c r="I294" s="9">
        <v>4997</v>
      </c>
      <c r="J294" s="8" t="s">
        <v>1186</v>
      </c>
      <c r="K294" s="8" t="str">
        <f>HYPERLINK("http://dx.doi.org/10.1109/TIA.2023.3272872","http://dx.doi.org/10.1109/TIA.2023.3272872")</f>
        <v>http://dx.doi.org/10.1109/TIA.2023.3272872</v>
      </c>
      <c r="L294" s="8" t="s">
        <v>1185</v>
      </c>
      <c r="M294" s="8"/>
    </row>
    <row r="295" spans="1:13" ht="15" x14ac:dyDescent="0.25">
      <c r="A295" s="7" t="s">
        <v>1398</v>
      </c>
      <c r="B295" s="8" t="s">
        <v>1397</v>
      </c>
      <c r="C295" s="8" t="s">
        <v>1396</v>
      </c>
      <c r="D295" s="8" t="s">
        <v>1395</v>
      </c>
      <c r="E295" s="8">
        <v>2015</v>
      </c>
      <c r="F295" s="8">
        <v>60</v>
      </c>
      <c r="G295" s="8">
        <v>5</v>
      </c>
      <c r="H295" s="9">
        <v>929</v>
      </c>
      <c r="I295" s="9">
        <v>943</v>
      </c>
      <c r="J295" s="8" t="s">
        <v>1186</v>
      </c>
      <c r="K295" s="8" t="str">
        <f>HYPERLINK("http://dx.doi.org/10.1111/fwb.12547","http://dx.doi.org/10.1111/fwb.12547")</f>
        <v>http://dx.doi.org/10.1111/fwb.12547</v>
      </c>
      <c r="L295" s="8" t="s">
        <v>1185</v>
      </c>
      <c r="M295" s="8"/>
    </row>
    <row r="296" spans="1:13" ht="15" x14ac:dyDescent="0.25">
      <c r="A296" s="7" t="s">
        <v>894</v>
      </c>
      <c r="B296" s="8" t="s">
        <v>1394</v>
      </c>
      <c r="C296" s="8" t="s">
        <v>1393</v>
      </c>
      <c r="D296" s="8" t="s">
        <v>1392</v>
      </c>
      <c r="E296" s="8">
        <v>2022</v>
      </c>
      <c r="F296" s="8">
        <v>233</v>
      </c>
      <c r="G296" s="8">
        <v>5</v>
      </c>
      <c r="H296" s="9" t="s">
        <v>1186</v>
      </c>
      <c r="I296" s="9" t="s">
        <v>1186</v>
      </c>
      <c r="J296" s="8">
        <v>169</v>
      </c>
      <c r="K296" s="8" t="s">
        <v>2379</v>
      </c>
      <c r="L296" s="8"/>
      <c r="M296" s="8" t="s">
        <v>1185</v>
      </c>
    </row>
    <row r="297" spans="1:13" ht="15" x14ac:dyDescent="0.25">
      <c r="A297" s="7" t="s">
        <v>905</v>
      </c>
      <c r="B297" s="8" t="s">
        <v>1391</v>
      </c>
      <c r="C297" s="8" t="s">
        <v>1390</v>
      </c>
      <c r="D297" s="8" t="s">
        <v>1389</v>
      </c>
      <c r="E297" s="8">
        <v>2022</v>
      </c>
      <c r="F297" s="8">
        <v>14</v>
      </c>
      <c r="G297" s="8">
        <v>20</v>
      </c>
      <c r="H297" s="9" t="s">
        <v>1186</v>
      </c>
      <c r="I297" s="9" t="s">
        <v>1186</v>
      </c>
      <c r="J297" s="8">
        <v>13613</v>
      </c>
      <c r="K297" s="8" t="str">
        <f>HYPERLINK("http://dx.doi.org/10.3390/su142013613","http://dx.doi.org/10.3390/su142013613")</f>
        <v>http://dx.doi.org/10.3390/su142013613</v>
      </c>
      <c r="L297" s="8"/>
      <c r="M297" s="8" t="s">
        <v>1185</v>
      </c>
    </row>
    <row r="298" spans="1:13" ht="15" x14ac:dyDescent="0.25">
      <c r="A298" s="7" t="s">
        <v>912</v>
      </c>
      <c r="B298" s="8" t="s">
        <v>1388</v>
      </c>
      <c r="C298" s="8" t="s">
        <v>1387</v>
      </c>
      <c r="D298" s="8" t="s">
        <v>1386</v>
      </c>
      <c r="E298" s="8">
        <v>2017</v>
      </c>
      <c r="F298" s="8">
        <v>24</v>
      </c>
      <c r="G298" s="8">
        <v>32</v>
      </c>
      <c r="H298" s="9">
        <v>24928</v>
      </c>
      <c r="I298" s="9">
        <v>24935</v>
      </c>
      <c r="J298" s="8" t="s">
        <v>1186</v>
      </c>
      <c r="K298" s="8" t="str">
        <f>HYPERLINK("http://dx.doi.org/10.1007/s11356-017-0116-x","http://dx.doi.org/10.1007/s11356-017-0116-x")</f>
        <v>http://dx.doi.org/10.1007/s11356-017-0116-x</v>
      </c>
      <c r="L298" s="8"/>
      <c r="M298" s="8" t="s">
        <v>1185</v>
      </c>
    </row>
    <row r="299" spans="1:13" ht="15" x14ac:dyDescent="0.25">
      <c r="A299" s="7" t="s">
        <v>57</v>
      </c>
      <c r="B299" s="8" t="s">
        <v>1385</v>
      </c>
      <c r="C299" s="8" t="s">
        <v>1384</v>
      </c>
      <c r="D299" s="8" t="s">
        <v>1214</v>
      </c>
      <c r="E299" s="8">
        <v>2024</v>
      </c>
      <c r="F299" s="8">
        <v>908</v>
      </c>
      <c r="G299" s="8" t="s">
        <v>1186</v>
      </c>
      <c r="H299" s="9" t="s">
        <v>1186</v>
      </c>
      <c r="I299" s="9" t="s">
        <v>1186</v>
      </c>
      <c r="J299" s="8">
        <v>168235</v>
      </c>
      <c r="K299" s="8" t="str">
        <f>HYPERLINK("http://dx.doi.org/10.1016/j.scitotenv.2023.168235","http://dx.doi.org/10.1016/j.scitotenv.2023.168235")</f>
        <v>http://dx.doi.org/10.1016/j.scitotenv.2023.168235</v>
      </c>
      <c r="L299" s="8"/>
      <c r="M299" s="8" t="s">
        <v>1185</v>
      </c>
    </row>
    <row r="300" spans="1:13" ht="15" x14ac:dyDescent="0.25">
      <c r="A300" s="7" t="s">
        <v>1383</v>
      </c>
      <c r="B300" s="8" t="s">
        <v>1382</v>
      </c>
      <c r="C300" s="8" t="s">
        <v>1381</v>
      </c>
      <c r="D300" s="8" t="s">
        <v>1214</v>
      </c>
      <c r="E300" s="8">
        <v>2022</v>
      </c>
      <c r="F300" s="8">
        <v>838</v>
      </c>
      <c r="G300" s="8" t="s">
        <v>1186</v>
      </c>
      <c r="H300" s="9" t="s">
        <v>1186</v>
      </c>
      <c r="I300" s="9" t="s">
        <v>1186</v>
      </c>
      <c r="J300" s="8">
        <v>155989</v>
      </c>
      <c r="K300" s="8" t="str">
        <f>HYPERLINK("http://dx.doi.org/10.1016/j.scitotenv.2022.155989","http://dx.doi.org/10.1016/j.scitotenv.2022.155989")</f>
        <v>http://dx.doi.org/10.1016/j.scitotenv.2022.155989</v>
      </c>
      <c r="L300" s="8"/>
      <c r="M300" s="8" t="s">
        <v>1185</v>
      </c>
    </row>
    <row r="301" spans="1:13" ht="15" x14ac:dyDescent="0.25">
      <c r="A301" s="7" t="s">
        <v>1380</v>
      </c>
      <c r="B301" s="8" t="s">
        <v>1379</v>
      </c>
      <c r="C301" s="8" t="s">
        <v>1378</v>
      </c>
      <c r="D301" s="8" t="s">
        <v>1195</v>
      </c>
      <c r="E301" s="8">
        <v>2023</v>
      </c>
      <c r="F301" s="8">
        <v>441</v>
      </c>
      <c r="G301" s="8" t="s">
        <v>1186</v>
      </c>
      <c r="H301" s="9" t="s">
        <v>1186</v>
      </c>
      <c r="I301" s="9" t="s">
        <v>1186</v>
      </c>
      <c r="J301" s="8">
        <v>129942</v>
      </c>
      <c r="K301" s="8" t="str">
        <f>HYPERLINK("http://dx.doi.org/10.1016/j.jhazmat.2022.129942","http://dx.doi.org/10.1016/j.jhazmat.2022.129942")</f>
        <v>http://dx.doi.org/10.1016/j.jhazmat.2022.129942</v>
      </c>
      <c r="L301" s="8"/>
      <c r="M301" s="8" t="s">
        <v>1185</v>
      </c>
    </row>
    <row r="302" spans="1:13" ht="15" x14ac:dyDescent="0.25">
      <c r="A302" s="7" t="s">
        <v>1377</v>
      </c>
      <c r="B302" s="8" t="s">
        <v>1376</v>
      </c>
      <c r="C302" s="8" t="s">
        <v>1375</v>
      </c>
      <c r="D302" s="8" t="s">
        <v>1374</v>
      </c>
      <c r="E302" s="8">
        <v>2020</v>
      </c>
      <c r="F302" s="8">
        <v>10</v>
      </c>
      <c r="G302" s="8">
        <v>18</v>
      </c>
      <c r="H302" s="9" t="s">
        <v>1186</v>
      </c>
      <c r="I302" s="9" t="s">
        <v>1186</v>
      </c>
      <c r="J302" s="8">
        <v>6301</v>
      </c>
      <c r="K302" s="8" t="str">
        <f>HYPERLINK("http://dx.doi.org/10.3390/app10186301","http://dx.doi.org/10.3390/app10186301")</f>
        <v>http://dx.doi.org/10.3390/app10186301</v>
      </c>
      <c r="L302" s="8" t="s">
        <v>1185</v>
      </c>
      <c r="M302" s="8"/>
    </row>
    <row r="303" spans="1:13" ht="15" x14ac:dyDescent="0.25">
      <c r="A303" s="7" t="s">
        <v>1373</v>
      </c>
      <c r="B303" s="8" t="s">
        <v>1372</v>
      </c>
      <c r="C303" s="8" t="s">
        <v>1371</v>
      </c>
      <c r="D303" s="8" t="s">
        <v>1370</v>
      </c>
      <c r="E303" s="8">
        <v>2022</v>
      </c>
      <c r="F303" s="8">
        <v>294</v>
      </c>
      <c r="G303" s="8" t="s">
        <v>1186</v>
      </c>
      <c r="H303" s="9" t="s">
        <v>1186</v>
      </c>
      <c r="I303" s="9" t="s">
        <v>1186</v>
      </c>
      <c r="J303" s="8">
        <v>133734</v>
      </c>
      <c r="K303" s="8" t="str">
        <f>HYPERLINK("http://dx.doi.org/10.1016/j.chemosphere.2022.133734","http://dx.doi.org/10.1016/j.chemosphere.2022.133734")</f>
        <v>http://dx.doi.org/10.1016/j.chemosphere.2022.133734</v>
      </c>
      <c r="L303" s="8" t="s">
        <v>1185</v>
      </c>
      <c r="M303" s="8"/>
    </row>
    <row r="304" spans="1:13" ht="15" x14ac:dyDescent="0.25">
      <c r="A304" s="7" t="s">
        <v>1369</v>
      </c>
      <c r="B304" s="8" t="s">
        <v>1368</v>
      </c>
      <c r="C304" s="8" t="s">
        <v>1367</v>
      </c>
      <c r="D304" s="8" t="s">
        <v>1366</v>
      </c>
      <c r="E304" s="8">
        <v>2021</v>
      </c>
      <c r="F304" s="8">
        <v>3</v>
      </c>
      <c r="G304" s="8">
        <v>4</v>
      </c>
      <c r="H304" s="9">
        <v>217</v>
      </c>
      <c r="I304" s="9">
        <v>223</v>
      </c>
      <c r="J304" s="8" t="s">
        <v>1186</v>
      </c>
      <c r="K304" s="8" t="str">
        <f>HYPERLINK("http://dx.doi.org/10.1016/j.bsheal.2021.07.002","http://dx.doi.org/10.1016/j.bsheal.2021.07.002")</f>
        <v>http://dx.doi.org/10.1016/j.bsheal.2021.07.002</v>
      </c>
      <c r="L304" s="8" t="s">
        <v>1185</v>
      </c>
      <c r="M304" s="8"/>
    </row>
    <row r="305" spans="1:13" ht="15" x14ac:dyDescent="0.25">
      <c r="A305" s="7" t="s">
        <v>1365</v>
      </c>
      <c r="B305" s="8" t="s">
        <v>1364</v>
      </c>
      <c r="C305" s="8" t="s">
        <v>1363</v>
      </c>
      <c r="D305" s="8" t="s">
        <v>1362</v>
      </c>
      <c r="E305" s="8">
        <v>2022</v>
      </c>
      <c r="F305" s="8">
        <v>82</v>
      </c>
      <c r="G305" s="8" t="s">
        <v>1361</v>
      </c>
      <c r="H305" s="9">
        <v>107</v>
      </c>
      <c r="I305" s="9">
        <v>117</v>
      </c>
      <c r="J305" s="8" t="s">
        <v>1186</v>
      </c>
      <c r="K305" s="8" t="s">
        <v>1186</v>
      </c>
      <c r="L305" s="8"/>
      <c r="M305" s="8"/>
    </row>
    <row r="306" spans="1:13" ht="15" x14ac:dyDescent="0.25">
      <c r="A306" s="7" t="s">
        <v>1360</v>
      </c>
      <c r="B306" s="8" t="s">
        <v>1359</v>
      </c>
      <c r="C306" s="8" t="s">
        <v>1358</v>
      </c>
      <c r="D306" s="8" t="s">
        <v>1195</v>
      </c>
      <c r="E306" s="8">
        <v>2022</v>
      </c>
      <c r="F306" s="8">
        <v>432</v>
      </c>
      <c r="G306" s="8" t="s">
        <v>1186</v>
      </c>
      <c r="H306" s="9" t="s">
        <v>1186</v>
      </c>
      <c r="I306" s="9" t="s">
        <v>1186</v>
      </c>
      <c r="J306" s="8">
        <v>128585</v>
      </c>
      <c r="K306" s="8" t="str">
        <f>HYPERLINK("http://dx.doi.org/10.1016/j.jhazmat.2022.128585","http://dx.doi.org/10.1016/j.jhazmat.2022.128585")</f>
        <v>http://dx.doi.org/10.1016/j.jhazmat.2022.128585</v>
      </c>
      <c r="L306" s="8"/>
      <c r="M306" s="8" t="s">
        <v>1185</v>
      </c>
    </row>
    <row r="307" spans="1:13" ht="15" x14ac:dyDescent="0.25">
      <c r="A307" s="7" t="s">
        <v>1357</v>
      </c>
      <c r="B307" s="8" t="s">
        <v>1356</v>
      </c>
      <c r="C307" s="8" t="s">
        <v>1355</v>
      </c>
      <c r="D307" s="8" t="s">
        <v>1354</v>
      </c>
      <c r="E307" s="8">
        <v>2022</v>
      </c>
      <c r="F307" s="8">
        <v>168</v>
      </c>
      <c r="G307" s="8" t="s">
        <v>1186</v>
      </c>
      <c r="H307" s="9">
        <v>613</v>
      </c>
      <c r="I307" s="9">
        <v>623</v>
      </c>
      <c r="J307" s="8" t="s">
        <v>1186</v>
      </c>
      <c r="K307" s="8" t="str">
        <f>HYPERLINK("http://dx.doi.org/10.1016/j.psep.2022.09.060","http://dx.doi.org/10.1016/j.psep.2022.09.060")</f>
        <v>http://dx.doi.org/10.1016/j.psep.2022.09.060</v>
      </c>
      <c r="L307" s="8"/>
      <c r="M307" s="8" t="s">
        <v>1185</v>
      </c>
    </row>
    <row r="308" spans="1:13" ht="15" x14ac:dyDescent="0.25">
      <c r="A308" s="7" t="s">
        <v>920</v>
      </c>
      <c r="B308" s="8" t="s">
        <v>1353</v>
      </c>
      <c r="C308" s="8" t="s">
        <v>1352</v>
      </c>
      <c r="D308" s="8" t="s">
        <v>1247</v>
      </c>
      <c r="E308" s="8">
        <v>2022</v>
      </c>
      <c r="F308" s="8">
        <v>13</v>
      </c>
      <c r="G308" s="8">
        <v>2</v>
      </c>
      <c r="H308" s="9" t="s">
        <v>1186</v>
      </c>
      <c r="I308" s="9" t="s">
        <v>1186</v>
      </c>
      <c r="J308" s="8">
        <v>265</v>
      </c>
      <c r="K308" s="8" t="str">
        <f>HYPERLINK("http://dx.doi.org/10.3390/atmos13020265","http://dx.doi.org/10.3390/atmos13020265")</f>
        <v>http://dx.doi.org/10.3390/atmos13020265</v>
      </c>
      <c r="L308" s="8"/>
      <c r="M308" s="8" t="s">
        <v>1185</v>
      </c>
    </row>
    <row r="309" spans="1:13" ht="15" x14ac:dyDescent="0.25">
      <c r="A309" s="7" t="s">
        <v>927</v>
      </c>
      <c r="B309" s="8" t="s">
        <v>1351</v>
      </c>
      <c r="C309" s="8" t="s">
        <v>1350</v>
      </c>
      <c r="D309" s="8" t="s">
        <v>1214</v>
      </c>
      <c r="E309" s="8">
        <v>2023</v>
      </c>
      <c r="F309" s="8">
        <v>883</v>
      </c>
      <c r="G309" s="8" t="s">
        <v>1186</v>
      </c>
      <c r="H309" s="9" t="s">
        <v>1186</v>
      </c>
      <c r="I309" s="9" t="s">
        <v>1186</v>
      </c>
      <c r="J309" s="8">
        <v>163567</v>
      </c>
      <c r="K309" s="8" t="str">
        <f>HYPERLINK("http://dx.doi.org/10.1016/j.scitotenv.2023.163567","http://dx.doi.org/10.1016/j.scitotenv.2023.163567")</f>
        <v>http://dx.doi.org/10.1016/j.scitotenv.2023.163567</v>
      </c>
      <c r="L309" s="8"/>
      <c r="M309" s="8" t="s">
        <v>1185</v>
      </c>
    </row>
    <row r="310" spans="1:13" ht="15" x14ac:dyDescent="0.25">
      <c r="A310" s="7" t="s">
        <v>934</v>
      </c>
      <c r="B310" s="8" t="s">
        <v>1349</v>
      </c>
      <c r="C310" s="8" t="s">
        <v>1348</v>
      </c>
      <c r="D310" s="8" t="s">
        <v>1214</v>
      </c>
      <c r="E310" s="8">
        <v>2023</v>
      </c>
      <c r="F310" s="8">
        <v>869</v>
      </c>
      <c r="G310" s="8" t="s">
        <v>1186</v>
      </c>
      <c r="H310" s="9" t="s">
        <v>1186</v>
      </c>
      <c r="I310" s="9" t="s">
        <v>1186</v>
      </c>
      <c r="J310" s="8">
        <v>161839</v>
      </c>
      <c r="K310" s="8" t="str">
        <f>HYPERLINK("http://dx.doi.org/10.1016/j.scitotenv.2023.161839","http://dx.doi.org/10.1016/j.scitotenv.2023.161839")</f>
        <v>http://dx.doi.org/10.1016/j.scitotenv.2023.161839</v>
      </c>
      <c r="L310" s="8"/>
      <c r="M310" s="8" t="s">
        <v>1185</v>
      </c>
    </row>
    <row r="311" spans="1:13" ht="15" x14ac:dyDescent="0.25">
      <c r="A311" s="7" t="s">
        <v>937</v>
      </c>
      <c r="B311" s="8" t="s">
        <v>1347</v>
      </c>
      <c r="C311" s="8" t="s">
        <v>1346</v>
      </c>
      <c r="D311" s="8" t="s">
        <v>1251</v>
      </c>
      <c r="E311" s="8">
        <v>2024</v>
      </c>
      <c r="F311" s="8">
        <v>58</v>
      </c>
      <c r="G311" s="8">
        <v>8</v>
      </c>
      <c r="H311" s="9">
        <v>3702</v>
      </c>
      <c r="I311" s="9">
        <v>3713</v>
      </c>
      <c r="J311" s="8" t="s">
        <v>1186</v>
      </c>
      <c r="K311" s="8" t="str">
        <f>HYPERLINK("http://dx.doi.org/10.1021/acs.est.3c09271","http://dx.doi.org/10.1021/acs.est.3c09271")</f>
        <v>http://dx.doi.org/10.1021/acs.est.3c09271</v>
      </c>
      <c r="L311" s="8"/>
      <c r="M311" s="8" t="s">
        <v>1185</v>
      </c>
    </row>
    <row r="312" spans="1:13" ht="15" x14ac:dyDescent="0.25">
      <c r="A312" s="7" t="s">
        <v>1345</v>
      </c>
      <c r="B312" s="8" t="s">
        <v>1344</v>
      </c>
      <c r="C312" s="8" t="s">
        <v>1343</v>
      </c>
      <c r="D312" s="8" t="s">
        <v>1251</v>
      </c>
      <c r="E312" s="8">
        <v>2021</v>
      </c>
      <c r="F312" s="8">
        <v>55</v>
      </c>
      <c r="G312" s="8">
        <v>19</v>
      </c>
      <c r="H312" s="9">
        <v>12951</v>
      </c>
      <c r="I312" s="9">
        <v>12960</v>
      </c>
      <c r="J312" s="8" t="s">
        <v>1186</v>
      </c>
      <c r="K312" s="8" t="str">
        <f>HYPERLINK("http://dx.doi.org/10.1021/acs.est.1c03227","http://dx.doi.org/10.1021/acs.est.1c03227")</f>
        <v>http://dx.doi.org/10.1021/acs.est.1c03227</v>
      </c>
      <c r="L312" s="8"/>
      <c r="M312" s="8" t="s">
        <v>1185</v>
      </c>
    </row>
    <row r="313" spans="1:13" ht="15" x14ac:dyDescent="0.25">
      <c r="A313" s="7" t="s">
        <v>1342</v>
      </c>
      <c r="B313" s="8" t="s">
        <v>1341</v>
      </c>
      <c r="C313" s="8" t="s">
        <v>1340</v>
      </c>
      <c r="D313" s="8" t="s">
        <v>1214</v>
      </c>
      <c r="E313" s="8">
        <v>2023</v>
      </c>
      <c r="F313" s="8">
        <v>856</v>
      </c>
      <c r="G313" s="8" t="s">
        <v>1186</v>
      </c>
      <c r="H313" s="9" t="s">
        <v>1186</v>
      </c>
      <c r="I313" s="9" t="s">
        <v>1186</v>
      </c>
      <c r="J313" s="8">
        <v>159041</v>
      </c>
      <c r="K313" s="8" t="str">
        <f>HYPERLINK("http://dx.doi.org/10.1016/j.scitotenv.2022.159041","http://dx.doi.org/10.1016/j.scitotenv.2022.159041")</f>
        <v>http://dx.doi.org/10.1016/j.scitotenv.2022.159041</v>
      </c>
      <c r="L313" s="8"/>
      <c r="M313" s="8" t="s">
        <v>1185</v>
      </c>
    </row>
    <row r="314" spans="1:13" ht="15" x14ac:dyDescent="0.25">
      <c r="A314" s="7" t="s">
        <v>1339</v>
      </c>
      <c r="B314" s="8" t="s">
        <v>1338</v>
      </c>
      <c r="C314" s="8" t="s">
        <v>1337</v>
      </c>
      <c r="D314" s="8" t="s">
        <v>1336</v>
      </c>
      <c r="E314" s="8">
        <v>2017</v>
      </c>
      <c r="F314" s="8">
        <v>7</v>
      </c>
      <c r="G314" s="8" t="s">
        <v>1186</v>
      </c>
      <c r="H314" s="9" t="s">
        <v>1186</v>
      </c>
      <c r="I314" s="9" t="s">
        <v>1186</v>
      </c>
      <c r="J314" s="8">
        <v>5424</v>
      </c>
      <c r="K314" s="8" t="str">
        <f>HYPERLINK("http://dx.doi.org/10.1038/s41598-017-05838-4","http://dx.doi.org/10.1038/s41598-017-05838-4")</f>
        <v>http://dx.doi.org/10.1038/s41598-017-05838-4</v>
      </c>
      <c r="L314" s="8" t="s">
        <v>1185</v>
      </c>
      <c r="M314" s="8"/>
    </row>
    <row r="315" spans="1:13" ht="15" x14ac:dyDescent="0.25">
      <c r="A315" s="7" t="s">
        <v>1335</v>
      </c>
      <c r="B315" s="8" t="s">
        <v>1334</v>
      </c>
      <c r="C315" s="8" t="s">
        <v>1333</v>
      </c>
      <c r="D315" s="8" t="s">
        <v>1332</v>
      </c>
      <c r="E315" s="8">
        <v>2020</v>
      </c>
      <c r="F315" s="8">
        <v>9</v>
      </c>
      <c r="G315" s="8">
        <v>7</v>
      </c>
      <c r="H315" s="9" t="s">
        <v>1186</v>
      </c>
      <c r="I315" s="9" t="s">
        <v>1186</v>
      </c>
      <c r="J315" s="8">
        <v>941</v>
      </c>
      <c r="K315" s="8" t="str">
        <f>HYPERLINK("http://dx.doi.org/10.3390/foods9070941","http://dx.doi.org/10.3390/foods9070941")</f>
        <v>http://dx.doi.org/10.3390/foods9070941</v>
      </c>
      <c r="L315" s="8" t="s">
        <v>1185</v>
      </c>
      <c r="M315" s="8"/>
    </row>
    <row r="316" spans="1:13" ht="15" x14ac:dyDescent="0.25">
      <c r="A316" s="7" t="s">
        <v>68</v>
      </c>
      <c r="B316" s="8" t="s">
        <v>1331</v>
      </c>
      <c r="C316" s="8" t="s">
        <v>1330</v>
      </c>
      <c r="D316" s="8" t="s">
        <v>1251</v>
      </c>
      <c r="E316" s="8">
        <v>2022</v>
      </c>
      <c r="F316" s="8" t="s">
        <v>1186</v>
      </c>
      <c r="G316" s="8" t="s">
        <v>1186</v>
      </c>
      <c r="H316" s="9" t="s">
        <v>1186</v>
      </c>
      <c r="I316" s="9" t="s">
        <v>1186</v>
      </c>
      <c r="J316" s="8" t="s">
        <v>1186</v>
      </c>
      <c r="K316" s="8" t="str">
        <f>HYPERLINK("http://dx.doi.org/10.1021/acs.est.2c05885","http://dx.doi.org/10.1021/acs.est.2c05885")</f>
        <v>http://dx.doi.org/10.1021/acs.est.2c05885</v>
      </c>
      <c r="L316" s="8"/>
      <c r="M316" s="8" t="s">
        <v>1185</v>
      </c>
    </row>
    <row r="317" spans="1:13" ht="15" x14ac:dyDescent="0.25">
      <c r="A317" s="7" t="s">
        <v>944</v>
      </c>
      <c r="B317" s="8" t="s">
        <v>1329</v>
      </c>
      <c r="C317" s="8" t="s">
        <v>1328</v>
      </c>
      <c r="D317" s="8" t="s">
        <v>1214</v>
      </c>
      <c r="E317" s="8">
        <v>2023</v>
      </c>
      <c r="F317" s="8">
        <v>901</v>
      </c>
      <c r="G317" s="8" t="s">
        <v>1186</v>
      </c>
      <c r="H317" s="9" t="s">
        <v>1186</v>
      </c>
      <c r="I317" s="9" t="s">
        <v>1186</v>
      </c>
      <c r="J317" s="8">
        <v>166040</v>
      </c>
      <c r="K317" s="8" t="str">
        <f>HYPERLINK("http://dx.doi.org/10.1016/j.scitotenv.2023.166040","http://dx.doi.org/10.1016/j.scitotenv.2023.166040")</f>
        <v>http://dx.doi.org/10.1016/j.scitotenv.2023.166040</v>
      </c>
      <c r="L317" s="8"/>
      <c r="M317" s="8" t="s">
        <v>1185</v>
      </c>
    </row>
    <row r="318" spans="1:13" ht="15" x14ac:dyDescent="0.25">
      <c r="A318" s="7" t="s">
        <v>1327</v>
      </c>
      <c r="B318" s="8" t="s">
        <v>1326</v>
      </c>
      <c r="C318" s="8" t="s">
        <v>1325</v>
      </c>
      <c r="D318" s="8" t="s">
        <v>1324</v>
      </c>
      <c r="E318" s="8">
        <v>2023</v>
      </c>
      <c r="F318" s="8">
        <v>95</v>
      </c>
      <c r="G318" s="8">
        <v>22</v>
      </c>
      <c r="H318" s="9">
        <v>8552</v>
      </c>
      <c r="I318" s="9">
        <v>8559</v>
      </c>
      <c r="J318" s="8" t="s">
        <v>1186</v>
      </c>
      <c r="K318" s="8" t="str">
        <f>HYPERLINK("http://dx.doi.org/10.1021/acs.analchem.3c00581","http://dx.doi.org/10.1021/acs.analchem.3c00581")</f>
        <v>http://dx.doi.org/10.1021/acs.analchem.3c00581</v>
      </c>
      <c r="L318" s="8"/>
      <c r="M318" s="8" t="s">
        <v>1185</v>
      </c>
    </row>
    <row r="319" spans="1:13" ht="15" x14ac:dyDescent="0.25">
      <c r="A319" s="7" t="s">
        <v>1323</v>
      </c>
      <c r="B319" s="8" t="s">
        <v>1322</v>
      </c>
      <c r="C319" s="8" t="s">
        <v>1321</v>
      </c>
      <c r="D319" s="8" t="s">
        <v>1320</v>
      </c>
      <c r="E319" s="8">
        <v>2023</v>
      </c>
      <c r="F319" s="8">
        <v>38</v>
      </c>
      <c r="G319" s="8">
        <v>2</v>
      </c>
      <c r="H319" s="9">
        <v>276</v>
      </c>
      <c r="I319" s="9">
        <v>280</v>
      </c>
      <c r="J319" s="8" t="s">
        <v>1186</v>
      </c>
      <c r="K319" s="8" t="str">
        <f>HYPERLINK("http://dx.doi.org/10.1039/d2ja00308b","http://dx.doi.org/10.1039/d2ja00308b")</f>
        <v>http://dx.doi.org/10.1039/d2ja00308b</v>
      </c>
      <c r="L319" s="8" t="s">
        <v>1185</v>
      </c>
      <c r="M319" s="8"/>
    </row>
    <row r="320" spans="1:13" ht="15" x14ac:dyDescent="0.25">
      <c r="A320" s="7" t="s">
        <v>976</v>
      </c>
      <c r="B320" s="8" t="s">
        <v>1319</v>
      </c>
      <c r="C320" s="8" t="s">
        <v>1318</v>
      </c>
      <c r="D320" s="8" t="s">
        <v>1195</v>
      </c>
      <c r="E320" s="8">
        <v>2024</v>
      </c>
      <c r="F320" s="8">
        <v>463</v>
      </c>
      <c r="G320" s="8" t="s">
        <v>1186</v>
      </c>
      <c r="H320" s="9" t="s">
        <v>1186</v>
      </c>
      <c r="I320" s="9" t="s">
        <v>1186</v>
      </c>
      <c r="J320" s="8">
        <v>132860</v>
      </c>
      <c r="K320" s="8" t="str">
        <f>HYPERLINK("http://dx.doi.org/10.1016/j.jhazmat.2023.132860","http://dx.doi.org/10.1016/j.jhazmat.2023.132860")</f>
        <v>http://dx.doi.org/10.1016/j.jhazmat.2023.132860</v>
      </c>
      <c r="L320" s="8"/>
      <c r="M320" s="8" t="s">
        <v>1185</v>
      </c>
    </row>
    <row r="321" spans="1:13" ht="15" x14ac:dyDescent="0.25">
      <c r="A321" s="7" t="s">
        <v>1317</v>
      </c>
      <c r="B321" s="8" t="s">
        <v>1316</v>
      </c>
      <c r="C321" s="8" t="s">
        <v>1315</v>
      </c>
      <c r="D321" s="8" t="s">
        <v>1236</v>
      </c>
      <c r="E321" s="8">
        <v>2020</v>
      </c>
      <c r="F321" s="8">
        <v>7</v>
      </c>
      <c r="G321" s="8" t="s">
        <v>1186</v>
      </c>
      <c r="H321" s="9" t="s">
        <v>1186</v>
      </c>
      <c r="I321" s="9" t="s">
        <v>1186</v>
      </c>
      <c r="J321" s="8">
        <v>100732</v>
      </c>
      <c r="K321" s="8" t="str">
        <f>HYPERLINK("http://dx.doi.org/10.1016/j.mex.2019.11.006","http://dx.doi.org/10.1016/j.mex.2019.11.006")</f>
        <v>http://dx.doi.org/10.1016/j.mex.2019.11.006</v>
      </c>
      <c r="L321" s="8" t="s">
        <v>1185</v>
      </c>
      <c r="M321" s="8"/>
    </row>
    <row r="322" spans="1:13" ht="15" x14ac:dyDescent="0.25">
      <c r="A322" s="7" t="s">
        <v>1314</v>
      </c>
      <c r="B322" s="8" t="s">
        <v>1313</v>
      </c>
      <c r="C322" s="8" t="s">
        <v>1312</v>
      </c>
      <c r="D322" s="8" t="s">
        <v>1207</v>
      </c>
      <c r="E322" s="8">
        <v>2024</v>
      </c>
      <c r="F322" s="8">
        <v>242</v>
      </c>
      <c r="G322" s="8" t="s">
        <v>1186</v>
      </c>
      <c r="H322" s="9" t="s">
        <v>1186</v>
      </c>
      <c r="I322" s="9" t="s">
        <v>1186</v>
      </c>
      <c r="J322" s="8">
        <v>117760</v>
      </c>
      <c r="K322" s="8" t="str">
        <f>HYPERLINK("http://dx.doi.org/10.1016/j.envres.2023.117760","http://dx.doi.org/10.1016/j.envres.2023.117760")</f>
        <v>http://dx.doi.org/10.1016/j.envres.2023.117760</v>
      </c>
      <c r="L322" s="8" t="s">
        <v>1185</v>
      </c>
      <c r="M322" s="8"/>
    </row>
    <row r="323" spans="1:13" ht="15" x14ac:dyDescent="0.25">
      <c r="A323" s="7" t="s">
        <v>1311</v>
      </c>
      <c r="B323" s="8" t="s">
        <v>1310</v>
      </c>
      <c r="C323" s="8" t="s">
        <v>1309</v>
      </c>
      <c r="D323" s="8" t="s">
        <v>1233</v>
      </c>
      <c r="E323" s="8">
        <v>2022</v>
      </c>
      <c r="F323" s="8">
        <v>292</v>
      </c>
      <c r="G323" s="8" t="s">
        <v>1186</v>
      </c>
      <c r="H323" s="9" t="s">
        <v>1186</v>
      </c>
      <c r="I323" s="9" t="s">
        <v>1186</v>
      </c>
      <c r="J323" s="8">
        <v>118299</v>
      </c>
      <c r="K323" s="8" t="str">
        <f>HYPERLINK("http://dx.doi.org/10.1016/j.envpol.2021.118299","http://dx.doi.org/10.1016/j.envpol.2021.118299")</f>
        <v>http://dx.doi.org/10.1016/j.envpol.2021.118299</v>
      </c>
      <c r="L323" s="8" t="s">
        <v>1185</v>
      </c>
      <c r="M323" s="8"/>
    </row>
    <row r="324" spans="1:13" ht="15" x14ac:dyDescent="0.25">
      <c r="A324" s="7" t="s">
        <v>1308</v>
      </c>
      <c r="B324" s="8" t="s">
        <v>1307</v>
      </c>
      <c r="C324" s="8" t="s">
        <v>1306</v>
      </c>
      <c r="D324" s="8" t="s">
        <v>1191</v>
      </c>
      <c r="E324" s="8">
        <v>2023</v>
      </c>
      <c r="F324" s="8">
        <v>170</v>
      </c>
      <c r="G324" s="8" t="s">
        <v>1186</v>
      </c>
      <c r="H324" s="9" t="s">
        <v>1186</v>
      </c>
      <c r="I324" s="9" t="s">
        <v>1186</v>
      </c>
      <c r="J324" s="8">
        <v>105903</v>
      </c>
      <c r="K324" s="8" t="str">
        <f>HYPERLINK("http://dx.doi.org/10.1016/j.jaap.2023.105903","http://dx.doi.org/10.1016/j.jaap.2023.105903")</f>
        <v>http://dx.doi.org/10.1016/j.jaap.2023.105903</v>
      </c>
      <c r="L324" s="8" t="s">
        <v>1185</v>
      </c>
      <c r="M324" s="8"/>
    </row>
    <row r="325" spans="1:13" ht="15" x14ac:dyDescent="0.25">
      <c r="A325" s="7" t="s">
        <v>1305</v>
      </c>
      <c r="B325" s="8" t="s">
        <v>1304</v>
      </c>
      <c r="C325" s="8" t="s">
        <v>1303</v>
      </c>
      <c r="D325" s="8" t="s">
        <v>1251</v>
      </c>
      <c r="E325" s="8">
        <v>2023</v>
      </c>
      <c r="F325" s="8">
        <v>57</v>
      </c>
      <c r="G325" s="8">
        <v>43</v>
      </c>
      <c r="H325" s="9">
        <v>16541</v>
      </c>
      <c r="I325" s="9">
        <v>16551</v>
      </c>
      <c r="J325" s="8" t="s">
        <v>1186</v>
      </c>
      <c r="K325" s="8" t="str">
        <f>HYPERLINK("http://dx.doi.org/10.1021/acs.est.3c05002","http://dx.doi.org/10.1021/acs.est.3c05002")</f>
        <v>http://dx.doi.org/10.1021/acs.est.3c05002</v>
      </c>
      <c r="L325" s="8"/>
      <c r="M325" s="8" t="s">
        <v>1185</v>
      </c>
    </row>
    <row r="326" spans="1:13" ht="15" x14ac:dyDescent="0.25">
      <c r="A326" s="7" t="s">
        <v>1302</v>
      </c>
      <c r="B326" s="8" t="s">
        <v>1301</v>
      </c>
      <c r="C326" s="8" t="s">
        <v>1300</v>
      </c>
      <c r="D326" s="8" t="s">
        <v>1233</v>
      </c>
      <c r="E326" s="8">
        <v>2022</v>
      </c>
      <c r="F326" s="8">
        <v>310</v>
      </c>
      <c r="G326" s="8" t="s">
        <v>1186</v>
      </c>
      <c r="H326" s="9" t="s">
        <v>1186</v>
      </c>
      <c r="I326" s="9" t="s">
        <v>1186</v>
      </c>
      <c r="J326" s="8">
        <v>119895</v>
      </c>
      <c r="K326" s="8" t="str">
        <f>HYPERLINK("http://dx.doi.org/10.1016/j.envpol.2022.119895","http://dx.doi.org/10.1016/j.envpol.2022.119895")</f>
        <v>http://dx.doi.org/10.1016/j.envpol.2022.119895</v>
      </c>
      <c r="L326" s="8" t="s">
        <v>1185</v>
      </c>
      <c r="M326" s="8"/>
    </row>
    <row r="327" spans="1:13" ht="15" x14ac:dyDescent="0.25">
      <c r="A327" s="7" t="s">
        <v>1299</v>
      </c>
      <c r="B327" s="8" t="s">
        <v>1298</v>
      </c>
      <c r="C327" s="8" t="s">
        <v>1297</v>
      </c>
      <c r="D327" s="8" t="s">
        <v>1214</v>
      </c>
      <c r="E327" s="8">
        <v>2024</v>
      </c>
      <c r="F327" s="8">
        <v>921</v>
      </c>
      <c r="G327" s="8" t="s">
        <v>1186</v>
      </c>
      <c r="H327" s="9" t="s">
        <v>1186</v>
      </c>
      <c r="I327" s="9" t="s">
        <v>1186</v>
      </c>
      <c r="J327" s="8">
        <v>171127</v>
      </c>
      <c r="K327" s="8" t="str">
        <f>HYPERLINK("http://dx.doi.org/10.1016/j.scitotenv.2024.171127","http://dx.doi.org/10.1016/j.scitotenv.2024.171127")</f>
        <v>http://dx.doi.org/10.1016/j.scitotenv.2024.171127</v>
      </c>
      <c r="L327" s="8" t="s">
        <v>1185</v>
      </c>
      <c r="M327" s="8"/>
    </row>
    <row r="328" spans="1:13" ht="15" x14ac:dyDescent="0.25">
      <c r="A328" s="7" t="s">
        <v>1296</v>
      </c>
      <c r="B328" s="8" t="s">
        <v>1295</v>
      </c>
      <c r="C328" s="8" t="s">
        <v>1294</v>
      </c>
      <c r="D328" s="8" t="s">
        <v>1233</v>
      </c>
      <c r="E328" s="8">
        <v>2023</v>
      </c>
      <c r="F328" s="8">
        <v>322</v>
      </c>
      <c r="G328" s="8" t="s">
        <v>1186</v>
      </c>
      <c r="H328" s="9" t="s">
        <v>1186</v>
      </c>
      <c r="I328" s="9" t="s">
        <v>1186</v>
      </c>
      <c r="J328" s="8">
        <v>121157</v>
      </c>
      <c r="K328" s="8" t="str">
        <f>HYPERLINK("http://dx.doi.org/10.1016/j.envpol.2023.121157","http://dx.doi.org/10.1016/j.envpol.2023.121157")</f>
        <v>http://dx.doi.org/10.1016/j.envpol.2023.121157</v>
      </c>
      <c r="L328" s="8" t="s">
        <v>1185</v>
      </c>
      <c r="M328" s="8"/>
    </row>
    <row r="329" spans="1:13" ht="15" x14ac:dyDescent="0.25">
      <c r="A329" s="7" t="s">
        <v>1293</v>
      </c>
      <c r="B329" s="8" t="s">
        <v>1292</v>
      </c>
      <c r="C329" s="8" t="s">
        <v>1291</v>
      </c>
      <c r="D329" s="8" t="s">
        <v>1290</v>
      </c>
      <c r="E329" s="8">
        <v>2023</v>
      </c>
      <c r="F329" s="8">
        <v>6</v>
      </c>
      <c r="G329" s="8">
        <v>6</v>
      </c>
      <c r="H329" s="9">
        <v>705</v>
      </c>
      <c r="I329" s="9">
        <v>714</v>
      </c>
      <c r="J329" s="8" t="s">
        <v>1186</v>
      </c>
      <c r="K329" s="8" t="str">
        <f>HYPERLINK("http://dx.doi.org/10.1016/j.oneear.2023.05.012","http://dx.doi.org/10.1016/j.oneear.2023.05.012")</f>
        <v>http://dx.doi.org/10.1016/j.oneear.2023.05.012</v>
      </c>
      <c r="L329" s="8" t="s">
        <v>1185</v>
      </c>
      <c r="M329" s="8"/>
    </row>
    <row r="330" spans="1:13" ht="15" x14ac:dyDescent="0.25">
      <c r="A330" s="7" t="s">
        <v>1289</v>
      </c>
      <c r="B330" s="8" t="s">
        <v>1288</v>
      </c>
      <c r="C330" s="8" t="s">
        <v>1287</v>
      </c>
      <c r="D330" s="8" t="s">
        <v>1286</v>
      </c>
      <c r="E330" s="8">
        <v>2022</v>
      </c>
      <c r="F330" s="8">
        <v>36</v>
      </c>
      <c r="G330" s="8">
        <v>23</v>
      </c>
      <c r="H330" s="9" t="s">
        <v>1186</v>
      </c>
      <c r="I330" s="9" t="s">
        <v>1186</v>
      </c>
      <c r="J330" s="8" t="s">
        <v>1285</v>
      </c>
      <c r="K330" s="8" t="str">
        <f>HYPERLINK("http://dx.doi.org/10.1002/rcm.9394","http://dx.doi.org/10.1002/rcm.9394")</f>
        <v>http://dx.doi.org/10.1002/rcm.9394</v>
      </c>
      <c r="L330" s="8" t="s">
        <v>1185</v>
      </c>
      <c r="M330" s="8"/>
    </row>
    <row r="331" spans="1:13" ht="15" x14ac:dyDescent="0.25">
      <c r="A331" s="7" t="s">
        <v>1284</v>
      </c>
      <c r="B331" s="8" t="s">
        <v>1283</v>
      </c>
      <c r="C331" s="8" t="s">
        <v>1282</v>
      </c>
      <c r="D331" s="8" t="s">
        <v>1214</v>
      </c>
      <c r="E331" s="8">
        <v>2023</v>
      </c>
      <c r="F331" s="8">
        <v>857</v>
      </c>
      <c r="G331" s="8" t="s">
        <v>1186</v>
      </c>
      <c r="H331" s="9" t="s">
        <v>1186</v>
      </c>
      <c r="I331" s="9" t="s">
        <v>1186</v>
      </c>
      <c r="J331" s="8">
        <v>159624</v>
      </c>
      <c r="K331" s="8" t="str">
        <f>HYPERLINK("http://dx.doi.org/10.1016/j.scitotenv.2022.159624","http://dx.doi.org/10.1016/j.scitotenv.2022.159624")</f>
        <v>http://dx.doi.org/10.1016/j.scitotenv.2022.159624</v>
      </c>
      <c r="L331" s="8" t="s">
        <v>1185</v>
      </c>
      <c r="M331" s="8"/>
    </row>
    <row r="332" spans="1:13" ht="15" x14ac:dyDescent="0.25">
      <c r="A332" s="7" t="s">
        <v>979</v>
      </c>
      <c r="B332" s="8" t="s">
        <v>1281</v>
      </c>
      <c r="C332" s="8" t="s">
        <v>1280</v>
      </c>
      <c r="D332" s="8" t="s">
        <v>1233</v>
      </c>
      <c r="E332" s="8">
        <v>2024</v>
      </c>
      <c r="F332" s="8">
        <v>346</v>
      </c>
      <c r="G332" s="8" t="s">
        <v>1186</v>
      </c>
      <c r="H332" s="9" t="s">
        <v>1186</v>
      </c>
      <c r="I332" s="9" t="s">
        <v>1186</v>
      </c>
      <c r="J332" s="8">
        <v>123543</v>
      </c>
      <c r="K332" s="8" t="str">
        <f>HYPERLINK("http://dx.doi.org/10.1016/j.envpol.2024.123543","http://dx.doi.org/10.1016/j.envpol.2024.123543")</f>
        <v>http://dx.doi.org/10.1016/j.envpol.2024.123543</v>
      </c>
      <c r="L332" s="8"/>
      <c r="M332" s="8" t="s">
        <v>1185</v>
      </c>
    </row>
    <row r="333" spans="1:13" ht="15" x14ac:dyDescent="0.25">
      <c r="A333" s="7" t="s">
        <v>1279</v>
      </c>
      <c r="B333" s="8" t="s">
        <v>1278</v>
      </c>
      <c r="C333" s="8" t="s">
        <v>1277</v>
      </c>
      <c r="D333" s="8" t="s">
        <v>1207</v>
      </c>
      <c r="E333" s="8">
        <v>2022</v>
      </c>
      <c r="F333" s="8">
        <v>214</v>
      </c>
      <c r="G333" s="8" t="s">
        <v>1186</v>
      </c>
      <c r="H333" s="9" t="s">
        <v>1186</v>
      </c>
      <c r="I333" s="9" t="s">
        <v>1186</v>
      </c>
      <c r="J333" s="8">
        <v>113735</v>
      </c>
      <c r="K333" s="8" t="str">
        <f>HYPERLINK("http://dx.doi.org/10.1016/j.envres.2022.113735","http://dx.doi.org/10.1016/j.envres.2022.113735")</f>
        <v>http://dx.doi.org/10.1016/j.envres.2022.113735</v>
      </c>
      <c r="L333" s="8"/>
      <c r="M333" s="8" t="s">
        <v>1185</v>
      </c>
    </row>
    <row r="334" spans="1:13" ht="15" x14ac:dyDescent="0.25">
      <c r="A334" s="7" t="s">
        <v>1276</v>
      </c>
      <c r="B334" s="8" t="s">
        <v>1275</v>
      </c>
      <c r="C334" s="8" t="s">
        <v>1274</v>
      </c>
      <c r="D334" s="8" t="s">
        <v>1214</v>
      </c>
      <c r="E334" s="8">
        <v>2022</v>
      </c>
      <c r="F334" s="8">
        <v>819</v>
      </c>
      <c r="G334" s="8" t="s">
        <v>1186</v>
      </c>
      <c r="H334" s="9" t="s">
        <v>1186</v>
      </c>
      <c r="I334" s="9" t="s">
        <v>1186</v>
      </c>
      <c r="J334" s="8">
        <v>152051</v>
      </c>
      <c r="K334" s="8" t="str">
        <f>HYPERLINK("http://dx.doi.org/10.1016/j.scitotenv.2021.152051","http://dx.doi.org/10.1016/j.scitotenv.2021.152051")</f>
        <v>http://dx.doi.org/10.1016/j.scitotenv.2021.152051</v>
      </c>
      <c r="L334" s="8"/>
      <c r="M334" s="8" t="s">
        <v>1185</v>
      </c>
    </row>
    <row r="335" spans="1:13" ht="15" x14ac:dyDescent="0.25">
      <c r="A335" s="7" t="s">
        <v>1273</v>
      </c>
      <c r="B335" s="8" t="s">
        <v>1272</v>
      </c>
      <c r="C335" s="8" t="s">
        <v>1271</v>
      </c>
      <c r="D335" s="8" t="s">
        <v>1270</v>
      </c>
      <c r="E335" s="8">
        <v>2023</v>
      </c>
      <c r="F335" s="8">
        <v>28</v>
      </c>
      <c r="G335" s="8">
        <v>3</v>
      </c>
      <c r="H335" s="9" t="s">
        <v>1186</v>
      </c>
      <c r="I335" s="9" t="s">
        <v>1186</v>
      </c>
      <c r="J335" s="8">
        <v>1042</v>
      </c>
      <c r="K335" s="8" t="str">
        <f>HYPERLINK("http://dx.doi.org/10.3390/molecules28031042","http://dx.doi.org/10.3390/molecules28031042")</f>
        <v>http://dx.doi.org/10.3390/molecules28031042</v>
      </c>
      <c r="L335" s="8" t="s">
        <v>1185</v>
      </c>
      <c r="M335" s="8"/>
    </row>
    <row r="336" spans="1:13" ht="15" x14ac:dyDescent="0.25">
      <c r="A336" s="7" t="s">
        <v>115</v>
      </c>
      <c r="B336" s="8" t="s">
        <v>1269</v>
      </c>
      <c r="C336" s="8" t="s">
        <v>1268</v>
      </c>
      <c r="D336" s="8" t="s">
        <v>1214</v>
      </c>
      <c r="E336" s="8">
        <v>2023</v>
      </c>
      <c r="F336" s="8">
        <v>901</v>
      </c>
      <c r="G336" s="8" t="s">
        <v>1186</v>
      </c>
      <c r="H336" s="9" t="s">
        <v>1186</v>
      </c>
      <c r="I336" s="9" t="s">
        <v>1186</v>
      </c>
      <c r="J336" s="8">
        <v>166640</v>
      </c>
      <c r="K336" s="8" t="str">
        <f>HYPERLINK("http://dx.doi.org/10.1016/j.scitotenv.2023.166640","http://dx.doi.org/10.1016/j.scitotenv.2023.166640")</f>
        <v>http://dx.doi.org/10.1016/j.scitotenv.2023.166640</v>
      </c>
      <c r="L336" s="8"/>
      <c r="M336" s="8" t="s">
        <v>1185</v>
      </c>
    </row>
    <row r="337" spans="1:13" ht="15" x14ac:dyDescent="0.25">
      <c r="A337" s="7" t="s">
        <v>1267</v>
      </c>
      <c r="B337" s="8" t="s">
        <v>1266</v>
      </c>
      <c r="C337" s="8" t="s">
        <v>1265</v>
      </c>
      <c r="D337" s="8" t="s">
        <v>1214</v>
      </c>
      <c r="E337" s="8">
        <v>2022</v>
      </c>
      <c r="F337" s="8">
        <v>806</v>
      </c>
      <c r="G337" s="8" t="s">
        <v>1186</v>
      </c>
      <c r="H337" s="9" t="s">
        <v>1186</v>
      </c>
      <c r="I337" s="9" t="s">
        <v>1186</v>
      </c>
      <c r="J337" s="8">
        <v>150767</v>
      </c>
      <c r="K337" s="8" t="str">
        <f>HYPERLINK("http://dx.doi.org/10.1016/j.scitotenv.2021.150767","http://dx.doi.org/10.1016/j.scitotenv.2021.150767")</f>
        <v>http://dx.doi.org/10.1016/j.scitotenv.2021.150767</v>
      </c>
      <c r="L337" s="8"/>
      <c r="M337" s="8" t="s">
        <v>1185</v>
      </c>
    </row>
    <row r="338" spans="1:13" ht="15" x14ac:dyDescent="0.25">
      <c r="A338" s="7" t="s">
        <v>1264</v>
      </c>
      <c r="B338" s="8" t="s">
        <v>1263</v>
      </c>
      <c r="C338" s="8" t="s">
        <v>1262</v>
      </c>
      <c r="D338" s="8" t="s">
        <v>1261</v>
      </c>
      <c r="E338" s="8">
        <v>2018</v>
      </c>
      <c r="F338" s="8">
        <v>205</v>
      </c>
      <c r="G338" s="8" t="s">
        <v>1186</v>
      </c>
      <c r="H338" s="9">
        <v>224</v>
      </c>
      <c r="I338" s="9">
        <v>235</v>
      </c>
      <c r="J338" s="8" t="s">
        <v>1186</v>
      </c>
      <c r="K338" s="8" t="str">
        <f>HYPERLINK("http://dx.doi.org/10.1016/j.rse.2017.11.023","http://dx.doi.org/10.1016/j.rse.2017.11.023")</f>
        <v>http://dx.doi.org/10.1016/j.rse.2017.11.023</v>
      </c>
      <c r="L338" s="8"/>
      <c r="M338" s="8" t="s">
        <v>1185</v>
      </c>
    </row>
    <row r="339" spans="1:13" ht="15" x14ac:dyDescent="0.25">
      <c r="A339" s="7" t="s">
        <v>1260</v>
      </c>
      <c r="B339" s="8" t="s">
        <v>1259</v>
      </c>
      <c r="C339" s="8" t="s">
        <v>1258</v>
      </c>
      <c r="D339" s="8" t="s">
        <v>1195</v>
      </c>
      <c r="E339" s="8">
        <v>2024</v>
      </c>
      <c r="F339" s="8">
        <v>468</v>
      </c>
      <c r="G339" s="8" t="s">
        <v>1186</v>
      </c>
      <c r="H339" s="9" t="s">
        <v>1186</v>
      </c>
      <c r="I339" s="9" t="s">
        <v>1186</v>
      </c>
      <c r="J339" s="8">
        <v>133831</v>
      </c>
      <c r="K339" s="8" t="str">
        <f>HYPERLINK("http://dx.doi.org/10.1016/j.jhazmat.2024.133831","http://dx.doi.org/10.1016/j.jhazmat.2024.133831")</f>
        <v>http://dx.doi.org/10.1016/j.jhazmat.2024.133831</v>
      </c>
      <c r="L339" s="8" t="s">
        <v>1184</v>
      </c>
      <c r="M339" s="8" t="s">
        <v>1184</v>
      </c>
    </row>
    <row r="340" spans="1:13" ht="15" x14ac:dyDescent="0.25">
      <c r="A340" s="7" t="s">
        <v>1257</v>
      </c>
      <c r="B340" s="8" t="s">
        <v>1256</v>
      </c>
      <c r="C340" s="8" t="s">
        <v>1255</v>
      </c>
      <c r="D340" s="8" t="s">
        <v>1233</v>
      </c>
      <c r="E340" s="8">
        <v>2019</v>
      </c>
      <c r="F340" s="8">
        <v>244</v>
      </c>
      <c r="G340" s="8" t="s">
        <v>1186</v>
      </c>
      <c r="H340" s="9">
        <v>153</v>
      </c>
      <c r="I340" s="9">
        <v>164</v>
      </c>
      <c r="J340" s="8" t="s">
        <v>1186</v>
      </c>
      <c r="K340" s="8" t="str">
        <f>HYPERLINK("http://dx.doi.org/10.1016/j.envpol.2018.10.039","http://dx.doi.org/10.1016/j.envpol.2018.10.039")</f>
        <v>http://dx.doi.org/10.1016/j.envpol.2018.10.039</v>
      </c>
      <c r="L340" s="8"/>
      <c r="M340" s="8" t="s">
        <v>1185</v>
      </c>
    </row>
    <row r="341" spans="1:13" ht="15" x14ac:dyDescent="0.25">
      <c r="A341" s="7" t="s">
        <v>1254</v>
      </c>
      <c r="B341" s="8" t="s">
        <v>1253</v>
      </c>
      <c r="C341" s="8" t="s">
        <v>1252</v>
      </c>
      <c r="D341" s="8" t="s">
        <v>1251</v>
      </c>
      <c r="E341" s="8">
        <v>2023</v>
      </c>
      <c r="F341" s="8" t="s">
        <v>1186</v>
      </c>
      <c r="G341" s="8" t="s">
        <v>1186</v>
      </c>
      <c r="H341" s="9" t="s">
        <v>1186</v>
      </c>
      <c r="I341" s="9" t="s">
        <v>1186</v>
      </c>
      <c r="J341" s="8" t="s">
        <v>1186</v>
      </c>
      <c r="K341" s="8" t="str">
        <f>HYPERLINK("http://dx.doi.org/10.1021/acs.est.2c08571","http://dx.doi.org/10.1021/acs.est.2c08571")</f>
        <v>http://dx.doi.org/10.1021/acs.est.2c08571</v>
      </c>
      <c r="L341" s="8" t="s">
        <v>1185</v>
      </c>
      <c r="M341" s="8"/>
    </row>
    <row r="342" spans="1:13" ht="15" x14ac:dyDescent="0.25">
      <c r="A342" s="7" t="s">
        <v>1250</v>
      </c>
      <c r="B342" s="8" t="s">
        <v>1249</v>
      </c>
      <c r="C342" s="8" t="s">
        <v>1248</v>
      </c>
      <c r="D342" s="8" t="s">
        <v>1247</v>
      </c>
      <c r="E342" s="8">
        <v>2020</v>
      </c>
      <c r="F342" s="8">
        <v>11</v>
      </c>
      <c r="G342" s="8">
        <v>10</v>
      </c>
      <c r="H342" s="9" t="s">
        <v>1186</v>
      </c>
      <c r="I342" s="9" t="s">
        <v>1186</v>
      </c>
      <c r="J342" s="8">
        <v>1120</v>
      </c>
      <c r="K342" s="8" t="str">
        <f>HYPERLINK("http://dx.doi.org/10.3390/atmos11101120","http://dx.doi.org/10.3390/atmos11101120")</f>
        <v>http://dx.doi.org/10.3390/atmos11101120</v>
      </c>
      <c r="L342" s="8" t="s">
        <v>1185</v>
      </c>
      <c r="M342" s="8"/>
    </row>
    <row r="343" spans="1:13" ht="15" x14ac:dyDescent="0.25">
      <c r="A343" s="7" t="s">
        <v>1246</v>
      </c>
      <c r="B343" s="8" t="s">
        <v>1245</v>
      </c>
      <c r="C343" s="8" t="s">
        <v>1244</v>
      </c>
      <c r="D343" s="8" t="s">
        <v>1243</v>
      </c>
      <c r="E343" s="8">
        <v>2019</v>
      </c>
      <c r="F343" s="8">
        <v>3</v>
      </c>
      <c r="G343" s="8">
        <v>9</v>
      </c>
      <c r="H343" s="9">
        <v>1729</v>
      </c>
      <c r="I343" s="9">
        <v>1739</v>
      </c>
      <c r="J343" s="8" t="s">
        <v>1186</v>
      </c>
      <c r="K343" s="8" t="str">
        <f>HYPERLINK("http://dx.doi.org/10.1021/acsearthspacechem.9b00132","http://dx.doi.org/10.1021/acsearthspacechem.9b00132")</f>
        <v>http://dx.doi.org/10.1021/acsearthspacechem.9b00132</v>
      </c>
      <c r="L343" s="8" t="s">
        <v>1185</v>
      </c>
      <c r="M343" s="8"/>
    </row>
    <row r="344" spans="1:13" ht="15" x14ac:dyDescent="0.25">
      <c r="A344" s="7" t="s">
        <v>1242</v>
      </c>
      <c r="B344" s="8" t="s">
        <v>1241</v>
      </c>
      <c r="C344" s="8" t="s">
        <v>1240</v>
      </c>
      <c r="D344" s="8" t="s">
        <v>1214</v>
      </c>
      <c r="E344" s="8">
        <v>2023</v>
      </c>
      <c r="F344" s="8">
        <v>884</v>
      </c>
      <c r="G344" s="8" t="s">
        <v>1186</v>
      </c>
      <c r="H344" s="9" t="s">
        <v>1186</v>
      </c>
      <c r="I344" s="9" t="s">
        <v>1186</v>
      </c>
      <c r="J344" s="8">
        <v>163841</v>
      </c>
      <c r="K344" s="8" t="str">
        <f>HYPERLINK("http://dx.doi.org/10.1016/j.scitotenv.2023.163841","http://dx.doi.org/10.1016/j.scitotenv.2023.163841")</f>
        <v>http://dx.doi.org/10.1016/j.scitotenv.2023.163841</v>
      </c>
      <c r="L344" s="8" t="s">
        <v>1185</v>
      </c>
      <c r="M344" s="8"/>
    </row>
    <row r="345" spans="1:13" ht="15" x14ac:dyDescent="0.25">
      <c r="A345" s="7" t="s">
        <v>1239</v>
      </c>
      <c r="B345" s="8" t="s">
        <v>1238</v>
      </c>
      <c r="C345" s="8" t="s">
        <v>1237</v>
      </c>
      <c r="D345" s="8" t="s">
        <v>1236</v>
      </c>
      <c r="E345" s="8">
        <v>2020</v>
      </c>
      <c r="F345" s="8">
        <v>7</v>
      </c>
      <c r="G345" s="8" t="s">
        <v>1186</v>
      </c>
      <c r="H345" s="9" t="s">
        <v>1186</v>
      </c>
      <c r="I345" s="9" t="s">
        <v>1186</v>
      </c>
      <c r="J345" s="8">
        <v>100762</v>
      </c>
      <c r="K345" s="8" t="str">
        <f>HYPERLINK("http://dx.doi.org/10.1016/j.mex.2019.11.032","http://dx.doi.org/10.1016/j.mex.2019.11.032")</f>
        <v>http://dx.doi.org/10.1016/j.mex.2019.11.032</v>
      </c>
      <c r="L345" s="8" t="s">
        <v>1185</v>
      </c>
      <c r="M345" s="8"/>
    </row>
    <row r="346" spans="1:13" ht="15" x14ac:dyDescent="0.25">
      <c r="A346" s="7" t="s">
        <v>982</v>
      </c>
      <c r="B346" s="8" t="s">
        <v>1235</v>
      </c>
      <c r="C346" s="8" t="s">
        <v>1234</v>
      </c>
      <c r="D346" s="8" t="s">
        <v>1233</v>
      </c>
      <c r="E346" s="8">
        <v>2024</v>
      </c>
      <c r="F346" s="8">
        <v>341</v>
      </c>
      <c r="G346" s="8" t="s">
        <v>1186</v>
      </c>
      <c r="H346" s="9" t="s">
        <v>1186</v>
      </c>
      <c r="I346" s="9" t="s">
        <v>1186</v>
      </c>
      <c r="J346" s="8">
        <v>123012</v>
      </c>
      <c r="K346" s="8" t="str">
        <f>HYPERLINK("http://dx.doi.org/10.1016/j.envpol.2023.123012","http://dx.doi.org/10.1016/j.envpol.2023.123012")</f>
        <v>http://dx.doi.org/10.1016/j.envpol.2023.123012</v>
      </c>
      <c r="L346" s="8"/>
      <c r="M346" s="8" t="s">
        <v>1185</v>
      </c>
    </row>
    <row r="347" spans="1:13" ht="15" x14ac:dyDescent="0.25">
      <c r="A347" s="7" t="s">
        <v>1232</v>
      </c>
      <c r="B347" s="8" t="s">
        <v>1231</v>
      </c>
      <c r="C347" s="8" t="s">
        <v>1230</v>
      </c>
      <c r="D347" s="8" t="s">
        <v>1229</v>
      </c>
      <c r="E347" s="8">
        <v>2024</v>
      </c>
      <c r="F347" s="8">
        <v>246</v>
      </c>
      <c r="G347" s="8" t="s">
        <v>1186</v>
      </c>
      <c r="H347" s="9" t="s">
        <v>1186</v>
      </c>
      <c r="I347" s="9" t="s">
        <v>1186</v>
      </c>
      <c r="J347" s="8">
        <v>115858</v>
      </c>
      <c r="K347" s="8" t="str">
        <f>HYPERLINK("http://dx.doi.org/10.1016/j.bios.2023.115858","http://dx.doi.org/10.1016/j.bios.2023.115858")</f>
        <v>http://dx.doi.org/10.1016/j.bios.2023.115858</v>
      </c>
      <c r="L347" s="8" t="s">
        <v>1185</v>
      </c>
      <c r="M347" s="8"/>
    </row>
    <row r="348" spans="1:13" ht="15" x14ac:dyDescent="0.25">
      <c r="A348" s="7" t="s">
        <v>1228</v>
      </c>
      <c r="B348" s="8" t="s">
        <v>1227</v>
      </c>
      <c r="C348" s="8" t="s">
        <v>1226</v>
      </c>
      <c r="D348" s="8" t="s">
        <v>1225</v>
      </c>
      <c r="E348" s="8">
        <v>2021</v>
      </c>
      <c r="F348" s="8">
        <v>404</v>
      </c>
      <c r="G348" s="8" t="s">
        <v>1186</v>
      </c>
      <c r="H348" s="9" t="s">
        <v>1186</v>
      </c>
      <c r="I348" s="9" t="s">
        <v>1186</v>
      </c>
      <c r="J348" s="8">
        <v>126412</v>
      </c>
      <c r="K348" s="8" t="str">
        <f>HYPERLINK("http://dx.doi.org/10.1016/j.cej.2020.126412","http://dx.doi.org/10.1016/j.cej.2020.126412")</f>
        <v>http://dx.doi.org/10.1016/j.cej.2020.126412</v>
      </c>
      <c r="L348" s="8" t="s">
        <v>1185</v>
      </c>
      <c r="M348" s="8"/>
    </row>
    <row r="349" spans="1:13" ht="15" x14ac:dyDescent="0.25">
      <c r="A349" s="7" t="s">
        <v>987</v>
      </c>
      <c r="B349" s="8" t="s">
        <v>1224</v>
      </c>
      <c r="C349" s="8" t="s">
        <v>1223</v>
      </c>
      <c r="D349" s="8" t="s">
        <v>1214</v>
      </c>
      <c r="E349" s="8">
        <v>2023</v>
      </c>
      <c r="F349" s="8">
        <v>901</v>
      </c>
      <c r="G349" s="8" t="s">
        <v>1186</v>
      </c>
      <c r="H349" s="9" t="s">
        <v>1186</v>
      </c>
      <c r="I349" s="9" t="s">
        <v>1186</v>
      </c>
      <c r="J349" s="8">
        <v>165923</v>
      </c>
      <c r="K349" s="8" t="str">
        <f>HYPERLINK("http://dx.doi.org/10.1016/j.scitotenv.2023.165923","http://dx.doi.org/10.1016/j.scitotenv.2023.165923")</f>
        <v>http://dx.doi.org/10.1016/j.scitotenv.2023.165923</v>
      </c>
      <c r="L349" s="8"/>
      <c r="M349" s="8" t="s">
        <v>1185</v>
      </c>
    </row>
    <row r="350" spans="1:13" ht="15" x14ac:dyDescent="0.25">
      <c r="A350" s="7" t="s">
        <v>1222</v>
      </c>
      <c r="B350" s="8" t="s">
        <v>1221</v>
      </c>
      <c r="C350" s="8" t="s">
        <v>1220</v>
      </c>
      <c r="D350" s="8" t="s">
        <v>1219</v>
      </c>
      <c r="E350" s="8">
        <v>2022</v>
      </c>
      <c r="F350" s="8">
        <v>7</v>
      </c>
      <c r="G350" s="8" t="s">
        <v>1186</v>
      </c>
      <c r="H350" s="9" t="s">
        <v>1186</v>
      </c>
      <c r="I350" s="9" t="s">
        <v>1186</v>
      </c>
      <c r="J350" s="8">
        <v>100139</v>
      </c>
      <c r="K350" s="8" t="str">
        <f>HYPERLINK("http://dx.doi.org/10.1016/j.hazadv.2022.100139","http://dx.doi.org/10.1016/j.hazadv.2022.100139")</f>
        <v>http://dx.doi.org/10.1016/j.hazadv.2022.100139</v>
      </c>
      <c r="L350" s="8" t="s">
        <v>1185</v>
      </c>
      <c r="M350" s="8"/>
    </row>
    <row r="351" spans="1:13" ht="15" x14ac:dyDescent="0.25">
      <c r="A351" s="7" t="s">
        <v>75</v>
      </c>
      <c r="B351" s="8" t="s">
        <v>1218</v>
      </c>
      <c r="C351" s="8" t="s">
        <v>1217</v>
      </c>
      <c r="D351" s="8" t="s">
        <v>1214</v>
      </c>
      <c r="E351" s="8">
        <v>2024</v>
      </c>
      <c r="F351" s="8">
        <v>912</v>
      </c>
      <c r="G351" s="8" t="s">
        <v>1186</v>
      </c>
      <c r="H351" s="9" t="s">
        <v>1186</v>
      </c>
      <c r="I351" s="9" t="s">
        <v>1186</v>
      </c>
      <c r="J351" s="8">
        <v>169308</v>
      </c>
      <c r="K351" s="8" t="str">
        <f>HYPERLINK("http://dx.doi.org/10.1016/j.scitotenv.2023.169308","http://dx.doi.org/10.1016/j.scitotenv.2023.169308")</f>
        <v>http://dx.doi.org/10.1016/j.scitotenv.2023.169308</v>
      </c>
      <c r="L351" s="8"/>
      <c r="M351" s="8" t="s">
        <v>1185</v>
      </c>
    </row>
    <row r="352" spans="1:13" ht="15" x14ac:dyDescent="0.25">
      <c r="A352" s="7" t="s">
        <v>1010</v>
      </c>
      <c r="B352" s="8" t="s">
        <v>1216</v>
      </c>
      <c r="C352" s="8" t="s">
        <v>1215</v>
      </c>
      <c r="D352" s="8" t="s">
        <v>1214</v>
      </c>
      <c r="E352" s="8">
        <v>2023</v>
      </c>
      <c r="F352" s="8">
        <v>881</v>
      </c>
      <c r="G352" s="8" t="s">
        <v>1186</v>
      </c>
      <c r="H352" s="9" t="s">
        <v>1186</v>
      </c>
      <c r="I352" s="9" t="s">
        <v>1186</v>
      </c>
      <c r="J352" s="8">
        <v>163508</v>
      </c>
      <c r="K352" s="8" t="str">
        <f>HYPERLINK("http://dx.doi.org/10.1016/j.scitotenv.2023.163508","http://dx.doi.org/10.1016/j.scitotenv.2023.163508")</f>
        <v>http://dx.doi.org/10.1016/j.scitotenv.2023.163508</v>
      </c>
      <c r="L352" s="8"/>
      <c r="M352" s="8" t="s">
        <v>1185</v>
      </c>
    </row>
    <row r="353" spans="1:13" ht="15" x14ac:dyDescent="0.25">
      <c r="A353" s="7" t="s">
        <v>1213</v>
      </c>
      <c r="B353" s="8" t="s">
        <v>1212</v>
      </c>
      <c r="C353" s="8" t="s">
        <v>1211</v>
      </c>
      <c r="D353" s="8" t="s">
        <v>1210</v>
      </c>
      <c r="E353" s="8">
        <v>2015</v>
      </c>
      <c r="F353" s="8">
        <v>87</v>
      </c>
      <c r="G353" s="8" t="s">
        <v>1186</v>
      </c>
      <c r="H353" s="9">
        <v>586</v>
      </c>
      <c r="I353" s="9">
        <v>593</v>
      </c>
      <c r="J353" s="8" t="s">
        <v>1186</v>
      </c>
      <c r="K353" s="8" t="str">
        <f>HYPERLINK("http://dx.doi.org/10.1016/j.energy.2015.05.026","http://dx.doi.org/10.1016/j.energy.2015.05.026")</f>
        <v>http://dx.doi.org/10.1016/j.energy.2015.05.026</v>
      </c>
      <c r="L353" s="8" t="s">
        <v>1185</v>
      </c>
      <c r="M353" s="8"/>
    </row>
    <row r="354" spans="1:13" ht="15" x14ac:dyDescent="0.25">
      <c r="A354" s="7" t="s">
        <v>1015</v>
      </c>
      <c r="B354" s="8" t="s">
        <v>1209</v>
      </c>
      <c r="C354" s="8" t="s">
        <v>1208</v>
      </c>
      <c r="D354" s="8" t="s">
        <v>1207</v>
      </c>
      <c r="E354" s="8">
        <v>2021</v>
      </c>
      <c r="F354" s="8">
        <v>192</v>
      </c>
      <c r="G354" s="8" t="s">
        <v>1186</v>
      </c>
      <c r="H354" s="9" t="s">
        <v>1186</v>
      </c>
      <c r="I354" s="9" t="s">
        <v>1186</v>
      </c>
      <c r="J354" s="8">
        <v>110339</v>
      </c>
      <c r="K354" s="8" t="str">
        <f>HYPERLINK("http://dx.doi.org/10.1016/j.envres.2020.110339","http://dx.doi.org/10.1016/j.envres.2020.110339")</f>
        <v>http://dx.doi.org/10.1016/j.envres.2020.110339</v>
      </c>
      <c r="L354" s="8"/>
      <c r="M354" s="8" t="s">
        <v>1185</v>
      </c>
    </row>
    <row r="355" spans="1:13" ht="15" x14ac:dyDescent="0.25">
      <c r="A355" s="7" t="s">
        <v>1206</v>
      </c>
      <c r="B355" s="8" t="s">
        <v>1205</v>
      </c>
      <c r="C355" s="8" t="s">
        <v>1204</v>
      </c>
      <c r="D355" s="8" t="s">
        <v>1203</v>
      </c>
      <c r="E355" s="8">
        <v>2022</v>
      </c>
      <c r="F355" s="8">
        <v>380</v>
      </c>
      <c r="G355" s="8" t="s">
        <v>1186</v>
      </c>
      <c r="H355" s="9" t="s">
        <v>1186</v>
      </c>
      <c r="I355" s="9" t="s">
        <v>1186</v>
      </c>
      <c r="J355" s="8">
        <v>134883</v>
      </c>
      <c r="K355" s="8" t="str">
        <f>HYPERLINK("http://dx.doi.org/10.1016/j.jclepro.2022.134883","http://dx.doi.org/10.1016/j.jclepro.2022.134883")</f>
        <v>http://dx.doi.org/10.1016/j.jclepro.2022.134883</v>
      </c>
      <c r="L355" s="8" t="s">
        <v>1185</v>
      </c>
      <c r="M355" s="8"/>
    </row>
    <row r="356" spans="1:13" ht="15" x14ac:dyDescent="0.25">
      <c r="A356" s="7" t="s">
        <v>1202</v>
      </c>
      <c r="B356" s="8" t="s">
        <v>1201</v>
      </c>
      <c r="C356" s="8" t="s">
        <v>1200</v>
      </c>
      <c r="D356" s="8" t="s">
        <v>1199</v>
      </c>
      <c r="E356" s="8">
        <v>2024</v>
      </c>
      <c r="F356" s="8" t="s">
        <v>1186</v>
      </c>
      <c r="G356" s="8" t="s">
        <v>1186</v>
      </c>
      <c r="H356" s="9" t="s">
        <v>1186</v>
      </c>
      <c r="I356" s="9" t="s">
        <v>1186</v>
      </c>
      <c r="J356" s="8" t="s">
        <v>1186</v>
      </c>
      <c r="K356" s="8" t="str">
        <f>HYPERLINK("http://dx.doi.org/10.1038/s41370-023-00634-x","http://dx.doi.org/10.1038/s41370-023-00634-x")</f>
        <v>http://dx.doi.org/10.1038/s41370-023-00634-x</v>
      </c>
      <c r="L356" s="8"/>
      <c r="M356" s="8"/>
    </row>
    <row r="357" spans="1:13" ht="15" x14ac:dyDescent="0.25">
      <c r="A357" s="7" t="s">
        <v>1198</v>
      </c>
      <c r="B357" s="8" t="s">
        <v>1197</v>
      </c>
      <c r="C357" s="8" t="s">
        <v>1196</v>
      </c>
      <c r="D357" s="8" t="s">
        <v>1195</v>
      </c>
      <c r="E357" s="8">
        <v>2023</v>
      </c>
      <c r="F357" s="8">
        <v>459</v>
      </c>
      <c r="G357" s="8" t="s">
        <v>1186</v>
      </c>
      <c r="H357" s="9" t="s">
        <v>1186</v>
      </c>
      <c r="I357" s="9" t="s">
        <v>1186</v>
      </c>
      <c r="J357" s="8">
        <v>132042</v>
      </c>
      <c r="K357" s="8" t="str">
        <f>HYPERLINK("http://dx.doi.org/10.1016/j.jhazmat.2023.132042","http://dx.doi.org/10.1016/j.jhazmat.2023.132042")</f>
        <v>http://dx.doi.org/10.1016/j.jhazmat.2023.132042</v>
      </c>
      <c r="L357" s="8" t="s">
        <v>1185</v>
      </c>
      <c r="M357" s="8"/>
    </row>
    <row r="358" spans="1:13" ht="15" x14ac:dyDescent="0.25">
      <c r="A358" s="7" t="s">
        <v>1194</v>
      </c>
      <c r="B358" s="8" t="s">
        <v>1193</v>
      </c>
      <c r="C358" s="8" t="s">
        <v>1192</v>
      </c>
      <c r="D358" s="8" t="s">
        <v>1191</v>
      </c>
      <c r="E358" s="8">
        <v>2020</v>
      </c>
      <c r="F358" s="8">
        <v>148</v>
      </c>
      <c r="G358" s="8" t="s">
        <v>1186</v>
      </c>
      <c r="H358" s="9" t="s">
        <v>1186</v>
      </c>
      <c r="I358" s="9" t="s">
        <v>1186</v>
      </c>
      <c r="J358" s="8">
        <v>104828</v>
      </c>
      <c r="K358" s="8" t="str">
        <f>HYPERLINK("http://dx.doi.org/10.1016/j.jaap.2020.104828","http://dx.doi.org/10.1016/j.jaap.2020.104828")</f>
        <v>http://dx.doi.org/10.1016/j.jaap.2020.104828</v>
      </c>
      <c r="L358" s="8" t="s">
        <v>1185</v>
      </c>
      <c r="M358" s="8"/>
    </row>
    <row r="359" spans="1:13" ht="15" x14ac:dyDescent="0.25">
      <c r="A359" s="7" t="s">
        <v>1190</v>
      </c>
      <c r="B359" s="8" t="s">
        <v>1189</v>
      </c>
      <c r="C359" s="8" t="s">
        <v>1188</v>
      </c>
      <c r="D359" s="8" t="s">
        <v>1187</v>
      </c>
      <c r="E359" s="8">
        <v>2023</v>
      </c>
      <c r="F359" s="8">
        <v>52</v>
      </c>
      <c r="G359" s="8">
        <v>9</v>
      </c>
      <c r="H359" s="9">
        <v>2471</v>
      </c>
      <c r="I359" s="9">
        <v>2483</v>
      </c>
      <c r="J359" s="8" t="s">
        <v>1186</v>
      </c>
      <c r="K359" s="8" t="str">
        <f>HYPERLINK("http://dx.doi.org/10.17576/jsm-2023-5209-01","http://dx.doi.org/10.17576/jsm-2023-5209-01")</f>
        <v>http://dx.doi.org/10.17576/jsm-2023-5209-01</v>
      </c>
      <c r="L359" s="8" t="s">
        <v>1185</v>
      </c>
      <c r="M359" s="8"/>
    </row>
  </sheetData>
  <phoneticPr fontId="10" type="noConversion"/>
  <hyperlinks>
    <hyperlink ref="K61" r:id="rId1" xr:uid="{F80F9023-6B16-4833-9777-E5C06A8A7990}"/>
  </hyperlinks>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37DCB-848F-43D2-AB9E-C7E48B0CABFC}">
  <dimension ref="A1:P424"/>
  <sheetViews>
    <sheetView zoomScaleNormal="100" workbookViewId="0">
      <selection activeCell="C12" sqref="C12"/>
    </sheetView>
  </sheetViews>
  <sheetFormatPr defaultRowHeight="15" x14ac:dyDescent="0.25"/>
  <cols>
    <col min="8" max="8" width="11" bestFit="1" customWidth="1"/>
    <col min="9" max="9" width="12.140625" bestFit="1" customWidth="1"/>
    <col min="11" max="11" width="16.7109375" customWidth="1"/>
    <col min="14" max="14" width="20.42578125" customWidth="1"/>
    <col min="15" max="15" width="18.85546875" customWidth="1"/>
    <col min="16" max="16" width="24.85546875" bestFit="1" customWidth="1"/>
  </cols>
  <sheetData>
    <row r="1" spans="1:16" ht="17.25" x14ac:dyDescent="0.25">
      <c r="A1" s="4" t="s">
        <v>2393</v>
      </c>
      <c r="B1" s="5" t="s">
        <v>2396</v>
      </c>
      <c r="C1" s="5" t="s">
        <v>2394</v>
      </c>
      <c r="D1" s="5" t="s">
        <v>2395</v>
      </c>
      <c r="E1" s="5" t="s">
        <v>1</v>
      </c>
      <c r="F1" s="5" t="s">
        <v>2</v>
      </c>
      <c r="G1" s="5" t="s">
        <v>3</v>
      </c>
      <c r="H1" s="5" t="s">
        <v>4</v>
      </c>
      <c r="I1" s="5" t="s">
        <v>5</v>
      </c>
      <c r="J1" s="5" t="s">
        <v>6</v>
      </c>
      <c r="K1" s="5" t="s">
        <v>7</v>
      </c>
      <c r="L1" s="5" t="s">
        <v>8</v>
      </c>
      <c r="M1" s="5" t="s">
        <v>9</v>
      </c>
      <c r="N1" s="5" t="s">
        <v>2391</v>
      </c>
      <c r="O1" s="5" t="s">
        <v>2392</v>
      </c>
      <c r="P1" s="6" t="s">
        <v>10</v>
      </c>
    </row>
    <row r="2" spans="1:16" ht="17.25" x14ac:dyDescent="0.25">
      <c r="A2" s="7" t="s">
        <v>540</v>
      </c>
      <c r="B2" s="8" t="s">
        <v>243</v>
      </c>
      <c r="C2" s="8" t="s">
        <v>43</v>
      </c>
      <c r="D2" s="8" t="s">
        <v>76</v>
      </c>
      <c r="E2" s="8" t="s">
        <v>0</v>
      </c>
      <c r="F2" s="8" t="s">
        <v>0</v>
      </c>
      <c r="G2" s="8" t="s">
        <v>361</v>
      </c>
      <c r="H2" s="9">
        <v>31.26</v>
      </c>
      <c r="I2" s="9">
        <v>121.5</v>
      </c>
      <c r="J2" s="8" t="s">
        <v>299</v>
      </c>
      <c r="K2" s="8" t="s">
        <v>87</v>
      </c>
      <c r="L2" s="8" t="s">
        <v>16</v>
      </c>
      <c r="M2" s="8" t="s">
        <v>17</v>
      </c>
      <c r="N2" s="8" t="s">
        <v>2358</v>
      </c>
      <c r="O2" s="8" t="s">
        <v>0</v>
      </c>
      <c r="P2" s="10" t="s">
        <v>421</v>
      </c>
    </row>
    <row r="3" spans="1:16" x14ac:dyDescent="0.25">
      <c r="A3" s="7" t="s">
        <v>490</v>
      </c>
      <c r="B3" s="8" t="s">
        <v>491</v>
      </c>
      <c r="C3" s="8" t="s">
        <v>492</v>
      </c>
      <c r="D3" s="8" t="s">
        <v>493</v>
      </c>
      <c r="E3" s="8" t="s">
        <v>0</v>
      </c>
      <c r="F3" s="8" t="s">
        <v>0</v>
      </c>
      <c r="G3" s="8" t="s">
        <v>494</v>
      </c>
      <c r="H3" s="9">
        <v>14.47</v>
      </c>
      <c r="I3" s="9">
        <v>120.97</v>
      </c>
      <c r="J3" s="8" t="s">
        <v>299</v>
      </c>
      <c r="K3" s="8" t="s">
        <v>87</v>
      </c>
      <c r="L3" s="8" t="s">
        <v>16</v>
      </c>
      <c r="M3" s="8" t="s">
        <v>30</v>
      </c>
      <c r="N3" s="8" t="s">
        <v>0</v>
      </c>
      <c r="O3" s="8" t="s">
        <v>495</v>
      </c>
      <c r="P3" s="10" t="s">
        <v>1183</v>
      </c>
    </row>
    <row r="4" spans="1:16" x14ac:dyDescent="0.25">
      <c r="A4" s="7" t="s">
        <v>496</v>
      </c>
      <c r="B4" s="8" t="s">
        <v>491</v>
      </c>
      <c r="C4" s="8" t="s">
        <v>492</v>
      </c>
      <c r="D4" s="8" t="s">
        <v>497</v>
      </c>
      <c r="E4" s="8" t="s">
        <v>0</v>
      </c>
      <c r="F4" s="8" t="s">
        <v>0</v>
      </c>
      <c r="G4" s="8" t="s">
        <v>494</v>
      </c>
      <c r="H4" s="9">
        <v>14.67</v>
      </c>
      <c r="I4" s="9">
        <v>120.97</v>
      </c>
      <c r="J4" s="8" t="s">
        <v>299</v>
      </c>
      <c r="K4" s="8" t="s">
        <v>87</v>
      </c>
      <c r="L4" s="8" t="s">
        <v>16</v>
      </c>
      <c r="M4" s="8" t="s">
        <v>30</v>
      </c>
      <c r="N4" s="8" t="s">
        <v>0</v>
      </c>
      <c r="O4" s="8" t="s">
        <v>498</v>
      </c>
      <c r="P4" s="10" t="s">
        <v>1183</v>
      </c>
    </row>
    <row r="5" spans="1:16" x14ac:dyDescent="0.25">
      <c r="A5" s="7" t="s">
        <v>499</v>
      </c>
      <c r="B5" s="8" t="s">
        <v>491</v>
      </c>
      <c r="C5" s="8" t="s">
        <v>492</v>
      </c>
      <c r="D5" s="8" t="s">
        <v>500</v>
      </c>
      <c r="E5" s="8" t="s">
        <v>0</v>
      </c>
      <c r="F5" s="8" t="s">
        <v>0</v>
      </c>
      <c r="G5" s="8" t="s">
        <v>494</v>
      </c>
      <c r="H5" s="9">
        <v>14.94</v>
      </c>
      <c r="I5" s="9">
        <v>121.01</v>
      </c>
      <c r="J5" s="8" t="s">
        <v>299</v>
      </c>
      <c r="K5" s="8" t="s">
        <v>87</v>
      </c>
      <c r="L5" s="8" t="s">
        <v>16</v>
      </c>
      <c r="M5" s="8" t="s">
        <v>30</v>
      </c>
      <c r="N5" s="8" t="s">
        <v>0</v>
      </c>
      <c r="O5" s="8" t="s">
        <v>501</v>
      </c>
      <c r="P5" s="10" t="s">
        <v>1183</v>
      </c>
    </row>
    <row r="6" spans="1:16" x14ac:dyDescent="0.25">
      <c r="A6" s="7" t="s">
        <v>502</v>
      </c>
      <c r="B6" s="8" t="s">
        <v>491</v>
      </c>
      <c r="C6" s="8" t="s">
        <v>492</v>
      </c>
      <c r="D6" s="8" t="s">
        <v>503</v>
      </c>
      <c r="E6" s="8" t="s">
        <v>0</v>
      </c>
      <c r="F6" s="8" t="s">
        <v>0</v>
      </c>
      <c r="G6" s="8" t="s">
        <v>494</v>
      </c>
      <c r="H6" s="9">
        <v>14.63</v>
      </c>
      <c r="I6" s="9">
        <v>121.09</v>
      </c>
      <c r="J6" s="8" t="s">
        <v>299</v>
      </c>
      <c r="K6" s="8" t="s">
        <v>87</v>
      </c>
      <c r="L6" s="8" t="s">
        <v>16</v>
      </c>
      <c r="M6" s="8" t="s">
        <v>30</v>
      </c>
      <c r="N6" s="8" t="s">
        <v>0</v>
      </c>
      <c r="O6" s="8" t="s">
        <v>504</v>
      </c>
      <c r="P6" s="10" t="s">
        <v>1183</v>
      </c>
    </row>
    <row r="7" spans="1:16" x14ac:dyDescent="0.25">
      <c r="A7" s="7" t="s">
        <v>505</v>
      </c>
      <c r="B7" s="8" t="s">
        <v>491</v>
      </c>
      <c r="C7" s="8" t="s">
        <v>492</v>
      </c>
      <c r="D7" s="8" t="s">
        <v>506</v>
      </c>
      <c r="E7" s="8" t="s">
        <v>0</v>
      </c>
      <c r="F7" s="8" t="s">
        <v>0</v>
      </c>
      <c r="G7" s="8" t="s">
        <v>494</v>
      </c>
      <c r="H7" s="9">
        <v>14.75</v>
      </c>
      <c r="I7" s="9">
        <v>121.01</v>
      </c>
      <c r="J7" s="8" t="s">
        <v>299</v>
      </c>
      <c r="K7" s="8" t="s">
        <v>87</v>
      </c>
      <c r="L7" s="8" t="s">
        <v>16</v>
      </c>
      <c r="M7" s="8" t="s">
        <v>30</v>
      </c>
      <c r="N7" s="8" t="s">
        <v>0</v>
      </c>
      <c r="O7" s="8" t="s">
        <v>507</v>
      </c>
      <c r="P7" s="10" t="s">
        <v>1183</v>
      </c>
    </row>
    <row r="8" spans="1:16" x14ac:dyDescent="0.25">
      <c r="A8" s="7" t="s">
        <v>508</v>
      </c>
      <c r="B8" s="8" t="s">
        <v>491</v>
      </c>
      <c r="C8" s="8" t="s">
        <v>492</v>
      </c>
      <c r="D8" s="8" t="s">
        <v>509</v>
      </c>
      <c r="E8" s="8" t="s">
        <v>0</v>
      </c>
      <c r="F8" s="8" t="s">
        <v>0</v>
      </c>
      <c r="G8" s="8" t="s">
        <v>494</v>
      </c>
      <c r="H8" s="9">
        <v>14.5</v>
      </c>
      <c r="I8" s="9">
        <v>121.05</v>
      </c>
      <c r="J8" s="8" t="s">
        <v>299</v>
      </c>
      <c r="K8" s="8" t="s">
        <v>87</v>
      </c>
      <c r="L8" s="8" t="s">
        <v>16</v>
      </c>
      <c r="M8" s="8" t="s">
        <v>30</v>
      </c>
      <c r="N8" s="8" t="s">
        <v>0</v>
      </c>
      <c r="O8" s="8" t="s">
        <v>510</v>
      </c>
      <c r="P8" s="10" t="s">
        <v>1183</v>
      </c>
    </row>
    <row r="9" spans="1:16" x14ac:dyDescent="0.25">
      <c r="A9" s="7" t="s">
        <v>511</v>
      </c>
      <c r="B9" s="8" t="s">
        <v>491</v>
      </c>
      <c r="C9" s="8" t="s">
        <v>492</v>
      </c>
      <c r="D9" s="8" t="s">
        <v>512</v>
      </c>
      <c r="E9" s="8" t="s">
        <v>0</v>
      </c>
      <c r="F9" s="8" t="s">
        <v>0</v>
      </c>
      <c r="G9" s="8" t="s">
        <v>494</v>
      </c>
      <c r="H9" s="9">
        <v>14.67</v>
      </c>
      <c r="I9" s="9">
        <v>120.94</v>
      </c>
      <c r="J9" s="8" t="s">
        <v>299</v>
      </c>
      <c r="K9" s="8" t="s">
        <v>87</v>
      </c>
      <c r="L9" s="8" t="s">
        <v>16</v>
      </c>
      <c r="M9" s="8" t="s">
        <v>30</v>
      </c>
      <c r="N9" s="8" t="s">
        <v>0</v>
      </c>
      <c r="O9" s="8" t="s">
        <v>513</v>
      </c>
      <c r="P9" s="10" t="s">
        <v>1183</v>
      </c>
    </row>
    <row r="10" spans="1:16" x14ac:dyDescent="0.25">
      <c r="A10" s="7" t="s">
        <v>514</v>
      </c>
      <c r="B10" s="8" t="s">
        <v>491</v>
      </c>
      <c r="C10" s="8" t="s">
        <v>492</v>
      </c>
      <c r="D10" s="8" t="s">
        <v>515</v>
      </c>
      <c r="E10" s="8" t="s">
        <v>0</v>
      </c>
      <c r="F10" s="8" t="s">
        <v>0</v>
      </c>
      <c r="G10" s="8" t="s">
        <v>494</v>
      </c>
      <c r="H10" s="9">
        <v>14.53</v>
      </c>
      <c r="I10" s="9">
        <v>121.01</v>
      </c>
      <c r="J10" s="8" t="s">
        <v>299</v>
      </c>
      <c r="K10" s="8" t="s">
        <v>87</v>
      </c>
      <c r="L10" s="8" t="s">
        <v>16</v>
      </c>
      <c r="M10" s="8" t="s">
        <v>30</v>
      </c>
      <c r="N10" s="8" t="s">
        <v>0</v>
      </c>
      <c r="O10" s="8">
        <v>1.0699999999999999E-2</v>
      </c>
      <c r="P10" s="10" t="s">
        <v>1183</v>
      </c>
    </row>
    <row r="11" spans="1:16" x14ac:dyDescent="0.25">
      <c r="A11" s="7" t="s">
        <v>516</v>
      </c>
      <c r="B11" s="8" t="s">
        <v>491</v>
      </c>
      <c r="C11" s="8" t="s">
        <v>492</v>
      </c>
      <c r="D11" s="8" t="s">
        <v>517</v>
      </c>
      <c r="E11" s="8" t="s">
        <v>0</v>
      </c>
      <c r="F11" s="8" t="s">
        <v>0</v>
      </c>
      <c r="G11" s="8" t="s">
        <v>494</v>
      </c>
      <c r="H11" s="9">
        <v>14.52</v>
      </c>
      <c r="I11" s="9">
        <v>121.01</v>
      </c>
      <c r="J11" s="8" t="s">
        <v>299</v>
      </c>
      <c r="K11" s="8" t="s">
        <v>87</v>
      </c>
      <c r="L11" s="8" t="s">
        <v>16</v>
      </c>
      <c r="M11" s="8" t="s">
        <v>30</v>
      </c>
      <c r="N11" s="8" t="s">
        <v>0</v>
      </c>
      <c r="O11" s="8">
        <v>2.2700000000000001E-2</v>
      </c>
      <c r="P11" s="10" t="s">
        <v>1183</v>
      </c>
    </row>
    <row r="12" spans="1:16" ht="18.600000000000001" customHeight="1" x14ac:dyDescent="0.25">
      <c r="A12" s="7" t="s">
        <v>518</v>
      </c>
      <c r="B12" s="8" t="s">
        <v>491</v>
      </c>
      <c r="C12" s="8" t="s">
        <v>492</v>
      </c>
      <c r="D12" s="8" t="s">
        <v>519</v>
      </c>
      <c r="E12" s="8" t="s">
        <v>0</v>
      </c>
      <c r="F12" s="8" t="s">
        <v>0</v>
      </c>
      <c r="G12" s="8" t="s">
        <v>494</v>
      </c>
      <c r="H12" s="9">
        <v>14.97</v>
      </c>
      <c r="I12" s="9">
        <v>121.04</v>
      </c>
      <c r="J12" s="8" t="s">
        <v>299</v>
      </c>
      <c r="K12" s="8" t="s">
        <v>87</v>
      </c>
      <c r="L12" s="8" t="s">
        <v>16</v>
      </c>
      <c r="M12" s="8" t="s">
        <v>30</v>
      </c>
      <c r="N12" s="8" t="s">
        <v>0</v>
      </c>
      <c r="O12" s="8" t="s">
        <v>520</v>
      </c>
      <c r="P12" s="10" t="s">
        <v>1183</v>
      </c>
    </row>
    <row r="13" spans="1:16" ht="20.100000000000001" customHeight="1" x14ac:dyDescent="0.25">
      <c r="A13" s="7" t="s">
        <v>521</v>
      </c>
      <c r="B13" s="8" t="s">
        <v>491</v>
      </c>
      <c r="C13" s="8" t="s">
        <v>492</v>
      </c>
      <c r="D13" s="8" t="s">
        <v>522</v>
      </c>
      <c r="E13" s="8" t="s">
        <v>0</v>
      </c>
      <c r="F13" s="8" t="s">
        <v>0</v>
      </c>
      <c r="G13" s="8" t="s">
        <v>494</v>
      </c>
      <c r="H13" s="9">
        <v>14.38</v>
      </c>
      <c r="I13" s="9">
        <v>121</v>
      </c>
      <c r="J13" s="8" t="s">
        <v>299</v>
      </c>
      <c r="K13" s="8" t="s">
        <v>87</v>
      </c>
      <c r="L13" s="8" t="s">
        <v>16</v>
      </c>
      <c r="M13" s="8" t="s">
        <v>30</v>
      </c>
      <c r="N13" s="8" t="s">
        <v>0</v>
      </c>
      <c r="O13" s="8" t="s">
        <v>523</v>
      </c>
      <c r="P13" s="10" t="s">
        <v>1183</v>
      </c>
    </row>
    <row r="14" spans="1:16" ht="21" customHeight="1" x14ac:dyDescent="0.25">
      <c r="A14" s="7" t="s">
        <v>524</v>
      </c>
      <c r="B14" s="8" t="s">
        <v>491</v>
      </c>
      <c r="C14" s="8" t="s">
        <v>492</v>
      </c>
      <c r="D14" s="8" t="s">
        <v>525</v>
      </c>
      <c r="E14" s="8" t="s">
        <v>0</v>
      </c>
      <c r="F14" s="8" t="s">
        <v>0</v>
      </c>
      <c r="G14" s="8" t="s">
        <v>494</v>
      </c>
      <c r="H14" s="9">
        <v>14.59</v>
      </c>
      <c r="I14" s="9">
        <v>120.97</v>
      </c>
      <c r="J14" s="8" t="s">
        <v>299</v>
      </c>
      <c r="K14" s="8" t="s">
        <v>87</v>
      </c>
      <c r="L14" s="8" t="s">
        <v>16</v>
      </c>
      <c r="M14" s="8" t="s">
        <v>30</v>
      </c>
      <c r="N14" s="8" t="s">
        <v>0</v>
      </c>
      <c r="O14" s="8" t="s">
        <v>526</v>
      </c>
      <c r="P14" s="10" t="s">
        <v>1183</v>
      </c>
    </row>
    <row r="15" spans="1:16" x14ac:dyDescent="0.25">
      <c r="A15" s="7" t="s">
        <v>527</v>
      </c>
      <c r="B15" s="8" t="s">
        <v>491</v>
      </c>
      <c r="C15" s="8" t="s">
        <v>492</v>
      </c>
      <c r="D15" s="8" t="s">
        <v>528</v>
      </c>
      <c r="E15" s="8" t="s">
        <v>0</v>
      </c>
      <c r="F15" s="8" t="s">
        <v>0</v>
      </c>
      <c r="G15" s="8" t="s">
        <v>494</v>
      </c>
      <c r="H15" s="9">
        <v>14.58</v>
      </c>
      <c r="I15" s="9">
        <v>121.05</v>
      </c>
      <c r="J15" s="8" t="s">
        <v>299</v>
      </c>
      <c r="K15" s="8" t="s">
        <v>87</v>
      </c>
      <c r="L15" s="8" t="s">
        <v>16</v>
      </c>
      <c r="M15" s="8" t="s">
        <v>30</v>
      </c>
      <c r="N15" s="8" t="s">
        <v>0</v>
      </c>
      <c r="O15" s="8" t="s">
        <v>529</v>
      </c>
      <c r="P15" s="10" t="s">
        <v>1183</v>
      </c>
    </row>
    <row r="16" spans="1:16" x14ac:dyDescent="0.25">
      <c r="A16" s="7" t="s">
        <v>530</v>
      </c>
      <c r="B16" s="8" t="s">
        <v>491</v>
      </c>
      <c r="C16" s="8" t="s">
        <v>492</v>
      </c>
      <c r="D16" s="8" t="s">
        <v>531</v>
      </c>
      <c r="E16" s="8" t="s">
        <v>0</v>
      </c>
      <c r="F16" s="8" t="s">
        <v>0</v>
      </c>
      <c r="G16" s="8" t="s">
        <v>494</v>
      </c>
      <c r="H16" s="9">
        <v>14.8</v>
      </c>
      <c r="I16" s="9">
        <v>120.95</v>
      </c>
      <c r="J16" s="8" t="s">
        <v>299</v>
      </c>
      <c r="K16" s="8" t="s">
        <v>87</v>
      </c>
      <c r="L16" s="8" t="s">
        <v>16</v>
      </c>
      <c r="M16" s="8" t="s">
        <v>30</v>
      </c>
      <c r="N16" s="8" t="s">
        <v>0</v>
      </c>
      <c r="O16" s="8" t="s">
        <v>532</v>
      </c>
      <c r="P16" s="10" t="s">
        <v>1183</v>
      </c>
    </row>
    <row r="17" spans="1:16" x14ac:dyDescent="0.25">
      <c r="A17" s="7" t="s">
        <v>533</v>
      </c>
      <c r="B17" s="8" t="s">
        <v>491</v>
      </c>
      <c r="C17" s="8" t="s">
        <v>492</v>
      </c>
      <c r="D17" s="8" t="s">
        <v>534</v>
      </c>
      <c r="E17" s="8" t="s">
        <v>0</v>
      </c>
      <c r="F17" s="8" t="s">
        <v>0</v>
      </c>
      <c r="G17" s="8" t="s">
        <v>494</v>
      </c>
      <c r="H17" s="9">
        <v>14.6</v>
      </c>
      <c r="I17" s="9">
        <v>121.01</v>
      </c>
      <c r="J17" s="8" t="s">
        <v>299</v>
      </c>
      <c r="K17" s="8" t="s">
        <v>87</v>
      </c>
      <c r="L17" s="8" t="s">
        <v>16</v>
      </c>
      <c r="M17" s="8" t="s">
        <v>30</v>
      </c>
      <c r="N17" s="8" t="s">
        <v>0</v>
      </c>
      <c r="O17" s="8" t="s">
        <v>535</v>
      </c>
      <c r="P17" s="10" t="s">
        <v>1183</v>
      </c>
    </row>
    <row r="18" spans="1:16" x14ac:dyDescent="0.25">
      <c r="A18" s="7" t="s">
        <v>536</v>
      </c>
      <c r="B18" s="8" t="s">
        <v>491</v>
      </c>
      <c r="C18" s="8" t="s">
        <v>492</v>
      </c>
      <c r="D18" s="8" t="s">
        <v>537</v>
      </c>
      <c r="E18" s="8" t="s">
        <v>0</v>
      </c>
      <c r="F18" s="8" t="s">
        <v>0</v>
      </c>
      <c r="G18" s="8" t="s">
        <v>494</v>
      </c>
      <c r="H18" s="9">
        <v>14.6</v>
      </c>
      <c r="I18" s="9">
        <v>121.01</v>
      </c>
      <c r="J18" s="8" t="s">
        <v>299</v>
      </c>
      <c r="K18" s="8" t="s">
        <v>87</v>
      </c>
      <c r="L18" s="8" t="s">
        <v>16</v>
      </c>
      <c r="M18" s="8" t="s">
        <v>30</v>
      </c>
      <c r="N18" s="8" t="s">
        <v>0</v>
      </c>
      <c r="O18" s="8" t="s">
        <v>535</v>
      </c>
      <c r="P18" s="10" t="s">
        <v>1183</v>
      </c>
    </row>
    <row r="19" spans="1:16" x14ac:dyDescent="0.25">
      <c r="A19" s="7" t="s">
        <v>538</v>
      </c>
      <c r="B19" s="8" t="s">
        <v>491</v>
      </c>
      <c r="C19" s="8" t="s">
        <v>492</v>
      </c>
      <c r="D19" s="8" t="s">
        <v>539</v>
      </c>
      <c r="E19" s="8" t="s">
        <v>0</v>
      </c>
      <c r="F19" s="8" t="s">
        <v>0</v>
      </c>
      <c r="G19" s="8" t="s">
        <v>494</v>
      </c>
      <c r="H19" s="9">
        <v>14.6</v>
      </c>
      <c r="I19" s="9">
        <v>121.01</v>
      </c>
      <c r="J19" s="8" t="s">
        <v>299</v>
      </c>
      <c r="K19" s="8" t="s">
        <v>87</v>
      </c>
      <c r="L19" s="8" t="s">
        <v>16</v>
      </c>
      <c r="M19" s="8" t="s">
        <v>30</v>
      </c>
      <c r="N19" s="8" t="s">
        <v>0</v>
      </c>
      <c r="O19" s="8">
        <v>2.2700000000000001E-2</v>
      </c>
      <c r="P19" s="10" t="s">
        <v>1183</v>
      </c>
    </row>
    <row r="20" spans="1:16" ht="16.5" x14ac:dyDescent="0.25">
      <c r="A20" s="7" t="s">
        <v>347</v>
      </c>
      <c r="B20" s="8" t="s">
        <v>348</v>
      </c>
      <c r="C20" s="8" t="s">
        <v>349</v>
      </c>
      <c r="D20" s="8" t="s">
        <v>350</v>
      </c>
      <c r="E20" s="8" t="s">
        <v>0</v>
      </c>
      <c r="F20" s="8" t="s">
        <v>351</v>
      </c>
      <c r="G20" s="8" t="s">
        <v>81</v>
      </c>
      <c r="H20" s="9">
        <v>60.7</v>
      </c>
      <c r="I20" s="9">
        <v>-135.01</v>
      </c>
      <c r="J20" s="8" t="s">
        <v>299</v>
      </c>
      <c r="K20" s="8" t="s">
        <v>332</v>
      </c>
      <c r="L20" s="8" t="s">
        <v>16</v>
      </c>
      <c r="M20" s="8" t="s">
        <v>17</v>
      </c>
      <c r="N20" s="8" t="s">
        <v>2359</v>
      </c>
      <c r="O20" s="8" t="s">
        <v>0</v>
      </c>
      <c r="P20" s="10" t="s">
        <v>1178</v>
      </c>
    </row>
    <row r="21" spans="1:16" x14ac:dyDescent="0.25">
      <c r="A21" s="7" t="s">
        <v>352</v>
      </c>
      <c r="B21" s="8" t="s">
        <v>348</v>
      </c>
      <c r="C21" s="8" t="s">
        <v>349</v>
      </c>
      <c r="D21" s="8" t="s">
        <v>350</v>
      </c>
      <c r="E21" s="8" t="s">
        <v>0</v>
      </c>
      <c r="F21" s="8" t="s">
        <v>353</v>
      </c>
      <c r="G21" s="8" t="s">
        <v>81</v>
      </c>
      <c r="H21" s="9">
        <v>60.7</v>
      </c>
      <c r="I21" s="9">
        <v>-135.01</v>
      </c>
      <c r="J21" s="8" t="s">
        <v>299</v>
      </c>
      <c r="K21" s="8" t="s">
        <v>339</v>
      </c>
      <c r="L21" s="8" t="s">
        <v>16</v>
      </c>
      <c r="M21" s="8" t="s">
        <v>17</v>
      </c>
      <c r="N21" s="8" t="s">
        <v>354</v>
      </c>
      <c r="O21" s="8" t="s">
        <v>0</v>
      </c>
      <c r="P21" s="10" t="s">
        <v>1178</v>
      </c>
    </row>
    <row r="22" spans="1:16" x14ac:dyDescent="0.25">
      <c r="A22" s="7" t="s">
        <v>355</v>
      </c>
      <c r="B22" s="8" t="s">
        <v>348</v>
      </c>
      <c r="C22" s="8" t="s">
        <v>349</v>
      </c>
      <c r="D22" s="8" t="s">
        <v>350</v>
      </c>
      <c r="E22" s="8" t="s">
        <v>0</v>
      </c>
      <c r="F22" s="8" t="s">
        <v>356</v>
      </c>
      <c r="G22" s="8" t="s">
        <v>81</v>
      </c>
      <c r="H22" s="9">
        <v>60.7</v>
      </c>
      <c r="I22" s="9">
        <v>-135.01</v>
      </c>
      <c r="J22" s="8" t="s">
        <v>299</v>
      </c>
      <c r="K22" s="8" t="s">
        <v>332</v>
      </c>
      <c r="L22" s="8" t="s">
        <v>16</v>
      </c>
      <c r="M22" s="8" t="s">
        <v>17</v>
      </c>
      <c r="N22" s="8" t="s">
        <v>1028</v>
      </c>
      <c r="O22" s="8" t="s">
        <v>0</v>
      </c>
      <c r="P22" s="10" t="s">
        <v>1178</v>
      </c>
    </row>
    <row r="23" spans="1:16" x14ac:dyDescent="0.25">
      <c r="A23" s="7" t="s">
        <v>620</v>
      </c>
      <c r="B23" s="8" t="s">
        <v>621</v>
      </c>
      <c r="C23" s="8" t="s">
        <v>43</v>
      </c>
      <c r="D23" s="8" t="s">
        <v>622</v>
      </c>
      <c r="E23" s="8" t="s">
        <v>0</v>
      </c>
      <c r="F23" s="8" t="s">
        <v>0</v>
      </c>
      <c r="G23" s="8" t="s">
        <v>124</v>
      </c>
      <c r="H23" s="9">
        <v>36.619999999999997</v>
      </c>
      <c r="I23" s="9">
        <v>109.46</v>
      </c>
      <c r="J23" s="8" t="s">
        <v>299</v>
      </c>
      <c r="K23" s="8" t="s">
        <v>87</v>
      </c>
      <c r="L23" s="8" t="s">
        <v>16</v>
      </c>
      <c r="M23" s="8" t="s">
        <v>17</v>
      </c>
      <c r="N23" s="8">
        <v>162.30000000000001</v>
      </c>
      <c r="O23" s="8" t="s">
        <v>0</v>
      </c>
      <c r="P23" s="10" t="s">
        <v>1035</v>
      </c>
    </row>
    <row r="24" spans="1:16" x14ac:dyDescent="0.25">
      <c r="A24" s="7" t="s">
        <v>623</v>
      </c>
      <c r="B24" s="8" t="s">
        <v>621</v>
      </c>
      <c r="C24" s="8" t="s">
        <v>43</v>
      </c>
      <c r="D24" s="8" t="s">
        <v>624</v>
      </c>
      <c r="E24" s="8" t="s">
        <v>0</v>
      </c>
      <c r="F24" s="8" t="s">
        <v>0</v>
      </c>
      <c r="G24" s="8" t="s">
        <v>124</v>
      </c>
      <c r="H24" s="9">
        <v>34.35</v>
      </c>
      <c r="I24" s="9">
        <v>107.23</v>
      </c>
      <c r="J24" s="8" t="s">
        <v>299</v>
      </c>
      <c r="K24" s="8" t="s">
        <v>87</v>
      </c>
      <c r="L24" s="8" t="s">
        <v>16</v>
      </c>
      <c r="M24" s="8" t="s">
        <v>17</v>
      </c>
      <c r="N24" s="8">
        <v>224.5</v>
      </c>
      <c r="O24" s="8" t="s">
        <v>0</v>
      </c>
      <c r="P24" s="10" t="s">
        <v>1035</v>
      </c>
    </row>
    <row r="25" spans="1:16" x14ac:dyDescent="0.25">
      <c r="A25" s="7" t="s">
        <v>625</v>
      </c>
      <c r="B25" s="8" t="s">
        <v>621</v>
      </c>
      <c r="C25" s="8" t="s">
        <v>43</v>
      </c>
      <c r="D25" s="8" t="s">
        <v>626</v>
      </c>
      <c r="E25" s="8" t="s">
        <v>0</v>
      </c>
      <c r="F25" s="8" t="s">
        <v>0</v>
      </c>
      <c r="G25" s="8" t="s">
        <v>124</v>
      </c>
      <c r="H25" s="9">
        <v>34.909999999999997</v>
      </c>
      <c r="I25" s="9">
        <v>108.99</v>
      </c>
      <c r="J25" s="8" t="s">
        <v>299</v>
      </c>
      <c r="K25" s="8" t="s">
        <v>87</v>
      </c>
      <c r="L25" s="8" t="s">
        <v>16</v>
      </c>
      <c r="M25" s="8" t="s">
        <v>17</v>
      </c>
      <c r="N25" s="8">
        <v>97.6</v>
      </c>
      <c r="O25" s="8" t="s">
        <v>0</v>
      </c>
      <c r="P25" s="10" t="s">
        <v>1035</v>
      </c>
    </row>
    <row r="26" spans="1:16" x14ac:dyDescent="0.25">
      <c r="A26" s="7" t="s">
        <v>627</v>
      </c>
      <c r="B26" s="8" t="s">
        <v>621</v>
      </c>
      <c r="C26" s="8" t="s">
        <v>43</v>
      </c>
      <c r="D26" s="8" t="s">
        <v>628</v>
      </c>
      <c r="E26" s="8" t="s">
        <v>0</v>
      </c>
      <c r="F26" s="8" t="s">
        <v>0</v>
      </c>
      <c r="G26" s="8" t="s">
        <v>124</v>
      </c>
      <c r="H26" s="9">
        <v>34.35</v>
      </c>
      <c r="I26" s="9">
        <v>108.73</v>
      </c>
      <c r="J26" s="8" t="s">
        <v>299</v>
      </c>
      <c r="K26" s="8" t="s">
        <v>87</v>
      </c>
      <c r="L26" s="8" t="s">
        <v>16</v>
      </c>
      <c r="M26" s="8" t="s">
        <v>17</v>
      </c>
      <c r="N26" s="8">
        <v>258.60000000000002</v>
      </c>
      <c r="O26" s="8" t="s">
        <v>0</v>
      </c>
      <c r="P26" s="10" t="s">
        <v>1035</v>
      </c>
    </row>
    <row r="27" spans="1:16" x14ac:dyDescent="0.25">
      <c r="A27" s="7" t="s">
        <v>629</v>
      </c>
      <c r="B27" s="8" t="s">
        <v>621</v>
      </c>
      <c r="C27" s="8" t="s">
        <v>43</v>
      </c>
      <c r="D27" s="8" t="s">
        <v>630</v>
      </c>
      <c r="E27" s="8" t="s">
        <v>0</v>
      </c>
      <c r="F27" s="8" t="s">
        <v>0</v>
      </c>
      <c r="G27" s="8" t="s">
        <v>124</v>
      </c>
      <c r="H27" s="9">
        <v>34.49</v>
      </c>
      <c r="I27" s="9">
        <v>109.52</v>
      </c>
      <c r="J27" s="8" t="s">
        <v>299</v>
      </c>
      <c r="K27" s="8" t="s">
        <v>87</v>
      </c>
      <c r="L27" s="8" t="s">
        <v>16</v>
      </c>
      <c r="M27" s="8" t="s">
        <v>17</v>
      </c>
      <c r="N27" s="8">
        <v>231.1</v>
      </c>
      <c r="O27" s="8" t="s">
        <v>0</v>
      </c>
      <c r="P27" s="10" t="s">
        <v>1035</v>
      </c>
    </row>
    <row r="28" spans="1:16" x14ac:dyDescent="0.25">
      <c r="A28" s="7" t="s">
        <v>631</v>
      </c>
      <c r="B28" s="8" t="s">
        <v>621</v>
      </c>
      <c r="C28" s="8" t="s">
        <v>43</v>
      </c>
      <c r="D28" s="8" t="s">
        <v>632</v>
      </c>
      <c r="E28" s="8" t="s">
        <v>0</v>
      </c>
      <c r="F28" s="8" t="s">
        <v>0</v>
      </c>
      <c r="G28" s="8" t="s">
        <v>124</v>
      </c>
      <c r="H28" s="9">
        <v>38.270000000000003</v>
      </c>
      <c r="I28" s="9">
        <v>109.76</v>
      </c>
      <c r="J28" s="8" t="s">
        <v>299</v>
      </c>
      <c r="K28" s="8" t="s">
        <v>87</v>
      </c>
      <c r="L28" s="8" t="s">
        <v>16</v>
      </c>
      <c r="M28" s="8" t="s">
        <v>17</v>
      </c>
      <c r="N28" s="8">
        <v>189.7</v>
      </c>
      <c r="O28" s="8" t="s">
        <v>0</v>
      </c>
      <c r="P28" s="10" t="s">
        <v>1035</v>
      </c>
    </row>
    <row r="29" spans="1:16" x14ac:dyDescent="0.25">
      <c r="A29" s="7" t="s">
        <v>633</v>
      </c>
      <c r="B29" s="8" t="s">
        <v>621</v>
      </c>
      <c r="C29" s="8" t="s">
        <v>43</v>
      </c>
      <c r="D29" s="8" t="s">
        <v>634</v>
      </c>
      <c r="E29" s="8" t="s">
        <v>0</v>
      </c>
      <c r="F29" s="8" t="s">
        <v>0</v>
      </c>
      <c r="G29" s="8" t="s">
        <v>124</v>
      </c>
      <c r="H29" s="9">
        <v>33.07</v>
      </c>
      <c r="I29" s="9">
        <v>107.04</v>
      </c>
      <c r="J29" s="8" t="s">
        <v>299</v>
      </c>
      <c r="K29" s="8" t="s">
        <v>87</v>
      </c>
      <c r="L29" s="8" t="s">
        <v>16</v>
      </c>
      <c r="M29" s="8" t="s">
        <v>17</v>
      </c>
      <c r="N29" s="8">
        <v>142.19999999999999</v>
      </c>
      <c r="O29" s="8" t="s">
        <v>0</v>
      </c>
      <c r="P29" s="10" t="s">
        <v>1035</v>
      </c>
    </row>
    <row r="30" spans="1:16" x14ac:dyDescent="0.25">
      <c r="A30" s="7" t="s">
        <v>635</v>
      </c>
      <c r="B30" s="8" t="s">
        <v>621</v>
      </c>
      <c r="C30" s="8" t="s">
        <v>43</v>
      </c>
      <c r="D30" s="8" t="s">
        <v>636</v>
      </c>
      <c r="E30" s="8" t="s">
        <v>0</v>
      </c>
      <c r="F30" s="8" t="s">
        <v>0</v>
      </c>
      <c r="G30" s="8" t="s">
        <v>124</v>
      </c>
      <c r="H30" s="9">
        <v>32.68</v>
      </c>
      <c r="I30" s="9">
        <v>109.04</v>
      </c>
      <c r="J30" s="8" t="s">
        <v>299</v>
      </c>
      <c r="K30" s="8" t="s">
        <v>87</v>
      </c>
      <c r="L30" s="8" t="s">
        <v>16</v>
      </c>
      <c r="M30" s="8" t="s">
        <v>17</v>
      </c>
      <c r="N30" s="8">
        <v>130.19999999999999</v>
      </c>
      <c r="O30" s="8" t="s">
        <v>0</v>
      </c>
      <c r="P30" s="10" t="s">
        <v>1035</v>
      </c>
    </row>
    <row r="31" spans="1:16" x14ac:dyDescent="0.25">
      <c r="A31" s="7" t="s">
        <v>637</v>
      </c>
      <c r="B31" s="8" t="s">
        <v>621</v>
      </c>
      <c r="C31" s="8" t="s">
        <v>43</v>
      </c>
      <c r="D31" s="8" t="s">
        <v>638</v>
      </c>
      <c r="E31" s="8" t="s">
        <v>0</v>
      </c>
      <c r="F31" s="8" t="s">
        <v>0</v>
      </c>
      <c r="G31" s="8" t="s">
        <v>124</v>
      </c>
      <c r="H31" s="9">
        <v>33.86</v>
      </c>
      <c r="I31" s="9">
        <v>109.95</v>
      </c>
      <c r="J31" s="8" t="s">
        <v>299</v>
      </c>
      <c r="K31" s="8" t="s">
        <v>87</v>
      </c>
      <c r="L31" s="8" t="s">
        <v>16</v>
      </c>
      <c r="M31" s="8" t="s">
        <v>17</v>
      </c>
      <c r="N31" s="8">
        <v>161.4</v>
      </c>
      <c r="O31" s="8" t="s">
        <v>0</v>
      </c>
      <c r="P31" s="10" t="s">
        <v>1035</v>
      </c>
    </row>
    <row r="32" spans="1:16" x14ac:dyDescent="0.25">
      <c r="A32" s="7" t="s">
        <v>639</v>
      </c>
      <c r="B32" s="8" t="s">
        <v>621</v>
      </c>
      <c r="C32" s="8" t="s">
        <v>43</v>
      </c>
      <c r="D32" s="8" t="s">
        <v>622</v>
      </c>
      <c r="E32" s="8" t="s">
        <v>0</v>
      </c>
      <c r="F32" s="8" t="s">
        <v>0</v>
      </c>
      <c r="G32" s="8" t="s">
        <v>124</v>
      </c>
      <c r="H32" s="9">
        <v>34.270000000000003</v>
      </c>
      <c r="I32" s="9">
        <v>108.96</v>
      </c>
      <c r="J32" s="8" t="s">
        <v>299</v>
      </c>
      <c r="K32" s="8" t="s">
        <v>87</v>
      </c>
      <c r="L32" s="8" t="s">
        <v>16</v>
      </c>
      <c r="M32" s="8" t="s">
        <v>17</v>
      </c>
      <c r="N32" s="8">
        <v>349.6</v>
      </c>
      <c r="O32" s="8" t="s">
        <v>0</v>
      </c>
      <c r="P32" s="10" t="s">
        <v>1035</v>
      </c>
    </row>
    <row r="33" spans="1:16" x14ac:dyDescent="0.25">
      <c r="A33" s="7" t="s">
        <v>640</v>
      </c>
      <c r="B33" s="8" t="s">
        <v>621</v>
      </c>
      <c r="C33" s="8" t="s">
        <v>43</v>
      </c>
      <c r="D33" s="8" t="s">
        <v>622</v>
      </c>
      <c r="E33" s="8" t="s">
        <v>0</v>
      </c>
      <c r="F33" s="8" t="s">
        <v>0</v>
      </c>
      <c r="G33" s="8" t="s">
        <v>124</v>
      </c>
      <c r="H33" s="9">
        <v>34.35</v>
      </c>
      <c r="I33" s="9">
        <v>108.98</v>
      </c>
      <c r="J33" s="8" t="s">
        <v>299</v>
      </c>
      <c r="K33" s="8" t="s">
        <v>87</v>
      </c>
      <c r="L33" s="8" t="s">
        <v>16</v>
      </c>
      <c r="M33" s="8" t="s">
        <v>17</v>
      </c>
      <c r="N33" s="8">
        <v>281.39999999999998</v>
      </c>
      <c r="O33" s="8" t="s">
        <v>0</v>
      </c>
      <c r="P33" s="10" t="s">
        <v>1035</v>
      </c>
    </row>
    <row r="34" spans="1:16" x14ac:dyDescent="0.25">
      <c r="A34" s="7" t="s">
        <v>641</v>
      </c>
      <c r="B34" s="8" t="s">
        <v>621</v>
      </c>
      <c r="C34" s="8" t="s">
        <v>43</v>
      </c>
      <c r="D34" s="8" t="s">
        <v>622</v>
      </c>
      <c r="E34" s="8" t="s">
        <v>0</v>
      </c>
      <c r="F34" s="8" t="s">
        <v>0</v>
      </c>
      <c r="G34" s="8" t="s">
        <v>124</v>
      </c>
      <c r="H34" s="9">
        <v>34.19</v>
      </c>
      <c r="I34" s="9">
        <v>108.88</v>
      </c>
      <c r="J34" s="8" t="s">
        <v>299</v>
      </c>
      <c r="K34" s="8" t="s">
        <v>87</v>
      </c>
      <c r="L34" s="8" t="s">
        <v>16</v>
      </c>
      <c r="M34" s="8" t="s">
        <v>17</v>
      </c>
      <c r="N34" s="8">
        <v>236.9</v>
      </c>
      <c r="O34" s="8" t="s">
        <v>0</v>
      </c>
      <c r="P34" s="10" t="s">
        <v>1035</v>
      </c>
    </row>
    <row r="35" spans="1:16" x14ac:dyDescent="0.25">
      <c r="A35" s="7" t="s">
        <v>642</v>
      </c>
      <c r="B35" s="8" t="s">
        <v>643</v>
      </c>
      <c r="C35" s="8" t="s">
        <v>644</v>
      </c>
      <c r="D35" s="8" t="s">
        <v>644</v>
      </c>
      <c r="E35" s="8" t="s">
        <v>0</v>
      </c>
      <c r="F35" s="8" t="s">
        <v>0</v>
      </c>
      <c r="G35" s="8" t="s">
        <v>645</v>
      </c>
      <c r="H35" s="9">
        <v>-19.05</v>
      </c>
      <c r="I35" s="9">
        <v>-98.94</v>
      </c>
      <c r="J35" s="8" t="s">
        <v>299</v>
      </c>
      <c r="K35" s="8" t="s">
        <v>87</v>
      </c>
      <c r="L35" s="8" t="s">
        <v>16</v>
      </c>
      <c r="M35" s="8" t="s">
        <v>30</v>
      </c>
      <c r="N35" s="8" t="s">
        <v>0</v>
      </c>
      <c r="O35" s="8" t="s">
        <v>646</v>
      </c>
      <c r="P35" s="10" t="s">
        <v>1140</v>
      </c>
    </row>
    <row r="36" spans="1:16" x14ac:dyDescent="0.25">
      <c r="A36" s="7" t="s">
        <v>642</v>
      </c>
      <c r="B36" s="8" t="s">
        <v>643</v>
      </c>
      <c r="C36" s="8" t="s">
        <v>644</v>
      </c>
      <c r="D36" s="8" t="s">
        <v>644</v>
      </c>
      <c r="E36" s="8" t="s">
        <v>0</v>
      </c>
      <c r="F36" s="8" t="s">
        <v>0</v>
      </c>
      <c r="G36" s="8" t="s">
        <v>645</v>
      </c>
      <c r="H36" s="9">
        <v>20</v>
      </c>
      <c r="I36" s="9">
        <v>133</v>
      </c>
      <c r="J36" s="8" t="s">
        <v>299</v>
      </c>
      <c r="K36" s="8" t="s">
        <v>87</v>
      </c>
      <c r="L36" s="8" t="s">
        <v>16</v>
      </c>
      <c r="M36" s="8" t="s">
        <v>30</v>
      </c>
      <c r="N36" s="8" t="s">
        <v>0</v>
      </c>
      <c r="O36" s="8" t="s">
        <v>1029</v>
      </c>
      <c r="P36" s="10" t="s">
        <v>1140</v>
      </c>
    </row>
    <row r="37" spans="1:16" x14ac:dyDescent="0.25">
      <c r="A37" s="7" t="s">
        <v>223</v>
      </c>
      <c r="B37" s="8" t="s">
        <v>224</v>
      </c>
      <c r="C37" s="8" t="s">
        <v>43</v>
      </c>
      <c r="D37" s="8" t="s">
        <v>0</v>
      </c>
      <c r="E37" s="8" t="s">
        <v>1025</v>
      </c>
      <c r="F37" s="8"/>
      <c r="G37" s="8" t="s">
        <v>227</v>
      </c>
      <c r="H37" s="9">
        <v>28</v>
      </c>
      <c r="I37" s="9">
        <v>123</v>
      </c>
      <c r="J37" s="8" t="s">
        <v>1151</v>
      </c>
      <c r="K37" s="8" t="s">
        <v>0</v>
      </c>
      <c r="L37" s="8" t="s">
        <v>16</v>
      </c>
      <c r="M37" s="8" t="s">
        <v>30</v>
      </c>
      <c r="N37" s="8" t="s">
        <v>1027</v>
      </c>
      <c r="O37" s="8" t="s">
        <v>1026</v>
      </c>
      <c r="P37" s="10" t="s">
        <v>1052</v>
      </c>
    </row>
    <row r="38" spans="1:16" x14ac:dyDescent="0.25">
      <c r="A38" s="7" t="s">
        <v>647</v>
      </c>
      <c r="B38" s="8" t="s">
        <v>648</v>
      </c>
      <c r="C38" s="8" t="s">
        <v>297</v>
      </c>
      <c r="D38" s="8" t="s">
        <v>649</v>
      </c>
      <c r="E38" s="8" t="s">
        <v>0</v>
      </c>
      <c r="F38" s="8" t="s">
        <v>60</v>
      </c>
      <c r="G38" s="8" t="s">
        <v>401</v>
      </c>
      <c r="H38" s="9">
        <v>36.415100000000002</v>
      </c>
      <c r="I38" s="9">
        <v>60.859200000000001</v>
      </c>
      <c r="J38" s="8" t="s">
        <v>299</v>
      </c>
      <c r="K38" s="8" t="s">
        <v>87</v>
      </c>
      <c r="L38" s="8" t="s">
        <v>16</v>
      </c>
      <c r="M38" s="8" t="s">
        <v>17</v>
      </c>
      <c r="N38" s="8" t="s">
        <v>650</v>
      </c>
      <c r="O38" s="8" t="s">
        <v>0</v>
      </c>
      <c r="P38" s="10" t="s">
        <v>1032</v>
      </c>
    </row>
    <row r="39" spans="1:16" x14ac:dyDescent="0.25">
      <c r="A39" s="7" t="s">
        <v>651</v>
      </c>
      <c r="B39" s="8" t="s">
        <v>648</v>
      </c>
      <c r="C39" s="8" t="s">
        <v>297</v>
      </c>
      <c r="D39" s="8" t="s">
        <v>649</v>
      </c>
      <c r="E39" s="8" t="s">
        <v>0</v>
      </c>
      <c r="F39" s="8" t="s">
        <v>64</v>
      </c>
      <c r="G39" s="8" t="s">
        <v>401</v>
      </c>
      <c r="H39" s="9">
        <v>36.416400000000003</v>
      </c>
      <c r="I39" s="9">
        <v>60.8583</v>
      </c>
      <c r="J39" s="8" t="s">
        <v>299</v>
      </c>
      <c r="K39" s="8" t="s">
        <v>87</v>
      </c>
      <c r="L39" s="8" t="s">
        <v>16</v>
      </c>
      <c r="M39" s="8" t="s">
        <v>17</v>
      </c>
      <c r="N39" s="8" t="s">
        <v>652</v>
      </c>
      <c r="O39" s="8" t="s">
        <v>0</v>
      </c>
      <c r="P39" s="10" t="s">
        <v>1032</v>
      </c>
    </row>
    <row r="40" spans="1:16" x14ac:dyDescent="0.25">
      <c r="A40" s="7" t="s">
        <v>653</v>
      </c>
      <c r="B40" s="8" t="s">
        <v>648</v>
      </c>
      <c r="C40" s="8" t="s">
        <v>297</v>
      </c>
      <c r="D40" s="8" t="s">
        <v>649</v>
      </c>
      <c r="E40" s="8" t="s">
        <v>0</v>
      </c>
      <c r="F40" s="8" t="s">
        <v>66</v>
      </c>
      <c r="G40" s="8" t="s">
        <v>401</v>
      </c>
      <c r="H40" s="9">
        <v>36.418300000000002</v>
      </c>
      <c r="I40" s="9">
        <v>60.857300000000002</v>
      </c>
      <c r="J40" s="8" t="s">
        <v>299</v>
      </c>
      <c r="K40" s="8" t="s">
        <v>87</v>
      </c>
      <c r="L40" s="8" t="s">
        <v>16</v>
      </c>
      <c r="M40" s="8" t="s">
        <v>17</v>
      </c>
      <c r="N40" s="8" t="s">
        <v>650</v>
      </c>
      <c r="O40" s="8" t="s">
        <v>0</v>
      </c>
      <c r="P40" s="10" t="s">
        <v>1032</v>
      </c>
    </row>
    <row r="41" spans="1:16" x14ac:dyDescent="0.25">
      <c r="A41" s="7" t="s">
        <v>654</v>
      </c>
      <c r="B41" s="8" t="s">
        <v>648</v>
      </c>
      <c r="C41" s="8" t="s">
        <v>297</v>
      </c>
      <c r="D41" s="8" t="s">
        <v>649</v>
      </c>
      <c r="E41" s="8" t="s">
        <v>0</v>
      </c>
      <c r="F41" s="8" t="s">
        <v>104</v>
      </c>
      <c r="G41" s="8" t="s">
        <v>401</v>
      </c>
      <c r="H41" s="9">
        <v>36.427799999999998</v>
      </c>
      <c r="I41" s="9">
        <v>60.855899999999998</v>
      </c>
      <c r="J41" s="8" t="s">
        <v>299</v>
      </c>
      <c r="K41" s="8" t="s">
        <v>87</v>
      </c>
      <c r="L41" s="8" t="s">
        <v>16</v>
      </c>
      <c r="M41" s="8" t="s">
        <v>17</v>
      </c>
      <c r="N41" s="8" t="s">
        <v>655</v>
      </c>
      <c r="O41" s="8" t="s">
        <v>0</v>
      </c>
      <c r="P41" s="10" t="s">
        <v>1032</v>
      </c>
    </row>
    <row r="42" spans="1:16" x14ac:dyDescent="0.25">
      <c r="A42" s="7" t="s">
        <v>656</v>
      </c>
      <c r="B42" s="8" t="s">
        <v>648</v>
      </c>
      <c r="C42" s="8" t="s">
        <v>297</v>
      </c>
      <c r="D42" s="8" t="s">
        <v>649</v>
      </c>
      <c r="E42" s="8" t="s">
        <v>0</v>
      </c>
      <c r="F42" s="8" t="s">
        <v>107</v>
      </c>
      <c r="G42" s="8" t="s">
        <v>401</v>
      </c>
      <c r="H42" s="9">
        <v>36.4542</v>
      </c>
      <c r="I42" s="9">
        <v>60.818899999999999</v>
      </c>
      <c r="J42" s="8" t="s">
        <v>299</v>
      </c>
      <c r="K42" s="8" t="s">
        <v>87</v>
      </c>
      <c r="L42" s="8" t="s">
        <v>16</v>
      </c>
      <c r="M42" s="8" t="s">
        <v>17</v>
      </c>
      <c r="N42" s="8" t="s">
        <v>657</v>
      </c>
      <c r="O42" s="8" t="s">
        <v>0</v>
      </c>
      <c r="P42" s="10" t="s">
        <v>1032</v>
      </c>
    </row>
    <row r="43" spans="1:16" x14ac:dyDescent="0.25">
      <c r="A43" s="7" t="s">
        <v>658</v>
      </c>
      <c r="B43" s="8" t="s">
        <v>648</v>
      </c>
      <c r="C43" s="8" t="s">
        <v>297</v>
      </c>
      <c r="D43" s="8" t="s">
        <v>649</v>
      </c>
      <c r="E43" s="8" t="s">
        <v>0</v>
      </c>
      <c r="F43" s="8" t="s">
        <v>170</v>
      </c>
      <c r="G43" s="8" t="s">
        <v>401</v>
      </c>
      <c r="H43" s="9">
        <v>36.414200000000001</v>
      </c>
      <c r="I43" s="9">
        <v>60.835700000000003</v>
      </c>
      <c r="J43" s="8" t="s">
        <v>299</v>
      </c>
      <c r="K43" s="8" t="s">
        <v>82</v>
      </c>
      <c r="L43" s="8" t="s">
        <v>16</v>
      </c>
      <c r="M43" s="8" t="s">
        <v>17</v>
      </c>
      <c r="N43" s="8" t="s">
        <v>659</v>
      </c>
      <c r="O43" s="8" t="s">
        <v>0</v>
      </c>
      <c r="P43" s="10" t="s">
        <v>1032</v>
      </c>
    </row>
    <row r="44" spans="1:16" x14ac:dyDescent="0.25">
      <c r="A44" s="7" t="s">
        <v>660</v>
      </c>
      <c r="B44" s="8" t="s">
        <v>648</v>
      </c>
      <c r="C44" s="8" t="s">
        <v>297</v>
      </c>
      <c r="D44" s="8" t="s">
        <v>649</v>
      </c>
      <c r="E44" s="8" t="s">
        <v>0</v>
      </c>
      <c r="F44" s="8" t="s">
        <v>172</v>
      </c>
      <c r="G44" s="8" t="s">
        <v>401</v>
      </c>
      <c r="H44" s="9">
        <v>36.4754</v>
      </c>
      <c r="I44" s="9">
        <v>60.812399999999997</v>
      </c>
      <c r="J44" s="8" t="s">
        <v>299</v>
      </c>
      <c r="K44" s="8" t="s">
        <v>87</v>
      </c>
      <c r="L44" s="8" t="s">
        <v>16</v>
      </c>
      <c r="M44" s="8" t="s">
        <v>17</v>
      </c>
      <c r="N44" s="8" t="s">
        <v>661</v>
      </c>
      <c r="O44" s="8" t="s">
        <v>0</v>
      </c>
      <c r="P44" s="10" t="s">
        <v>1032</v>
      </c>
    </row>
    <row r="45" spans="1:16" x14ac:dyDescent="0.25">
      <c r="A45" s="7" t="s">
        <v>662</v>
      </c>
      <c r="B45" s="8" t="s">
        <v>648</v>
      </c>
      <c r="C45" s="8" t="s">
        <v>297</v>
      </c>
      <c r="D45" s="8" t="s">
        <v>649</v>
      </c>
      <c r="E45" s="8" t="s">
        <v>0</v>
      </c>
      <c r="F45" s="8" t="s">
        <v>174</v>
      </c>
      <c r="G45" s="8" t="s">
        <v>401</v>
      </c>
      <c r="H45" s="9">
        <v>36.406100000000002</v>
      </c>
      <c r="I45" s="9">
        <v>60.840600000000002</v>
      </c>
      <c r="J45" s="8" t="s">
        <v>299</v>
      </c>
      <c r="K45" s="8" t="s">
        <v>82</v>
      </c>
      <c r="L45" s="8" t="s">
        <v>16</v>
      </c>
      <c r="M45" s="8" t="s">
        <v>17</v>
      </c>
      <c r="N45" s="8" t="s">
        <v>657</v>
      </c>
      <c r="O45" s="8" t="s">
        <v>0</v>
      </c>
      <c r="P45" s="10" t="s">
        <v>1032</v>
      </c>
    </row>
    <row r="46" spans="1:16" x14ac:dyDescent="0.25">
      <c r="A46" s="7" t="s">
        <v>663</v>
      </c>
      <c r="B46" s="8" t="s">
        <v>648</v>
      </c>
      <c r="C46" s="8" t="s">
        <v>297</v>
      </c>
      <c r="D46" s="8" t="s">
        <v>649</v>
      </c>
      <c r="E46" s="8" t="s">
        <v>0</v>
      </c>
      <c r="F46" s="8" t="s">
        <v>176</v>
      </c>
      <c r="G46" s="8" t="s">
        <v>401</v>
      </c>
      <c r="H46" s="9">
        <v>36.397500000000001</v>
      </c>
      <c r="I46" s="9">
        <v>60.8703</v>
      </c>
      <c r="J46" s="8" t="s">
        <v>299</v>
      </c>
      <c r="K46" s="8" t="s">
        <v>82</v>
      </c>
      <c r="L46" s="8" t="s">
        <v>16</v>
      </c>
      <c r="M46" s="8" t="s">
        <v>17</v>
      </c>
      <c r="N46" s="8" t="s">
        <v>650</v>
      </c>
      <c r="O46" s="8" t="s">
        <v>0</v>
      </c>
      <c r="P46" s="10" t="s">
        <v>1032</v>
      </c>
    </row>
    <row r="47" spans="1:16" x14ac:dyDescent="0.25">
      <c r="A47" s="7" t="s">
        <v>664</v>
      </c>
      <c r="B47" s="8" t="s">
        <v>648</v>
      </c>
      <c r="C47" s="8" t="s">
        <v>297</v>
      </c>
      <c r="D47" s="8" t="s">
        <v>649</v>
      </c>
      <c r="E47" s="8" t="s">
        <v>0</v>
      </c>
      <c r="F47" s="8" t="s">
        <v>178</v>
      </c>
      <c r="G47" s="8" t="s">
        <v>401</v>
      </c>
      <c r="H47" s="9">
        <v>36.434699999999999</v>
      </c>
      <c r="I47" s="9">
        <v>60.83</v>
      </c>
      <c r="J47" s="8" t="s">
        <v>299</v>
      </c>
      <c r="K47" s="8" t="s">
        <v>87</v>
      </c>
      <c r="L47" s="8" t="s">
        <v>16</v>
      </c>
      <c r="M47" s="8" t="s">
        <v>17</v>
      </c>
      <c r="N47" s="8" t="s">
        <v>659</v>
      </c>
      <c r="O47" s="8" t="s">
        <v>0</v>
      </c>
      <c r="P47" s="10" t="s">
        <v>1032</v>
      </c>
    </row>
    <row r="48" spans="1:16" x14ac:dyDescent="0.25">
      <c r="A48" s="7" t="s">
        <v>665</v>
      </c>
      <c r="B48" s="8" t="s">
        <v>666</v>
      </c>
      <c r="C48" s="8" t="s">
        <v>297</v>
      </c>
      <c r="D48" s="8" t="s">
        <v>667</v>
      </c>
      <c r="E48" s="8" t="s">
        <v>0</v>
      </c>
      <c r="F48" s="8" t="s">
        <v>0</v>
      </c>
      <c r="G48" s="8" t="s">
        <v>19</v>
      </c>
      <c r="H48" s="9">
        <v>41.38</v>
      </c>
      <c r="I48" s="9">
        <v>25.58</v>
      </c>
      <c r="J48" s="8" t="s">
        <v>299</v>
      </c>
      <c r="K48" s="8" t="s">
        <v>87</v>
      </c>
      <c r="L48" s="8" t="s">
        <v>16</v>
      </c>
      <c r="M48" s="8" t="s">
        <v>30</v>
      </c>
      <c r="N48" s="8" t="s">
        <v>0</v>
      </c>
      <c r="O48" s="8" t="s">
        <v>668</v>
      </c>
      <c r="P48" s="10" t="s">
        <v>1139</v>
      </c>
    </row>
    <row r="49" spans="1:16" x14ac:dyDescent="0.25">
      <c r="A49" s="7" t="s">
        <v>453</v>
      </c>
      <c r="B49" s="8" t="s">
        <v>454</v>
      </c>
      <c r="C49" s="8" t="s">
        <v>43</v>
      </c>
      <c r="D49" s="8" t="s">
        <v>53</v>
      </c>
      <c r="E49" s="8" t="s">
        <v>0</v>
      </c>
      <c r="F49" s="8" t="s">
        <v>1173</v>
      </c>
      <c r="G49" s="8" t="s">
        <v>31</v>
      </c>
      <c r="H49" s="9">
        <v>24.63</v>
      </c>
      <c r="I49" s="9">
        <v>118.3</v>
      </c>
      <c r="J49" s="8" t="s">
        <v>299</v>
      </c>
      <c r="K49" s="8" t="s">
        <v>82</v>
      </c>
      <c r="L49" s="8" t="s">
        <v>16</v>
      </c>
      <c r="M49" s="8" t="s">
        <v>30</v>
      </c>
      <c r="N49" s="8" t="s">
        <v>0</v>
      </c>
      <c r="O49" s="8" t="s">
        <v>455</v>
      </c>
      <c r="P49" s="10" t="s">
        <v>1030</v>
      </c>
    </row>
    <row r="50" spans="1:16" x14ac:dyDescent="0.25">
      <c r="A50" s="7" t="s">
        <v>669</v>
      </c>
      <c r="B50" s="8" t="s">
        <v>454</v>
      </c>
      <c r="C50" s="8" t="s">
        <v>43</v>
      </c>
      <c r="D50" s="8" t="s">
        <v>53</v>
      </c>
      <c r="E50" s="8" t="s">
        <v>0</v>
      </c>
      <c r="F50" s="8" t="s">
        <v>1172</v>
      </c>
      <c r="G50" s="8" t="s">
        <v>670</v>
      </c>
      <c r="H50" s="9">
        <v>24.67</v>
      </c>
      <c r="I50" s="9">
        <v>118.1</v>
      </c>
      <c r="J50" s="8" t="s">
        <v>299</v>
      </c>
      <c r="K50" s="8" t="s">
        <v>87</v>
      </c>
      <c r="L50" s="8" t="s">
        <v>16</v>
      </c>
      <c r="M50" s="8" t="s">
        <v>30</v>
      </c>
      <c r="N50" s="8" t="s">
        <v>0</v>
      </c>
      <c r="O50" s="8" t="s">
        <v>671</v>
      </c>
      <c r="P50" s="10" t="s">
        <v>1030</v>
      </c>
    </row>
    <row r="51" spans="1:16" x14ac:dyDescent="0.25">
      <c r="A51" s="7" t="s">
        <v>456</v>
      </c>
      <c r="B51" s="8" t="s">
        <v>457</v>
      </c>
      <c r="C51" s="8" t="s">
        <v>43</v>
      </c>
      <c r="D51" s="8" t="s">
        <v>458</v>
      </c>
      <c r="E51" s="8" t="s">
        <v>0</v>
      </c>
      <c r="F51" s="8" t="s">
        <v>1175</v>
      </c>
      <c r="G51" s="8" t="s">
        <v>97</v>
      </c>
      <c r="H51" s="9">
        <v>30.65</v>
      </c>
      <c r="I51" s="9">
        <v>103.05</v>
      </c>
      <c r="J51" s="8" t="s">
        <v>299</v>
      </c>
      <c r="K51" s="8" t="s">
        <v>82</v>
      </c>
      <c r="L51" s="8" t="s">
        <v>16</v>
      </c>
      <c r="M51" s="8" t="s">
        <v>17</v>
      </c>
      <c r="N51" s="8">
        <v>2895</v>
      </c>
      <c r="O51" s="8" t="s">
        <v>0</v>
      </c>
      <c r="P51" s="10" t="s">
        <v>1177</v>
      </c>
    </row>
    <row r="52" spans="1:16" x14ac:dyDescent="0.25">
      <c r="A52" s="7" t="s">
        <v>1174</v>
      </c>
      <c r="B52" s="8" t="s">
        <v>457</v>
      </c>
      <c r="C52" s="8" t="s">
        <v>43</v>
      </c>
      <c r="D52" s="8" t="s">
        <v>458</v>
      </c>
      <c r="E52" s="8" t="s">
        <v>0</v>
      </c>
      <c r="F52" s="8" t="s">
        <v>1176</v>
      </c>
      <c r="G52" s="8" t="s">
        <v>97</v>
      </c>
      <c r="H52" s="9">
        <v>30.65</v>
      </c>
      <c r="I52" s="9">
        <v>103.99</v>
      </c>
      <c r="J52" s="8" t="s">
        <v>299</v>
      </c>
      <c r="K52" s="8" t="s">
        <v>82</v>
      </c>
      <c r="L52" s="8" t="s">
        <v>16</v>
      </c>
      <c r="M52" s="8" t="s">
        <v>17</v>
      </c>
      <c r="N52" s="8">
        <v>1979</v>
      </c>
      <c r="O52" s="8" t="s">
        <v>0</v>
      </c>
      <c r="P52" s="10" t="s">
        <v>1177</v>
      </c>
    </row>
    <row r="53" spans="1:16" x14ac:dyDescent="0.25">
      <c r="A53" s="7" t="s">
        <v>672</v>
      </c>
      <c r="B53" s="8" t="s">
        <v>673</v>
      </c>
      <c r="C53" s="8" t="s">
        <v>43</v>
      </c>
      <c r="D53" s="8" t="s">
        <v>76</v>
      </c>
      <c r="E53" s="8" t="s">
        <v>0</v>
      </c>
      <c r="F53" s="8" t="s">
        <v>0</v>
      </c>
      <c r="G53" s="8" t="s">
        <v>674</v>
      </c>
      <c r="H53" s="9">
        <v>30.65</v>
      </c>
      <c r="I53" s="9">
        <v>120.68</v>
      </c>
      <c r="J53" s="8" t="s">
        <v>299</v>
      </c>
      <c r="K53" s="8" t="s">
        <v>87</v>
      </c>
      <c r="L53" s="8" t="s">
        <v>16</v>
      </c>
      <c r="M53" s="8" t="s">
        <v>30</v>
      </c>
      <c r="N53" s="8" t="s">
        <v>0</v>
      </c>
      <c r="O53" s="8" t="s">
        <v>675</v>
      </c>
      <c r="P53" s="10" t="s">
        <v>1031</v>
      </c>
    </row>
    <row r="54" spans="1:16" x14ac:dyDescent="0.25">
      <c r="A54" s="7" t="s">
        <v>259</v>
      </c>
      <c r="B54" s="8" t="s">
        <v>260</v>
      </c>
      <c r="C54" s="8" t="s">
        <v>0</v>
      </c>
      <c r="D54" s="8" t="s">
        <v>0</v>
      </c>
      <c r="E54" s="8" t="s">
        <v>261</v>
      </c>
      <c r="F54" s="8" t="s">
        <v>0</v>
      </c>
      <c r="G54" s="8" t="s">
        <v>262</v>
      </c>
      <c r="H54" s="9">
        <v>30.2</v>
      </c>
      <c r="I54" s="9">
        <v>123.06</v>
      </c>
      <c r="J54" s="8" t="s">
        <v>1151</v>
      </c>
      <c r="K54" s="8" t="s">
        <v>119</v>
      </c>
      <c r="L54" s="8" t="s">
        <v>16</v>
      </c>
      <c r="M54" s="8" t="s">
        <v>30</v>
      </c>
      <c r="N54" s="8" t="s">
        <v>0</v>
      </c>
      <c r="O54" s="8">
        <v>4.8000000000000001E-2</v>
      </c>
      <c r="P54" s="10" t="s">
        <v>1032</v>
      </c>
    </row>
    <row r="55" spans="1:16" x14ac:dyDescent="0.25">
      <c r="A55" s="7" t="s">
        <v>263</v>
      </c>
      <c r="B55" s="8" t="s">
        <v>260</v>
      </c>
      <c r="C55" s="8" t="s">
        <v>0</v>
      </c>
      <c r="D55" s="8" t="s">
        <v>0</v>
      </c>
      <c r="E55" s="8" t="s">
        <v>261</v>
      </c>
      <c r="F55" s="8" t="s">
        <v>0</v>
      </c>
      <c r="G55" s="8" t="s">
        <v>262</v>
      </c>
      <c r="H55" s="9">
        <v>24.97</v>
      </c>
      <c r="I55" s="9">
        <v>128.18</v>
      </c>
      <c r="J55" s="8" t="s">
        <v>1151</v>
      </c>
      <c r="K55" s="8" t="s">
        <v>119</v>
      </c>
      <c r="L55" s="8" t="s">
        <v>16</v>
      </c>
      <c r="M55" s="8" t="s">
        <v>30</v>
      </c>
      <c r="N55" s="8" t="s">
        <v>0</v>
      </c>
      <c r="O55" s="8">
        <v>3.7999999999999999E-2</v>
      </c>
      <c r="P55" s="10" t="s">
        <v>1032</v>
      </c>
    </row>
    <row r="56" spans="1:16" x14ac:dyDescent="0.25">
      <c r="A56" s="7" t="s">
        <v>264</v>
      </c>
      <c r="B56" s="8" t="s">
        <v>260</v>
      </c>
      <c r="C56" s="8" t="s">
        <v>0</v>
      </c>
      <c r="D56" s="8" t="s">
        <v>0</v>
      </c>
      <c r="E56" s="8" t="s">
        <v>261</v>
      </c>
      <c r="F56" s="8" t="s">
        <v>0</v>
      </c>
      <c r="G56" s="8" t="s">
        <v>262</v>
      </c>
      <c r="H56" s="9">
        <v>18.670000000000002</v>
      </c>
      <c r="I56" s="9">
        <v>134.05000000000001</v>
      </c>
      <c r="J56" s="8" t="s">
        <v>1151</v>
      </c>
      <c r="K56" s="8" t="s">
        <v>119</v>
      </c>
      <c r="L56" s="8" t="s">
        <v>16</v>
      </c>
      <c r="M56" s="8" t="s">
        <v>30</v>
      </c>
      <c r="N56" s="8" t="s">
        <v>0</v>
      </c>
      <c r="O56" s="8">
        <v>3.1600000000000003E-2</v>
      </c>
      <c r="P56" s="10" t="s">
        <v>1032</v>
      </c>
    </row>
    <row r="57" spans="1:16" x14ac:dyDescent="0.25">
      <c r="A57" s="7" t="s">
        <v>265</v>
      </c>
      <c r="B57" s="8" t="s">
        <v>260</v>
      </c>
      <c r="C57" s="8" t="s">
        <v>0</v>
      </c>
      <c r="D57" s="8" t="s">
        <v>0</v>
      </c>
      <c r="E57" s="8" t="s">
        <v>261</v>
      </c>
      <c r="F57" s="8" t="s">
        <v>0</v>
      </c>
      <c r="G57" s="8" t="s">
        <v>262</v>
      </c>
      <c r="H57" s="9">
        <v>12.79</v>
      </c>
      <c r="I57" s="9">
        <v>139.81</v>
      </c>
      <c r="J57" s="8" t="s">
        <v>1151</v>
      </c>
      <c r="K57" s="8" t="s">
        <v>119</v>
      </c>
      <c r="L57" s="8" t="s">
        <v>16</v>
      </c>
      <c r="M57" s="8" t="s">
        <v>30</v>
      </c>
      <c r="N57" s="8" t="s">
        <v>0</v>
      </c>
      <c r="O57" s="8">
        <v>2.2599999999999999E-2</v>
      </c>
      <c r="P57" s="10" t="s">
        <v>1032</v>
      </c>
    </row>
    <row r="58" spans="1:16" x14ac:dyDescent="0.25">
      <c r="A58" s="7" t="s">
        <v>266</v>
      </c>
      <c r="B58" s="8" t="s">
        <v>260</v>
      </c>
      <c r="C58" s="8" t="s">
        <v>0</v>
      </c>
      <c r="D58" s="8" t="s">
        <v>0</v>
      </c>
      <c r="E58" s="8" t="s">
        <v>261</v>
      </c>
      <c r="F58" s="8" t="s">
        <v>0</v>
      </c>
      <c r="G58" s="8" t="s">
        <v>262</v>
      </c>
      <c r="H58" s="9">
        <v>5.12</v>
      </c>
      <c r="I58" s="9">
        <v>146.94</v>
      </c>
      <c r="J58" s="8" t="s">
        <v>1151</v>
      </c>
      <c r="K58" s="8" t="s">
        <v>119</v>
      </c>
      <c r="L58" s="8" t="s">
        <v>16</v>
      </c>
      <c r="M58" s="8" t="s">
        <v>30</v>
      </c>
      <c r="N58" s="8" t="s">
        <v>0</v>
      </c>
      <c r="O58" s="8">
        <v>4.0500000000000001E-2</v>
      </c>
      <c r="P58" s="10" t="s">
        <v>1032</v>
      </c>
    </row>
    <row r="59" spans="1:16" x14ac:dyDescent="0.25">
      <c r="A59" s="7" t="s">
        <v>267</v>
      </c>
      <c r="B59" s="8" t="s">
        <v>260</v>
      </c>
      <c r="C59" s="8" t="s">
        <v>0</v>
      </c>
      <c r="D59" s="8" t="s">
        <v>0</v>
      </c>
      <c r="E59" s="8" t="s">
        <v>261</v>
      </c>
      <c r="F59" s="8" t="s">
        <v>0</v>
      </c>
      <c r="G59" s="8" t="s">
        <v>262</v>
      </c>
      <c r="H59" s="9">
        <v>-4.71</v>
      </c>
      <c r="I59" s="9">
        <v>152.56</v>
      </c>
      <c r="J59" s="8" t="s">
        <v>1151</v>
      </c>
      <c r="K59" s="8" t="s">
        <v>119</v>
      </c>
      <c r="L59" s="8" t="s">
        <v>16</v>
      </c>
      <c r="M59" s="8" t="s">
        <v>30</v>
      </c>
      <c r="N59" s="8" t="s">
        <v>0</v>
      </c>
      <c r="O59" s="8">
        <v>4.0800000000000003E-2</v>
      </c>
      <c r="P59" s="10" t="s">
        <v>1032</v>
      </c>
    </row>
    <row r="60" spans="1:16" x14ac:dyDescent="0.25">
      <c r="A60" s="7" t="s">
        <v>268</v>
      </c>
      <c r="B60" s="8" t="s">
        <v>260</v>
      </c>
      <c r="C60" s="8" t="s">
        <v>0</v>
      </c>
      <c r="D60" s="8" t="s">
        <v>0</v>
      </c>
      <c r="E60" s="8" t="s">
        <v>261</v>
      </c>
      <c r="F60" s="8" t="s">
        <v>0</v>
      </c>
      <c r="G60" s="8" t="s">
        <v>262</v>
      </c>
      <c r="H60" s="9">
        <v>-13.66</v>
      </c>
      <c r="I60" s="9">
        <v>155.27000000000001</v>
      </c>
      <c r="J60" s="8" t="s">
        <v>1151</v>
      </c>
      <c r="K60" s="8" t="s">
        <v>119</v>
      </c>
      <c r="L60" s="8" t="s">
        <v>16</v>
      </c>
      <c r="M60" s="8" t="s">
        <v>30</v>
      </c>
      <c r="N60" s="8" t="s">
        <v>0</v>
      </c>
      <c r="O60" s="8">
        <v>4.2200000000000001E-2</v>
      </c>
      <c r="P60" s="10" t="s">
        <v>1032</v>
      </c>
    </row>
    <row r="61" spans="1:16" x14ac:dyDescent="0.25">
      <c r="A61" s="7" t="s">
        <v>269</v>
      </c>
      <c r="B61" s="8" t="s">
        <v>260</v>
      </c>
      <c r="C61" s="8" t="s">
        <v>0</v>
      </c>
      <c r="D61" s="8" t="s">
        <v>0</v>
      </c>
      <c r="E61" s="8" t="s">
        <v>261</v>
      </c>
      <c r="F61" s="8" t="s">
        <v>0</v>
      </c>
      <c r="G61" s="8" t="s">
        <v>262</v>
      </c>
      <c r="H61" s="9">
        <v>-24.05</v>
      </c>
      <c r="I61" s="9">
        <v>155.57</v>
      </c>
      <c r="J61" s="8" t="s">
        <v>1151</v>
      </c>
      <c r="K61" s="8" t="s">
        <v>119</v>
      </c>
      <c r="L61" s="8" t="s">
        <v>16</v>
      </c>
      <c r="M61" s="8" t="s">
        <v>30</v>
      </c>
      <c r="N61" s="8" t="s">
        <v>0</v>
      </c>
      <c r="O61" s="8">
        <v>4.8000000000000001E-2</v>
      </c>
      <c r="P61" s="10" t="s">
        <v>1032</v>
      </c>
    </row>
    <row r="62" spans="1:16" x14ac:dyDescent="0.25">
      <c r="A62" s="7" t="s">
        <v>270</v>
      </c>
      <c r="B62" s="8" t="s">
        <v>260</v>
      </c>
      <c r="C62" s="8" t="s">
        <v>0</v>
      </c>
      <c r="D62" s="8" t="s">
        <v>0</v>
      </c>
      <c r="E62" s="8" t="s">
        <v>261</v>
      </c>
      <c r="F62" s="8" t="s">
        <v>0</v>
      </c>
      <c r="G62" s="8" t="s">
        <v>262</v>
      </c>
      <c r="H62" s="9">
        <v>-34.270000000000003</v>
      </c>
      <c r="I62" s="9">
        <v>153.05000000000001</v>
      </c>
      <c r="J62" s="8" t="s">
        <v>1151</v>
      </c>
      <c r="K62" s="8" t="s">
        <v>119</v>
      </c>
      <c r="L62" s="8" t="s">
        <v>16</v>
      </c>
      <c r="M62" s="8" t="s">
        <v>30</v>
      </c>
      <c r="N62" s="8" t="s">
        <v>0</v>
      </c>
      <c r="O62" s="8">
        <v>4.7800000000000002E-2</v>
      </c>
      <c r="P62" s="10" t="s">
        <v>1032</v>
      </c>
    </row>
    <row r="63" spans="1:16" x14ac:dyDescent="0.25">
      <c r="A63" s="7" t="s">
        <v>271</v>
      </c>
      <c r="B63" s="8" t="s">
        <v>260</v>
      </c>
      <c r="C63" s="8" t="s">
        <v>0</v>
      </c>
      <c r="D63" s="8" t="s">
        <v>0</v>
      </c>
      <c r="E63" s="8" t="s">
        <v>261</v>
      </c>
      <c r="F63" s="8" t="s">
        <v>0</v>
      </c>
      <c r="G63" s="8" t="s">
        <v>262</v>
      </c>
      <c r="H63" s="9">
        <v>-44.41</v>
      </c>
      <c r="I63" s="9">
        <v>150.09</v>
      </c>
      <c r="J63" s="8" t="s">
        <v>1151</v>
      </c>
      <c r="K63" s="8" t="s">
        <v>119</v>
      </c>
      <c r="L63" s="8" t="s">
        <v>16</v>
      </c>
      <c r="M63" s="8" t="s">
        <v>30</v>
      </c>
      <c r="N63" s="8" t="s">
        <v>0</v>
      </c>
      <c r="O63" s="8">
        <v>3.15E-2</v>
      </c>
      <c r="P63" s="10" t="s">
        <v>1032</v>
      </c>
    </row>
    <row r="64" spans="1:16" x14ac:dyDescent="0.25">
      <c r="A64" s="7" t="s">
        <v>272</v>
      </c>
      <c r="B64" s="8" t="s">
        <v>260</v>
      </c>
      <c r="C64" s="8" t="s">
        <v>0</v>
      </c>
      <c r="D64" s="8" t="s">
        <v>0</v>
      </c>
      <c r="E64" s="8" t="s">
        <v>261</v>
      </c>
      <c r="F64" s="8" t="s">
        <v>0</v>
      </c>
      <c r="G64" s="8" t="s">
        <v>262</v>
      </c>
      <c r="H64" s="9">
        <v>-45.85</v>
      </c>
      <c r="I64" s="9">
        <v>147.41999999999999</v>
      </c>
      <c r="J64" s="8" t="s">
        <v>1151</v>
      </c>
      <c r="K64" s="8" t="s">
        <v>119</v>
      </c>
      <c r="L64" s="8" t="s">
        <v>16</v>
      </c>
      <c r="M64" s="8" t="s">
        <v>30</v>
      </c>
      <c r="N64" s="8" t="s">
        <v>0</v>
      </c>
      <c r="O64" s="8">
        <v>2.46E-2</v>
      </c>
      <c r="P64" s="10" t="s">
        <v>1032</v>
      </c>
    </row>
    <row r="65" spans="1:16" x14ac:dyDescent="0.25">
      <c r="A65" s="7" t="s">
        <v>273</v>
      </c>
      <c r="B65" s="8" t="s">
        <v>260</v>
      </c>
      <c r="C65" s="8" t="s">
        <v>0</v>
      </c>
      <c r="D65" s="8" t="s">
        <v>0</v>
      </c>
      <c r="E65" s="8" t="s">
        <v>261</v>
      </c>
      <c r="F65" s="8" t="s">
        <v>0</v>
      </c>
      <c r="G65" s="8" t="s">
        <v>262</v>
      </c>
      <c r="H65" s="9">
        <v>-54.24</v>
      </c>
      <c r="I65" s="9">
        <v>144.16</v>
      </c>
      <c r="J65" s="8" t="s">
        <v>1151</v>
      </c>
      <c r="K65" s="8" t="s">
        <v>119</v>
      </c>
      <c r="L65" s="8" t="s">
        <v>16</v>
      </c>
      <c r="M65" s="8" t="s">
        <v>30</v>
      </c>
      <c r="N65" s="8" t="s">
        <v>0</v>
      </c>
      <c r="O65" s="8">
        <v>3.9800000000000002E-2</v>
      </c>
      <c r="P65" s="10" t="s">
        <v>1032</v>
      </c>
    </row>
    <row r="66" spans="1:16" x14ac:dyDescent="0.25">
      <c r="A66" s="7" t="s">
        <v>274</v>
      </c>
      <c r="B66" s="8" t="s">
        <v>260</v>
      </c>
      <c r="C66" s="8" t="s">
        <v>0</v>
      </c>
      <c r="D66" s="8" t="s">
        <v>0</v>
      </c>
      <c r="E66" s="8" t="s">
        <v>261</v>
      </c>
      <c r="F66" s="8" t="s">
        <v>0</v>
      </c>
      <c r="G66" s="8" t="s">
        <v>262</v>
      </c>
      <c r="H66" s="9">
        <v>-60.34</v>
      </c>
      <c r="I66" s="9">
        <v>129.58000000000001</v>
      </c>
      <c r="J66" s="8" t="s">
        <v>1151</v>
      </c>
      <c r="K66" s="8" t="s">
        <v>119</v>
      </c>
      <c r="L66" s="8" t="s">
        <v>16</v>
      </c>
      <c r="M66" s="8" t="s">
        <v>30</v>
      </c>
      <c r="N66" s="8" t="s">
        <v>0</v>
      </c>
      <c r="O66" s="8">
        <v>4.4999999999999998E-2</v>
      </c>
      <c r="P66" s="10" t="s">
        <v>1032</v>
      </c>
    </row>
    <row r="67" spans="1:16" x14ac:dyDescent="0.25">
      <c r="A67" s="7" t="s">
        <v>275</v>
      </c>
      <c r="B67" s="8" t="s">
        <v>260</v>
      </c>
      <c r="C67" s="8" t="s">
        <v>0</v>
      </c>
      <c r="D67" s="8" t="s">
        <v>0</v>
      </c>
      <c r="E67" s="8" t="s">
        <v>261</v>
      </c>
      <c r="F67" s="8" t="s">
        <v>0</v>
      </c>
      <c r="G67" s="8" t="s">
        <v>262</v>
      </c>
      <c r="H67" s="9">
        <v>-60.89</v>
      </c>
      <c r="I67" s="9">
        <v>109.6</v>
      </c>
      <c r="J67" s="8" t="s">
        <v>1151</v>
      </c>
      <c r="K67" s="8" t="s">
        <v>119</v>
      </c>
      <c r="L67" s="8" t="s">
        <v>16</v>
      </c>
      <c r="M67" s="8" t="s">
        <v>30</v>
      </c>
      <c r="N67" s="8" t="s">
        <v>0</v>
      </c>
      <c r="O67" s="8">
        <v>2.9700000000000001E-2</v>
      </c>
      <c r="P67" s="10" t="s">
        <v>1032</v>
      </c>
    </row>
    <row r="68" spans="1:16" x14ac:dyDescent="0.25">
      <c r="A68" s="7" t="s">
        <v>276</v>
      </c>
      <c r="B68" s="8" t="s">
        <v>260</v>
      </c>
      <c r="C68" s="8" t="s">
        <v>0</v>
      </c>
      <c r="D68" s="8" t="s">
        <v>0</v>
      </c>
      <c r="E68" s="8" t="s">
        <v>261</v>
      </c>
      <c r="F68" s="8" t="s">
        <v>0</v>
      </c>
      <c r="G68" s="8" t="s">
        <v>262</v>
      </c>
      <c r="H68" s="9">
        <v>-61.65</v>
      </c>
      <c r="I68" s="9">
        <v>89.95</v>
      </c>
      <c r="J68" s="8" t="s">
        <v>1151</v>
      </c>
      <c r="K68" s="8" t="s">
        <v>119</v>
      </c>
      <c r="L68" s="8" t="s">
        <v>16</v>
      </c>
      <c r="M68" s="8" t="s">
        <v>30</v>
      </c>
      <c r="N68" s="8" t="s">
        <v>0</v>
      </c>
      <c r="O68" s="8">
        <v>1.95E-2</v>
      </c>
      <c r="P68" s="10" t="s">
        <v>1032</v>
      </c>
    </row>
    <row r="69" spans="1:16" x14ac:dyDescent="0.25">
      <c r="A69" s="7" t="s">
        <v>277</v>
      </c>
      <c r="B69" s="8" t="s">
        <v>260</v>
      </c>
      <c r="C69" s="8" t="s">
        <v>0</v>
      </c>
      <c r="D69" s="8" t="s">
        <v>0</v>
      </c>
      <c r="E69" s="8" t="s">
        <v>261</v>
      </c>
      <c r="F69" s="8" t="s">
        <v>0</v>
      </c>
      <c r="G69" s="8" t="s">
        <v>262</v>
      </c>
      <c r="H69" s="9">
        <v>-64.040000000000006</v>
      </c>
      <c r="I69" s="9">
        <v>103.43</v>
      </c>
      <c r="J69" s="8" t="s">
        <v>1151</v>
      </c>
      <c r="K69" s="8" t="s">
        <v>119</v>
      </c>
      <c r="L69" s="8" t="s">
        <v>16</v>
      </c>
      <c r="M69" s="8" t="s">
        <v>30</v>
      </c>
      <c r="N69" s="8" t="s">
        <v>0</v>
      </c>
      <c r="O69" s="8">
        <v>2.47E-2</v>
      </c>
      <c r="P69" s="10" t="s">
        <v>1032</v>
      </c>
    </row>
    <row r="70" spans="1:16" x14ac:dyDescent="0.25">
      <c r="A70" s="7" t="s">
        <v>278</v>
      </c>
      <c r="B70" s="8" t="s">
        <v>260</v>
      </c>
      <c r="C70" s="8" t="s">
        <v>0</v>
      </c>
      <c r="D70" s="8" t="s">
        <v>0</v>
      </c>
      <c r="E70" s="8" t="s">
        <v>261</v>
      </c>
      <c r="F70" s="8" t="s">
        <v>0</v>
      </c>
      <c r="G70" s="8" t="s">
        <v>262</v>
      </c>
      <c r="H70" s="9">
        <v>-64.39</v>
      </c>
      <c r="I70" s="9">
        <v>128.36000000000001</v>
      </c>
      <c r="J70" s="8" t="s">
        <v>1151</v>
      </c>
      <c r="K70" s="8" t="s">
        <v>119</v>
      </c>
      <c r="L70" s="8" t="s">
        <v>16</v>
      </c>
      <c r="M70" s="8" t="s">
        <v>30</v>
      </c>
      <c r="N70" s="8" t="s">
        <v>0</v>
      </c>
      <c r="O70" s="8">
        <v>3.44E-2</v>
      </c>
      <c r="P70" s="10" t="s">
        <v>1032</v>
      </c>
    </row>
    <row r="71" spans="1:16" x14ac:dyDescent="0.25">
      <c r="A71" s="7" t="s">
        <v>279</v>
      </c>
      <c r="B71" s="8" t="s">
        <v>260</v>
      </c>
      <c r="C71" s="8" t="s">
        <v>0</v>
      </c>
      <c r="D71" s="8" t="s">
        <v>0</v>
      </c>
      <c r="E71" s="8" t="s">
        <v>261</v>
      </c>
      <c r="F71" s="8" t="s">
        <v>0</v>
      </c>
      <c r="G71" s="8" t="s">
        <v>262</v>
      </c>
      <c r="H71" s="9">
        <v>-64.739999999999995</v>
      </c>
      <c r="I71" s="9">
        <v>146.33000000000001</v>
      </c>
      <c r="J71" s="8" t="s">
        <v>1151</v>
      </c>
      <c r="K71" s="8" t="s">
        <v>119</v>
      </c>
      <c r="L71" s="8" t="s">
        <v>16</v>
      </c>
      <c r="M71" s="8" t="s">
        <v>30</v>
      </c>
      <c r="N71" s="8" t="s">
        <v>0</v>
      </c>
      <c r="O71" s="8">
        <v>3.5499999999999997E-2</v>
      </c>
      <c r="P71" s="10" t="s">
        <v>1032</v>
      </c>
    </row>
    <row r="72" spans="1:16" x14ac:dyDescent="0.25">
      <c r="A72" s="7" t="s">
        <v>280</v>
      </c>
      <c r="B72" s="8" t="s">
        <v>260</v>
      </c>
      <c r="C72" s="8" t="s">
        <v>0</v>
      </c>
      <c r="D72" s="8" t="s">
        <v>0</v>
      </c>
      <c r="E72" s="8" t="s">
        <v>261</v>
      </c>
      <c r="F72" s="8" t="s">
        <v>0</v>
      </c>
      <c r="G72" s="8" t="s">
        <v>262</v>
      </c>
      <c r="H72" s="9">
        <v>-65.17</v>
      </c>
      <c r="I72" s="9">
        <v>151.61000000000001</v>
      </c>
      <c r="J72" s="8" t="s">
        <v>1151</v>
      </c>
      <c r="K72" s="8" t="s">
        <v>119</v>
      </c>
      <c r="L72" s="8" t="s">
        <v>16</v>
      </c>
      <c r="M72" s="8" t="s">
        <v>30</v>
      </c>
      <c r="N72" s="8" t="s">
        <v>0</v>
      </c>
      <c r="O72" s="8">
        <v>3.6400000000000002E-2</v>
      </c>
      <c r="P72" s="10" t="s">
        <v>1032</v>
      </c>
    </row>
    <row r="73" spans="1:16" x14ac:dyDescent="0.25">
      <c r="A73" s="7" t="s">
        <v>281</v>
      </c>
      <c r="B73" s="8" t="s">
        <v>260</v>
      </c>
      <c r="C73" s="8" t="s">
        <v>0</v>
      </c>
      <c r="D73" s="8" t="s">
        <v>0</v>
      </c>
      <c r="E73" s="8" t="s">
        <v>261</v>
      </c>
      <c r="F73" s="8" t="s">
        <v>0</v>
      </c>
      <c r="G73" s="8" t="s">
        <v>262</v>
      </c>
      <c r="H73" s="9">
        <v>-65.27</v>
      </c>
      <c r="I73" s="9">
        <v>152.93</v>
      </c>
      <c r="J73" s="8" t="s">
        <v>1151</v>
      </c>
      <c r="K73" s="8" t="s">
        <v>119</v>
      </c>
      <c r="L73" s="8" t="s">
        <v>16</v>
      </c>
      <c r="M73" s="8" t="s">
        <v>30</v>
      </c>
      <c r="N73" s="8" t="s">
        <v>0</v>
      </c>
      <c r="O73" s="8">
        <v>4.4499999999999998E-2</v>
      </c>
      <c r="P73" s="10" t="s">
        <v>1032</v>
      </c>
    </row>
    <row r="74" spans="1:16" x14ac:dyDescent="0.25">
      <c r="A74" s="7" t="s">
        <v>282</v>
      </c>
      <c r="B74" s="8" t="s">
        <v>260</v>
      </c>
      <c r="C74" s="8" t="s">
        <v>0</v>
      </c>
      <c r="D74" s="8" t="s">
        <v>0</v>
      </c>
      <c r="E74" s="8" t="s">
        <v>261</v>
      </c>
      <c r="F74" s="8" t="s">
        <v>0</v>
      </c>
      <c r="G74" s="8" t="s">
        <v>262</v>
      </c>
      <c r="H74" s="9">
        <v>-65.42</v>
      </c>
      <c r="I74" s="9">
        <v>82</v>
      </c>
      <c r="J74" s="8" t="s">
        <v>1151</v>
      </c>
      <c r="K74" s="8" t="s">
        <v>119</v>
      </c>
      <c r="L74" s="8" t="s">
        <v>16</v>
      </c>
      <c r="M74" s="8" t="s">
        <v>30</v>
      </c>
      <c r="N74" s="8" t="s">
        <v>0</v>
      </c>
      <c r="O74" s="8">
        <v>2.8500000000000001E-2</v>
      </c>
      <c r="P74" s="10" t="s">
        <v>1032</v>
      </c>
    </row>
    <row r="75" spans="1:16" x14ac:dyDescent="0.25">
      <c r="A75" s="7" t="s">
        <v>283</v>
      </c>
      <c r="B75" s="8" t="s">
        <v>260</v>
      </c>
      <c r="C75" s="8" t="s">
        <v>0</v>
      </c>
      <c r="D75" s="8" t="s">
        <v>0</v>
      </c>
      <c r="E75" s="8" t="s">
        <v>261</v>
      </c>
      <c r="F75" s="8" t="s">
        <v>0</v>
      </c>
      <c r="G75" s="8" t="s">
        <v>262</v>
      </c>
      <c r="H75" s="9">
        <v>-65.62</v>
      </c>
      <c r="I75" s="9">
        <v>77.77</v>
      </c>
      <c r="J75" s="8" t="s">
        <v>1151</v>
      </c>
      <c r="K75" s="8" t="s">
        <v>119</v>
      </c>
      <c r="L75" s="8" t="s">
        <v>16</v>
      </c>
      <c r="M75" s="8" t="s">
        <v>30</v>
      </c>
      <c r="N75" s="8" t="s">
        <v>0</v>
      </c>
      <c r="O75" s="8">
        <v>4.1200000000000001E-2</v>
      </c>
      <c r="P75" s="10" t="s">
        <v>1032</v>
      </c>
    </row>
    <row r="76" spans="1:16" x14ac:dyDescent="0.25">
      <c r="A76" s="7" t="s">
        <v>284</v>
      </c>
      <c r="B76" s="8" t="s">
        <v>260</v>
      </c>
      <c r="C76" s="8" t="s">
        <v>0</v>
      </c>
      <c r="D76" s="8" t="s">
        <v>0</v>
      </c>
      <c r="E76" s="8" t="s">
        <v>261</v>
      </c>
      <c r="F76" s="8" t="s">
        <v>0</v>
      </c>
      <c r="G76" s="8" t="s">
        <v>262</v>
      </c>
      <c r="H76" s="9">
        <v>-68.97</v>
      </c>
      <c r="I76" s="9">
        <v>76.42</v>
      </c>
      <c r="J76" s="8" t="s">
        <v>1151</v>
      </c>
      <c r="K76" s="8" t="s">
        <v>119</v>
      </c>
      <c r="L76" s="8" t="s">
        <v>16</v>
      </c>
      <c r="M76" s="8" t="s">
        <v>30</v>
      </c>
      <c r="N76" s="8" t="s">
        <v>0</v>
      </c>
      <c r="O76" s="8">
        <v>3.4000000000000002E-2</v>
      </c>
      <c r="P76" s="10" t="s">
        <v>1032</v>
      </c>
    </row>
    <row r="77" spans="1:16" x14ac:dyDescent="0.25">
      <c r="A77" s="7" t="s">
        <v>285</v>
      </c>
      <c r="B77" s="8" t="s">
        <v>260</v>
      </c>
      <c r="C77" s="8" t="s">
        <v>0</v>
      </c>
      <c r="D77" s="8" t="s">
        <v>0</v>
      </c>
      <c r="E77" s="8" t="s">
        <v>261</v>
      </c>
      <c r="F77" s="8" t="s">
        <v>0</v>
      </c>
      <c r="G77" s="8" t="s">
        <v>262</v>
      </c>
      <c r="H77" s="9">
        <v>-69.3</v>
      </c>
      <c r="I77" s="9">
        <v>76.23</v>
      </c>
      <c r="J77" s="8" t="s">
        <v>1151</v>
      </c>
      <c r="K77" s="8" t="s">
        <v>119</v>
      </c>
      <c r="L77" s="8" t="s">
        <v>16</v>
      </c>
      <c r="M77" s="8" t="s">
        <v>30</v>
      </c>
      <c r="N77" s="8" t="s">
        <v>0</v>
      </c>
      <c r="O77" s="8">
        <v>2.24E-2</v>
      </c>
      <c r="P77" s="10" t="s">
        <v>1032</v>
      </c>
    </row>
    <row r="78" spans="1:16" x14ac:dyDescent="0.25">
      <c r="A78" s="7" t="s">
        <v>286</v>
      </c>
      <c r="B78" s="8" t="s">
        <v>260</v>
      </c>
      <c r="C78" s="8" t="s">
        <v>0</v>
      </c>
      <c r="D78" s="8" t="s">
        <v>0</v>
      </c>
      <c r="E78" s="8" t="s">
        <v>261</v>
      </c>
      <c r="F78" s="8" t="s">
        <v>0</v>
      </c>
      <c r="G78" s="8" t="s">
        <v>262</v>
      </c>
      <c r="H78" s="9">
        <v>-73.86</v>
      </c>
      <c r="I78" s="9">
        <v>76.97</v>
      </c>
      <c r="J78" s="8" t="s">
        <v>1151</v>
      </c>
      <c r="K78" s="8" t="s">
        <v>119</v>
      </c>
      <c r="L78" s="8" t="s">
        <v>16</v>
      </c>
      <c r="M78" s="8" t="s">
        <v>30</v>
      </c>
      <c r="N78" s="8" t="s">
        <v>0</v>
      </c>
      <c r="O78" s="8">
        <v>2.7000000000000001E-3</v>
      </c>
      <c r="P78" s="10" t="s">
        <v>1032</v>
      </c>
    </row>
    <row r="79" spans="1:16" x14ac:dyDescent="0.25">
      <c r="A79" s="7" t="s">
        <v>287</v>
      </c>
      <c r="B79" s="8" t="s">
        <v>260</v>
      </c>
      <c r="C79" s="8" t="s">
        <v>0</v>
      </c>
      <c r="D79" s="8" t="s">
        <v>0</v>
      </c>
      <c r="E79" s="8" t="s">
        <v>261</v>
      </c>
      <c r="F79" s="8" t="s">
        <v>0</v>
      </c>
      <c r="G79" s="8" t="s">
        <v>262</v>
      </c>
      <c r="H79" s="9">
        <v>-73.86</v>
      </c>
      <c r="I79" s="9">
        <v>76.97</v>
      </c>
      <c r="J79" s="8" t="s">
        <v>1151</v>
      </c>
      <c r="K79" s="8" t="s">
        <v>119</v>
      </c>
      <c r="L79" s="8" t="s">
        <v>16</v>
      </c>
      <c r="M79" s="8" t="s">
        <v>30</v>
      </c>
      <c r="N79" s="8" t="s">
        <v>0</v>
      </c>
      <c r="O79" s="8">
        <v>8.3000000000000001E-3</v>
      </c>
      <c r="P79" s="10" t="s">
        <v>1032</v>
      </c>
    </row>
    <row r="80" spans="1:16" s="1" customFormat="1" ht="18.600000000000001" customHeight="1" x14ac:dyDescent="0.25">
      <c r="A80" s="7" t="s">
        <v>384</v>
      </c>
      <c r="B80" s="8" t="s">
        <v>385</v>
      </c>
      <c r="C80" s="8" t="s">
        <v>43</v>
      </c>
      <c r="D80" s="8" t="s">
        <v>386</v>
      </c>
      <c r="E80" s="8" t="s">
        <v>0</v>
      </c>
      <c r="F80" s="8" t="s">
        <v>0</v>
      </c>
      <c r="G80" s="8" t="s">
        <v>0</v>
      </c>
      <c r="H80" s="9">
        <v>29.25</v>
      </c>
      <c r="I80" s="9">
        <v>91.4</v>
      </c>
      <c r="J80" s="8" t="s">
        <v>299</v>
      </c>
      <c r="K80" s="8" t="s">
        <v>332</v>
      </c>
      <c r="L80" s="8" t="s">
        <v>16</v>
      </c>
      <c r="M80" s="8" t="s">
        <v>30</v>
      </c>
      <c r="N80" s="8" t="s">
        <v>0</v>
      </c>
      <c r="O80" s="8" t="s">
        <v>387</v>
      </c>
      <c r="P80" s="10" t="s">
        <v>1034</v>
      </c>
    </row>
    <row r="81" spans="1:16" ht="18.95" customHeight="1" x14ac:dyDescent="0.25">
      <c r="A81" s="7" t="s">
        <v>488</v>
      </c>
      <c r="B81" s="8" t="s">
        <v>385</v>
      </c>
      <c r="C81" s="8" t="s">
        <v>43</v>
      </c>
      <c r="D81" s="8" t="s">
        <v>386</v>
      </c>
      <c r="E81" s="8" t="s">
        <v>0</v>
      </c>
      <c r="F81" s="8" t="s">
        <v>0</v>
      </c>
      <c r="G81" s="8" t="s">
        <v>0</v>
      </c>
      <c r="H81" s="9">
        <v>29.65</v>
      </c>
      <c r="I81" s="9">
        <v>91.12</v>
      </c>
      <c r="J81" s="8" t="s">
        <v>299</v>
      </c>
      <c r="K81" s="8" t="s">
        <v>300</v>
      </c>
      <c r="L81" s="8" t="s">
        <v>16</v>
      </c>
      <c r="M81" s="8" t="s">
        <v>30</v>
      </c>
      <c r="N81" s="8" t="s">
        <v>0</v>
      </c>
      <c r="O81" s="8" t="s">
        <v>489</v>
      </c>
      <c r="P81" s="10" t="s">
        <v>1034</v>
      </c>
    </row>
    <row r="82" spans="1:16" ht="16.5" customHeight="1" x14ac:dyDescent="0.25">
      <c r="A82" s="7" t="s">
        <v>1017</v>
      </c>
      <c r="B82" s="8" t="s">
        <v>385</v>
      </c>
      <c r="C82" s="8" t="s">
        <v>43</v>
      </c>
      <c r="D82" s="8" t="s">
        <v>386</v>
      </c>
      <c r="E82" s="8" t="s">
        <v>0</v>
      </c>
      <c r="F82" s="8" t="s">
        <v>0</v>
      </c>
      <c r="G82" s="8" t="s">
        <v>0</v>
      </c>
      <c r="H82" s="9">
        <v>29.32</v>
      </c>
      <c r="I82" s="9">
        <v>91.22</v>
      </c>
      <c r="J82" s="8" t="s">
        <v>299</v>
      </c>
      <c r="K82" s="8" t="s">
        <v>332</v>
      </c>
      <c r="L82" s="8" t="s">
        <v>16</v>
      </c>
      <c r="M82" s="8" t="s">
        <v>30</v>
      </c>
      <c r="N82" s="8" t="s">
        <v>0</v>
      </c>
      <c r="O82" s="8" t="s">
        <v>1018</v>
      </c>
      <c r="P82" s="10" t="s">
        <v>1034</v>
      </c>
    </row>
    <row r="83" spans="1:16" x14ac:dyDescent="0.25">
      <c r="A83" s="7" t="s">
        <v>676</v>
      </c>
      <c r="B83" s="8" t="s">
        <v>677</v>
      </c>
      <c r="C83" s="8" t="s">
        <v>678</v>
      </c>
      <c r="D83" s="8" t="s">
        <v>679</v>
      </c>
      <c r="E83" s="8" t="s">
        <v>0</v>
      </c>
      <c r="F83" s="8" t="s">
        <v>0</v>
      </c>
      <c r="G83" s="8" t="s">
        <v>674</v>
      </c>
      <c r="H83" s="9">
        <v>46.67</v>
      </c>
      <c r="I83" s="9">
        <v>-23.55</v>
      </c>
      <c r="J83" s="8" t="s">
        <v>299</v>
      </c>
      <c r="K83" s="8" t="s">
        <v>87</v>
      </c>
      <c r="L83" s="8" t="s">
        <v>16</v>
      </c>
      <c r="M83" s="8" t="s">
        <v>17</v>
      </c>
      <c r="N83" s="8" t="s">
        <v>680</v>
      </c>
      <c r="O83" s="8" t="s">
        <v>0</v>
      </c>
      <c r="P83" s="10" t="s">
        <v>1031</v>
      </c>
    </row>
    <row r="84" spans="1:16" x14ac:dyDescent="0.25">
      <c r="A84" s="7" t="s">
        <v>681</v>
      </c>
      <c r="B84" s="8" t="s">
        <v>682</v>
      </c>
      <c r="C84" s="8" t="s">
        <v>683</v>
      </c>
      <c r="D84" s="8" t="s">
        <v>684</v>
      </c>
      <c r="E84" s="8" t="s">
        <v>0</v>
      </c>
      <c r="F84" s="8" t="s">
        <v>0</v>
      </c>
      <c r="G84" s="8" t="s">
        <v>128</v>
      </c>
      <c r="H84" s="9">
        <v>51.51</v>
      </c>
      <c r="I84" s="9">
        <v>0.12</v>
      </c>
      <c r="J84" s="8" t="s">
        <v>299</v>
      </c>
      <c r="K84" s="8" t="s">
        <v>87</v>
      </c>
      <c r="L84" s="8" t="s">
        <v>16</v>
      </c>
      <c r="M84" s="8" t="s">
        <v>17</v>
      </c>
      <c r="N84" s="8" t="s">
        <v>685</v>
      </c>
      <c r="O84" s="8" t="s">
        <v>0</v>
      </c>
      <c r="P84" s="10" t="s">
        <v>1032</v>
      </c>
    </row>
    <row r="85" spans="1:16" x14ac:dyDescent="0.25">
      <c r="A85" s="7" t="s">
        <v>397</v>
      </c>
      <c r="B85" s="8" t="s">
        <v>398</v>
      </c>
      <c r="C85" s="8" t="s">
        <v>390</v>
      </c>
      <c r="D85" s="8" t="s">
        <v>399</v>
      </c>
      <c r="E85" s="8" t="s">
        <v>0</v>
      </c>
      <c r="F85" s="8" t="s">
        <v>400</v>
      </c>
      <c r="G85" s="8" t="s">
        <v>401</v>
      </c>
      <c r="H85" s="9">
        <v>53.79</v>
      </c>
      <c r="I85" s="9">
        <v>9.98</v>
      </c>
      <c r="J85" s="8" t="s">
        <v>299</v>
      </c>
      <c r="K85" s="8" t="s">
        <v>339</v>
      </c>
      <c r="L85" s="8" t="s">
        <v>16</v>
      </c>
      <c r="M85" s="8" t="s">
        <v>17</v>
      </c>
      <c r="N85" s="8">
        <v>331.4</v>
      </c>
      <c r="O85" s="8" t="s">
        <v>0</v>
      </c>
      <c r="P85" s="10" t="s">
        <v>1035</v>
      </c>
    </row>
    <row r="86" spans="1:16" x14ac:dyDescent="0.25">
      <c r="A86" s="7" t="s">
        <v>402</v>
      </c>
      <c r="B86" s="8" t="s">
        <v>398</v>
      </c>
      <c r="C86" s="8" t="s">
        <v>390</v>
      </c>
      <c r="D86" s="8" t="s">
        <v>399</v>
      </c>
      <c r="E86" s="8" t="s">
        <v>0</v>
      </c>
      <c r="F86" s="8" t="s">
        <v>403</v>
      </c>
      <c r="G86" s="8" t="s">
        <v>401</v>
      </c>
      <c r="H86" s="9">
        <v>53.79</v>
      </c>
      <c r="I86" s="9">
        <v>9.98</v>
      </c>
      <c r="J86" s="8" t="s">
        <v>299</v>
      </c>
      <c r="K86" s="8" t="s">
        <v>339</v>
      </c>
      <c r="L86" s="8" t="s">
        <v>16</v>
      </c>
      <c r="M86" s="8" t="s">
        <v>17</v>
      </c>
      <c r="N86" s="8">
        <v>512</v>
      </c>
      <c r="O86" s="8" t="s">
        <v>0</v>
      </c>
      <c r="P86" s="10" t="s">
        <v>1035</v>
      </c>
    </row>
    <row r="87" spans="1:16" x14ac:dyDescent="0.25">
      <c r="A87" s="7" t="s">
        <v>404</v>
      </c>
      <c r="B87" s="8" t="s">
        <v>398</v>
      </c>
      <c r="C87" s="8" t="s">
        <v>390</v>
      </c>
      <c r="D87" s="8" t="s">
        <v>399</v>
      </c>
      <c r="E87" s="8" t="s">
        <v>0</v>
      </c>
      <c r="F87" s="8" t="s">
        <v>405</v>
      </c>
      <c r="G87" s="8" t="s">
        <v>401</v>
      </c>
      <c r="H87" s="9">
        <v>53.79</v>
      </c>
      <c r="I87" s="9">
        <v>9.98</v>
      </c>
      <c r="J87" s="8" t="s">
        <v>299</v>
      </c>
      <c r="K87" s="8" t="s">
        <v>339</v>
      </c>
      <c r="L87" s="8" t="s">
        <v>16</v>
      </c>
      <c r="M87" s="8" t="s">
        <v>17</v>
      </c>
      <c r="N87" s="8">
        <v>343.1</v>
      </c>
      <c r="O87" s="8" t="s">
        <v>0</v>
      </c>
      <c r="P87" s="10" t="s">
        <v>1035</v>
      </c>
    </row>
    <row r="88" spans="1:16" x14ac:dyDescent="0.25">
      <c r="A88" s="7" t="s">
        <v>686</v>
      </c>
      <c r="B88" s="8" t="s">
        <v>398</v>
      </c>
      <c r="C88" s="8" t="s">
        <v>390</v>
      </c>
      <c r="D88" s="8" t="s">
        <v>399</v>
      </c>
      <c r="E88" s="8" t="s">
        <v>0</v>
      </c>
      <c r="F88" s="8" t="s">
        <v>687</v>
      </c>
      <c r="G88" s="8" t="s">
        <v>401</v>
      </c>
      <c r="H88" s="9">
        <v>53.79</v>
      </c>
      <c r="I88" s="9">
        <v>9.98</v>
      </c>
      <c r="J88" s="8" t="s">
        <v>299</v>
      </c>
      <c r="K88" s="8" t="s">
        <v>87</v>
      </c>
      <c r="L88" s="8" t="s">
        <v>16</v>
      </c>
      <c r="M88" s="8" t="s">
        <v>17</v>
      </c>
      <c r="N88" s="8">
        <v>260.60000000000002</v>
      </c>
      <c r="O88" s="8" t="s">
        <v>0</v>
      </c>
      <c r="P88" s="10" t="s">
        <v>1035</v>
      </c>
    </row>
    <row r="89" spans="1:16" x14ac:dyDescent="0.25">
      <c r="A89" s="7" t="s">
        <v>688</v>
      </c>
      <c r="B89" s="8" t="s">
        <v>398</v>
      </c>
      <c r="C89" s="8" t="s">
        <v>390</v>
      </c>
      <c r="D89" s="8" t="s">
        <v>399</v>
      </c>
      <c r="E89" s="8" t="s">
        <v>0</v>
      </c>
      <c r="F89" s="8" t="s">
        <v>481</v>
      </c>
      <c r="G89" s="8" t="s">
        <v>401</v>
      </c>
      <c r="H89" s="9">
        <v>53.79</v>
      </c>
      <c r="I89" s="9">
        <v>9.98</v>
      </c>
      <c r="J89" s="8" t="s">
        <v>299</v>
      </c>
      <c r="K89" s="8" t="s">
        <v>87</v>
      </c>
      <c r="L89" s="8" t="s">
        <v>16</v>
      </c>
      <c r="M89" s="8" t="s">
        <v>17</v>
      </c>
      <c r="N89" s="8">
        <v>246.9</v>
      </c>
      <c r="O89" s="8" t="s">
        <v>0</v>
      </c>
      <c r="P89" s="10" t="s">
        <v>1035</v>
      </c>
    </row>
    <row r="90" spans="1:16" x14ac:dyDescent="0.25">
      <c r="A90" s="7" t="s">
        <v>689</v>
      </c>
      <c r="B90" s="8" t="s">
        <v>398</v>
      </c>
      <c r="C90" s="8" t="s">
        <v>390</v>
      </c>
      <c r="D90" s="8" t="s">
        <v>399</v>
      </c>
      <c r="E90" s="8" t="s">
        <v>0</v>
      </c>
      <c r="F90" s="8" t="s">
        <v>690</v>
      </c>
      <c r="G90" s="8" t="s">
        <v>401</v>
      </c>
      <c r="H90" s="9">
        <v>53.79</v>
      </c>
      <c r="I90" s="9">
        <v>9.98</v>
      </c>
      <c r="J90" s="8" t="s">
        <v>299</v>
      </c>
      <c r="K90" s="8" t="s">
        <v>87</v>
      </c>
      <c r="L90" s="8" t="s">
        <v>16</v>
      </c>
      <c r="M90" s="8" t="s">
        <v>17</v>
      </c>
      <c r="N90" s="8">
        <v>136.5</v>
      </c>
      <c r="O90" s="8" t="s">
        <v>0</v>
      </c>
      <c r="P90" s="10" t="s">
        <v>1035</v>
      </c>
    </row>
    <row r="91" spans="1:16" x14ac:dyDescent="0.25">
      <c r="A91" s="7" t="s">
        <v>459</v>
      </c>
      <c r="B91" s="8" t="s">
        <v>460</v>
      </c>
      <c r="C91" s="8" t="s">
        <v>146</v>
      </c>
      <c r="D91" s="8" t="s">
        <v>461</v>
      </c>
      <c r="E91" s="8" t="s">
        <v>0</v>
      </c>
      <c r="F91" s="8" t="s">
        <v>0</v>
      </c>
      <c r="G91" s="8" t="s">
        <v>462</v>
      </c>
      <c r="H91" s="9">
        <v>43.33</v>
      </c>
      <c r="I91" s="9">
        <v>8.35</v>
      </c>
      <c r="J91" s="8" t="s">
        <v>299</v>
      </c>
      <c r="K91" s="8" t="s">
        <v>82</v>
      </c>
      <c r="L91" s="8" t="s">
        <v>16</v>
      </c>
      <c r="M91" s="8" t="s">
        <v>17</v>
      </c>
      <c r="N91" s="8" t="s">
        <v>463</v>
      </c>
      <c r="O91" s="8" t="s">
        <v>0</v>
      </c>
      <c r="P91" s="10" t="s">
        <v>1032</v>
      </c>
    </row>
    <row r="92" spans="1:16" x14ac:dyDescent="0.25">
      <c r="A92" s="7" t="s">
        <v>691</v>
      </c>
      <c r="B92" s="8" t="s">
        <v>692</v>
      </c>
      <c r="C92" s="8" t="s">
        <v>43</v>
      </c>
      <c r="D92" s="8" t="s">
        <v>693</v>
      </c>
      <c r="E92" s="8" t="s">
        <v>0</v>
      </c>
      <c r="F92" s="8" t="s">
        <v>0</v>
      </c>
      <c r="G92" s="8" t="s">
        <v>31</v>
      </c>
      <c r="H92" s="9">
        <v>23.17</v>
      </c>
      <c r="I92" s="9">
        <v>113.5</v>
      </c>
      <c r="J92" s="8" t="s">
        <v>299</v>
      </c>
      <c r="K92" s="8" t="s">
        <v>87</v>
      </c>
      <c r="L92" s="8" t="s">
        <v>16</v>
      </c>
      <c r="M92" s="8" t="s">
        <v>17</v>
      </c>
      <c r="N92" s="8" t="s">
        <v>694</v>
      </c>
      <c r="O92" s="8" t="s">
        <v>0</v>
      </c>
      <c r="P92" s="10" t="s">
        <v>1036</v>
      </c>
    </row>
    <row r="93" spans="1:16" x14ac:dyDescent="0.25">
      <c r="A93" s="7" t="s">
        <v>225</v>
      </c>
      <c r="B93" s="8" t="s">
        <v>226</v>
      </c>
      <c r="C93" s="8" t="s">
        <v>43</v>
      </c>
      <c r="D93" s="8" t="s">
        <v>0</v>
      </c>
      <c r="E93" s="8" t="s">
        <v>1025</v>
      </c>
      <c r="F93" s="8"/>
      <c r="G93" s="8" t="s">
        <v>227</v>
      </c>
      <c r="H93" s="9">
        <v>20.84</v>
      </c>
      <c r="I93" s="9" t="s">
        <v>1186</v>
      </c>
      <c r="J93" s="8" t="s">
        <v>1151</v>
      </c>
      <c r="K93" s="8" t="s">
        <v>0</v>
      </c>
      <c r="L93" s="8" t="s">
        <v>16</v>
      </c>
      <c r="M93" s="8" t="s">
        <v>30</v>
      </c>
      <c r="N93" s="8" t="s">
        <v>1027</v>
      </c>
      <c r="O93" s="8" t="s">
        <v>1026</v>
      </c>
      <c r="P93" s="10" t="s">
        <v>1052</v>
      </c>
    </row>
    <row r="94" spans="1:16" x14ac:dyDescent="0.25">
      <c r="A94" s="7" t="s">
        <v>20</v>
      </c>
      <c r="B94" s="8" t="s">
        <v>21</v>
      </c>
      <c r="C94" s="8" t="s">
        <v>13</v>
      </c>
      <c r="D94" s="8" t="s">
        <v>22</v>
      </c>
      <c r="E94" s="8" t="s">
        <v>0</v>
      </c>
      <c r="F94" s="8" t="s">
        <v>0</v>
      </c>
      <c r="G94" s="8" t="s">
        <v>23</v>
      </c>
      <c r="H94" s="9">
        <v>5.4</v>
      </c>
      <c r="I94" s="9">
        <v>103.08</v>
      </c>
      <c r="J94" s="8" t="s">
        <v>1088</v>
      </c>
      <c r="K94" s="8" t="s">
        <v>0</v>
      </c>
      <c r="L94" s="8" t="s">
        <v>16</v>
      </c>
      <c r="M94" s="8" t="s">
        <v>17</v>
      </c>
      <c r="N94" s="8" t="s">
        <v>24</v>
      </c>
      <c r="O94" s="8" t="s">
        <v>0</v>
      </c>
      <c r="P94" s="10" t="s">
        <v>1037</v>
      </c>
    </row>
    <row r="95" spans="1:16" x14ac:dyDescent="0.25">
      <c r="A95" s="7" t="s">
        <v>336</v>
      </c>
      <c r="B95" s="8" t="s">
        <v>337</v>
      </c>
      <c r="C95" s="8" t="s">
        <v>58</v>
      </c>
      <c r="D95" s="8" t="s">
        <v>338</v>
      </c>
      <c r="E95" s="8" t="s">
        <v>0</v>
      </c>
      <c r="F95" s="8" t="s">
        <v>0</v>
      </c>
      <c r="G95" s="8" t="s">
        <v>62</v>
      </c>
      <c r="H95" s="9">
        <v>25.53</v>
      </c>
      <c r="I95" s="9">
        <v>84.85</v>
      </c>
      <c r="J95" s="8" t="s">
        <v>299</v>
      </c>
      <c r="K95" s="8" t="s">
        <v>339</v>
      </c>
      <c r="L95" s="8" t="s">
        <v>16</v>
      </c>
      <c r="M95" s="8" t="s">
        <v>17</v>
      </c>
      <c r="N95" s="8" t="s">
        <v>340</v>
      </c>
      <c r="O95" s="8" t="s">
        <v>0</v>
      </c>
      <c r="P95" s="10" t="s">
        <v>1162</v>
      </c>
    </row>
    <row r="96" spans="1:16" x14ac:dyDescent="0.25">
      <c r="A96" s="7" t="s">
        <v>541</v>
      </c>
      <c r="B96" s="8" t="s">
        <v>337</v>
      </c>
      <c r="C96" s="8" t="s">
        <v>58</v>
      </c>
      <c r="D96" s="8" t="s">
        <v>338</v>
      </c>
      <c r="E96" s="8" t="s">
        <v>0</v>
      </c>
      <c r="F96" s="8" t="s">
        <v>0</v>
      </c>
      <c r="G96" s="8" t="s">
        <v>62</v>
      </c>
      <c r="H96" s="9">
        <v>25.58</v>
      </c>
      <c r="I96" s="9">
        <v>85.07</v>
      </c>
      <c r="J96" s="8" t="s">
        <v>299</v>
      </c>
      <c r="K96" s="8" t="s">
        <v>87</v>
      </c>
      <c r="L96" s="8" t="s">
        <v>16</v>
      </c>
      <c r="M96" s="8" t="s">
        <v>17</v>
      </c>
      <c r="N96" s="8" t="s">
        <v>542</v>
      </c>
      <c r="O96" s="8" t="s">
        <v>0</v>
      </c>
      <c r="P96" s="10" t="s">
        <v>1162</v>
      </c>
    </row>
    <row r="97" spans="1:16" x14ac:dyDescent="0.25">
      <c r="A97" s="7" t="s">
        <v>695</v>
      </c>
      <c r="B97" s="8" t="s">
        <v>696</v>
      </c>
      <c r="C97" s="8" t="s">
        <v>43</v>
      </c>
      <c r="D97" s="8" t="s">
        <v>76</v>
      </c>
      <c r="E97" s="8" t="s">
        <v>0</v>
      </c>
      <c r="F97" s="8" t="s">
        <v>697</v>
      </c>
      <c r="G97" s="8" t="s">
        <v>77</v>
      </c>
      <c r="H97" s="9">
        <v>30.87</v>
      </c>
      <c r="I97" s="9">
        <v>121.85</v>
      </c>
      <c r="J97" s="8" t="s">
        <v>299</v>
      </c>
      <c r="K97" s="8" t="s">
        <v>87</v>
      </c>
      <c r="L97" s="8" t="s">
        <v>16</v>
      </c>
      <c r="M97" s="8" t="s">
        <v>30</v>
      </c>
      <c r="N97" s="8" t="s">
        <v>0</v>
      </c>
      <c r="O97" s="8">
        <v>0.34</v>
      </c>
      <c r="P97" s="10" t="s">
        <v>1179</v>
      </c>
    </row>
    <row r="98" spans="1:16" x14ac:dyDescent="0.25">
      <c r="A98" s="7" t="s">
        <v>698</v>
      </c>
      <c r="B98" s="8" t="s">
        <v>696</v>
      </c>
      <c r="C98" s="8" t="s">
        <v>43</v>
      </c>
      <c r="D98" s="8" t="s">
        <v>76</v>
      </c>
      <c r="E98" s="8" t="s">
        <v>0</v>
      </c>
      <c r="F98" s="8" t="s">
        <v>699</v>
      </c>
      <c r="G98" s="8" t="s">
        <v>77</v>
      </c>
      <c r="H98" s="9">
        <v>31.08</v>
      </c>
      <c r="I98" s="9">
        <v>121.5</v>
      </c>
      <c r="J98" s="8" t="s">
        <v>299</v>
      </c>
      <c r="K98" s="8" t="s">
        <v>87</v>
      </c>
      <c r="L98" s="8" t="s">
        <v>16</v>
      </c>
      <c r="M98" s="8" t="s">
        <v>30</v>
      </c>
      <c r="N98" s="8" t="s">
        <v>0</v>
      </c>
      <c r="O98" s="8">
        <v>2.4500000000000002</v>
      </c>
      <c r="P98" s="10" t="s">
        <v>1179</v>
      </c>
    </row>
    <row r="99" spans="1:16" x14ac:dyDescent="0.25">
      <c r="A99" s="7" t="s">
        <v>700</v>
      </c>
      <c r="B99" s="8" t="s">
        <v>696</v>
      </c>
      <c r="C99" s="8" t="s">
        <v>43</v>
      </c>
      <c r="D99" s="8" t="s">
        <v>76</v>
      </c>
      <c r="E99" s="8" t="s">
        <v>0</v>
      </c>
      <c r="F99" s="8" t="s">
        <v>701</v>
      </c>
      <c r="G99" s="8" t="s">
        <v>77</v>
      </c>
      <c r="H99" s="9">
        <v>31.21</v>
      </c>
      <c r="I99" s="9">
        <v>121.42</v>
      </c>
      <c r="J99" s="8" t="s">
        <v>299</v>
      </c>
      <c r="K99" s="8" t="s">
        <v>87</v>
      </c>
      <c r="L99" s="8" t="s">
        <v>16</v>
      </c>
      <c r="M99" s="8" t="s">
        <v>30</v>
      </c>
      <c r="N99" s="8" t="s">
        <v>0</v>
      </c>
      <c r="O99" s="8" t="s">
        <v>702</v>
      </c>
      <c r="P99" s="10" t="s">
        <v>1179</v>
      </c>
    </row>
    <row r="100" spans="1:16" x14ac:dyDescent="0.25">
      <c r="A100" s="7" t="s">
        <v>703</v>
      </c>
      <c r="B100" s="8" t="s">
        <v>696</v>
      </c>
      <c r="C100" s="8" t="s">
        <v>43</v>
      </c>
      <c r="D100" s="8" t="s">
        <v>76</v>
      </c>
      <c r="E100" s="8" t="s">
        <v>0</v>
      </c>
      <c r="F100" s="8" t="s">
        <v>704</v>
      </c>
      <c r="G100" s="8" t="s">
        <v>77</v>
      </c>
      <c r="H100" s="9">
        <v>31.22</v>
      </c>
      <c r="I100" s="9">
        <v>121.4</v>
      </c>
      <c r="J100" s="8" t="s">
        <v>299</v>
      </c>
      <c r="K100" s="8" t="s">
        <v>87</v>
      </c>
      <c r="L100" s="8" t="s">
        <v>16</v>
      </c>
      <c r="M100" s="8" t="s">
        <v>30</v>
      </c>
      <c r="N100" s="8" t="s">
        <v>0</v>
      </c>
      <c r="O100" s="8">
        <v>2.72</v>
      </c>
      <c r="P100" s="10" t="s">
        <v>1179</v>
      </c>
    </row>
    <row r="101" spans="1:16" x14ac:dyDescent="0.25">
      <c r="A101" s="7" t="s">
        <v>705</v>
      </c>
      <c r="B101" s="8" t="s">
        <v>696</v>
      </c>
      <c r="C101" s="8" t="s">
        <v>43</v>
      </c>
      <c r="D101" s="8" t="s">
        <v>76</v>
      </c>
      <c r="E101" s="8" t="s">
        <v>0</v>
      </c>
      <c r="F101" s="8" t="s">
        <v>704</v>
      </c>
      <c r="G101" s="8" t="s">
        <v>706</v>
      </c>
      <c r="H101" s="9">
        <v>31.22</v>
      </c>
      <c r="I101" s="9">
        <v>121.4</v>
      </c>
      <c r="J101" s="8" t="s">
        <v>299</v>
      </c>
      <c r="K101" s="8" t="s">
        <v>87</v>
      </c>
      <c r="L101" s="8" t="s">
        <v>16</v>
      </c>
      <c r="M101" s="8" t="s">
        <v>30</v>
      </c>
      <c r="N101" s="8" t="s">
        <v>0</v>
      </c>
      <c r="O101" s="8">
        <v>1.35</v>
      </c>
      <c r="P101" s="10" t="s">
        <v>1179</v>
      </c>
    </row>
    <row r="102" spans="1:16" x14ac:dyDescent="0.25">
      <c r="A102" s="7" t="s">
        <v>707</v>
      </c>
      <c r="B102" s="8" t="s">
        <v>696</v>
      </c>
      <c r="C102" s="8" t="s">
        <v>43</v>
      </c>
      <c r="D102" s="8" t="s">
        <v>76</v>
      </c>
      <c r="E102" s="8" t="s">
        <v>0</v>
      </c>
      <c r="F102" s="8" t="s">
        <v>704</v>
      </c>
      <c r="G102" s="8" t="s">
        <v>708</v>
      </c>
      <c r="H102" s="9">
        <v>31.22</v>
      </c>
      <c r="I102" s="9">
        <v>121.4</v>
      </c>
      <c r="J102" s="8" t="s">
        <v>299</v>
      </c>
      <c r="K102" s="8" t="s">
        <v>87</v>
      </c>
      <c r="L102" s="8" t="s">
        <v>16</v>
      </c>
      <c r="M102" s="8" t="s">
        <v>30</v>
      </c>
      <c r="N102" s="8" t="s">
        <v>0</v>
      </c>
      <c r="O102" s="8">
        <v>1.52</v>
      </c>
      <c r="P102" s="10" t="s">
        <v>1179</v>
      </c>
    </row>
    <row r="103" spans="1:16" x14ac:dyDescent="0.25">
      <c r="A103" s="7" t="s">
        <v>357</v>
      </c>
      <c r="B103" s="8" t="s">
        <v>358</v>
      </c>
      <c r="C103" s="8" t="s">
        <v>359</v>
      </c>
      <c r="D103" s="8" t="s">
        <v>360</v>
      </c>
      <c r="E103" s="8" t="s">
        <v>0</v>
      </c>
      <c r="F103" s="8" t="s">
        <v>0</v>
      </c>
      <c r="G103" s="8" t="s">
        <v>97</v>
      </c>
      <c r="H103" s="9">
        <v>42.8</v>
      </c>
      <c r="I103" s="9">
        <v>1.42</v>
      </c>
      <c r="J103" s="8" t="s">
        <v>299</v>
      </c>
      <c r="K103" s="8" t="s">
        <v>332</v>
      </c>
      <c r="L103" s="8" t="s">
        <v>16</v>
      </c>
      <c r="M103" s="8" t="s">
        <v>17</v>
      </c>
      <c r="N103" s="8">
        <v>365</v>
      </c>
      <c r="O103" s="8" t="s">
        <v>0</v>
      </c>
      <c r="P103" s="10" t="s">
        <v>1039</v>
      </c>
    </row>
    <row r="104" spans="1:16" x14ac:dyDescent="0.25">
      <c r="A104" s="7" t="s">
        <v>464</v>
      </c>
      <c r="B104" s="8" t="s">
        <v>465</v>
      </c>
      <c r="C104" s="8" t="s">
        <v>466</v>
      </c>
      <c r="D104" s="8" t="s">
        <v>1038</v>
      </c>
      <c r="E104" s="8" t="s">
        <v>0</v>
      </c>
      <c r="F104" s="8" t="s">
        <v>0</v>
      </c>
      <c r="G104" s="8" t="s">
        <v>0</v>
      </c>
      <c r="H104" s="9">
        <v>4.75</v>
      </c>
      <c r="I104" s="9">
        <v>12</v>
      </c>
      <c r="J104" s="8" t="s">
        <v>299</v>
      </c>
      <c r="K104" s="8" t="s">
        <v>82</v>
      </c>
      <c r="L104" s="8" t="s">
        <v>16</v>
      </c>
      <c r="M104" s="8" t="s">
        <v>30</v>
      </c>
      <c r="N104" s="8" t="s">
        <v>0</v>
      </c>
      <c r="O104" s="8" t="s">
        <v>467</v>
      </c>
      <c r="P104" s="10" t="s">
        <v>1040</v>
      </c>
    </row>
    <row r="105" spans="1:16" x14ac:dyDescent="0.25">
      <c r="A105" s="7" t="s">
        <v>709</v>
      </c>
      <c r="B105" s="8" t="s">
        <v>465</v>
      </c>
      <c r="C105" s="8" t="s">
        <v>466</v>
      </c>
      <c r="D105" s="8" t="s">
        <v>2360</v>
      </c>
      <c r="E105" s="8" t="s">
        <v>0</v>
      </c>
      <c r="F105" s="8" t="s">
        <v>0</v>
      </c>
      <c r="G105" s="8" t="s">
        <v>0</v>
      </c>
      <c r="H105" s="9">
        <v>4.5</v>
      </c>
      <c r="I105" s="9">
        <v>11.5</v>
      </c>
      <c r="J105" s="8" t="s">
        <v>299</v>
      </c>
      <c r="K105" s="8" t="s">
        <v>87</v>
      </c>
      <c r="L105" s="8" t="s">
        <v>16</v>
      </c>
      <c r="M105" s="8" t="s">
        <v>30</v>
      </c>
      <c r="N105" s="8" t="s">
        <v>0</v>
      </c>
      <c r="O105" s="8" t="s">
        <v>710</v>
      </c>
      <c r="P105" s="10" t="s">
        <v>1040</v>
      </c>
    </row>
    <row r="106" spans="1:16" x14ac:dyDescent="0.25">
      <c r="A106" s="7" t="s">
        <v>425</v>
      </c>
      <c r="B106" s="8" t="s">
        <v>426</v>
      </c>
      <c r="C106" s="8" t="s">
        <v>427</v>
      </c>
      <c r="D106" s="8" t="s">
        <v>428</v>
      </c>
      <c r="E106" s="8" t="s">
        <v>0</v>
      </c>
      <c r="F106" s="8" t="s">
        <v>429</v>
      </c>
      <c r="G106" s="8" t="s">
        <v>81</v>
      </c>
      <c r="H106" s="9">
        <v>10.97</v>
      </c>
      <c r="I106" s="9">
        <v>106.48</v>
      </c>
      <c r="J106" s="8" t="s">
        <v>299</v>
      </c>
      <c r="K106" s="8" t="s">
        <v>430</v>
      </c>
      <c r="L106" s="8" t="s">
        <v>16</v>
      </c>
      <c r="M106" s="8" t="s">
        <v>17</v>
      </c>
      <c r="N106" s="8" t="s">
        <v>431</v>
      </c>
      <c r="O106" s="8" t="s">
        <v>0</v>
      </c>
      <c r="P106" s="10" t="s">
        <v>1041</v>
      </c>
    </row>
    <row r="107" spans="1:16" x14ac:dyDescent="0.25">
      <c r="A107" s="7" t="s">
        <v>432</v>
      </c>
      <c r="B107" s="8" t="s">
        <v>426</v>
      </c>
      <c r="C107" s="8" t="s">
        <v>427</v>
      </c>
      <c r="D107" s="8" t="s">
        <v>428</v>
      </c>
      <c r="E107" s="8" t="s">
        <v>0</v>
      </c>
      <c r="F107" s="8" t="s">
        <v>433</v>
      </c>
      <c r="G107" s="8" t="s">
        <v>401</v>
      </c>
      <c r="H107" s="9">
        <v>10.95</v>
      </c>
      <c r="I107" s="9">
        <v>106.42</v>
      </c>
      <c r="J107" s="8" t="s">
        <v>299</v>
      </c>
      <c r="K107" s="8" t="s">
        <v>430</v>
      </c>
      <c r="L107" s="8" t="s">
        <v>16</v>
      </c>
      <c r="M107" s="8" t="s">
        <v>17</v>
      </c>
      <c r="N107" s="8" t="s">
        <v>434</v>
      </c>
      <c r="O107" s="8" t="s">
        <v>0</v>
      </c>
      <c r="P107" s="10" t="s">
        <v>1041</v>
      </c>
    </row>
    <row r="108" spans="1:16" x14ac:dyDescent="0.25">
      <c r="A108" s="7" t="s">
        <v>711</v>
      </c>
      <c r="B108" s="8" t="s">
        <v>426</v>
      </c>
      <c r="C108" s="8" t="s">
        <v>427</v>
      </c>
      <c r="D108" s="8" t="s">
        <v>428</v>
      </c>
      <c r="E108" s="8" t="s">
        <v>0</v>
      </c>
      <c r="F108" s="8" t="s">
        <v>712</v>
      </c>
      <c r="G108" s="8" t="s">
        <v>31</v>
      </c>
      <c r="H108" s="9">
        <v>10.77</v>
      </c>
      <c r="I108" s="9">
        <v>106.65</v>
      </c>
      <c r="J108" s="8" t="s">
        <v>299</v>
      </c>
      <c r="K108" s="8" t="s">
        <v>87</v>
      </c>
      <c r="L108" s="8" t="s">
        <v>16</v>
      </c>
      <c r="M108" s="8" t="s">
        <v>17</v>
      </c>
      <c r="N108" s="8" t="s">
        <v>713</v>
      </c>
      <c r="O108" s="8" t="s">
        <v>0</v>
      </c>
      <c r="P108" s="10" t="s">
        <v>1041</v>
      </c>
    </row>
    <row r="109" spans="1:16" x14ac:dyDescent="0.25">
      <c r="A109" s="7" t="s">
        <v>714</v>
      </c>
      <c r="B109" s="8" t="s">
        <v>715</v>
      </c>
      <c r="C109" s="8" t="s">
        <v>43</v>
      </c>
      <c r="D109" s="8" t="s">
        <v>622</v>
      </c>
      <c r="E109" s="8" t="s">
        <v>0</v>
      </c>
      <c r="F109" s="8" t="s">
        <v>0</v>
      </c>
      <c r="G109" s="8" t="s">
        <v>77</v>
      </c>
      <c r="H109" s="9">
        <v>34.5</v>
      </c>
      <c r="I109" s="9">
        <v>109</v>
      </c>
      <c r="J109" s="8" t="s">
        <v>299</v>
      </c>
      <c r="K109" s="8" t="s">
        <v>87</v>
      </c>
      <c r="L109" s="8" t="s">
        <v>16</v>
      </c>
      <c r="M109" s="8" t="s">
        <v>30</v>
      </c>
      <c r="N109" s="8" t="s">
        <v>0</v>
      </c>
      <c r="O109" s="8" t="s">
        <v>716</v>
      </c>
      <c r="P109" s="10" t="s">
        <v>1042</v>
      </c>
    </row>
    <row r="110" spans="1:16" x14ac:dyDescent="0.25">
      <c r="A110" s="7" t="s">
        <v>469</v>
      </c>
      <c r="B110" s="8" t="s">
        <v>470</v>
      </c>
      <c r="C110" s="8" t="s">
        <v>471</v>
      </c>
      <c r="D110" s="8" t="s">
        <v>472</v>
      </c>
      <c r="E110" s="8" t="s">
        <v>0</v>
      </c>
      <c r="F110" s="8" t="s">
        <v>0</v>
      </c>
      <c r="G110" s="8" t="s">
        <v>97</v>
      </c>
      <c r="H110" s="9">
        <v>33.42</v>
      </c>
      <c r="I110" s="9">
        <v>111.93</v>
      </c>
      <c r="J110" s="8" t="s">
        <v>299</v>
      </c>
      <c r="K110" s="8" t="s">
        <v>82</v>
      </c>
      <c r="L110" s="8" t="s">
        <v>16</v>
      </c>
      <c r="M110" s="8" t="s">
        <v>30</v>
      </c>
      <c r="N110" s="8" t="s">
        <v>0</v>
      </c>
      <c r="O110" s="8" t="s">
        <v>473</v>
      </c>
      <c r="P110" s="10" t="s">
        <v>1043</v>
      </c>
    </row>
    <row r="111" spans="1:16" x14ac:dyDescent="0.25">
      <c r="A111" s="7" t="s">
        <v>717</v>
      </c>
      <c r="B111" s="8" t="s">
        <v>718</v>
      </c>
      <c r="C111" s="8" t="s">
        <v>43</v>
      </c>
      <c r="D111" s="8" t="s">
        <v>76</v>
      </c>
      <c r="E111" s="8" t="s">
        <v>0</v>
      </c>
      <c r="F111" s="8" t="s">
        <v>719</v>
      </c>
      <c r="G111" s="8" t="s">
        <v>97</v>
      </c>
      <c r="H111" s="9">
        <v>31.33</v>
      </c>
      <c r="I111" s="9">
        <v>121.33</v>
      </c>
      <c r="J111" s="8" t="s">
        <v>299</v>
      </c>
      <c r="K111" s="8" t="s">
        <v>87</v>
      </c>
      <c r="L111" s="8" t="s">
        <v>16</v>
      </c>
      <c r="M111" s="8" t="s">
        <v>30</v>
      </c>
      <c r="N111" s="8" t="s">
        <v>0</v>
      </c>
      <c r="O111" s="8">
        <v>22.78</v>
      </c>
      <c r="P111" s="10" t="s">
        <v>1042</v>
      </c>
    </row>
    <row r="112" spans="1:16" x14ac:dyDescent="0.25">
      <c r="A112" s="7" t="s">
        <v>720</v>
      </c>
      <c r="B112" s="8" t="s">
        <v>718</v>
      </c>
      <c r="C112" s="8" t="s">
        <v>43</v>
      </c>
      <c r="D112" s="8" t="s">
        <v>76</v>
      </c>
      <c r="E112" s="8" t="s">
        <v>0</v>
      </c>
      <c r="F112" s="8" t="s">
        <v>721</v>
      </c>
      <c r="G112" s="8" t="s">
        <v>97</v>
      </c>
      <c r="H112" s="9">
        <v>31.33</v>
      </c>
      <c r="I112" s="9">
        <v>121.17</v>
      </c>
      <c r="J112" s="8" t="s">
        <v>299</v>
      </c>
      <c r="K112" s="8" t="s">
        <v>87</v>
      </c>
      <c r="L112" s="8" t="s">
        <v>16</v>
      </c>
      <c r="M112" s="8" t="s">
        <v>30</v>
      </c>
      <c r="N112" s="8" t="s">
        <v>0</v>
      </c>
      <c r="O112" s="8">
        <v>15.88</v>
      </c>
      <c r="P112" s="10" t="s">
        <v>1042</v>
      </c>
    </row>
    <row r="113" spans="1:16" x14ac:dyDescent="0.25">
      <c r="A113" s="7" t="s">
        <v>362</v>
      </c>
      <c r="B113" s="8" t="s">
        <v>363</v>
      </c>
      <c r="C113" s="8" t="s">
        <v>349</v>
      </c>
      <c r="D113" s="8" t="s">
        <v>364</v>
      </c>
      <c r="E113" s="8" t="s">
        <v>0</v>
      </c>
      <c r="F113" s="8" t="s">
        <v>365</v>
      </c>
      <c r="G113" s="8" t="s">
        <v>366</v>
      </c>
      <c r="H113" s="9">
        <v>45.22</v>
      </c>
      <c r="I113" s="9">
        <v>78.930000000000007</v>
      </c>
      <c r="J113" s="8" t="s">
        <v>299</v>
      </c>
      <c r="K113" s="8" t="s">
        <v>339</v>
      </c>
      <c r="L113" s="8" t="s">
        <v>16</v>
      </c>
      <c r="M113" s="8" t="s">
        <v>17</v>
      </c>
      <c r="N113" s="8" t="s">
        <v>367</v>
      </c>
      <c r="O113" s="8" t="s">
        <v>0</v>
      </c>
      <c r="P113" s="10" t="s">
        <v>1036</v>
      </c>
    </row>
    <row r="114" spans="1:16" x14ac:dyDescent="0.25">
      <c r="A114" s="7" t="s">
        <v>368</v>
      </c>
      <c r="B114" s="8" t="s">
        <v>363</v>
      </c>
      <c r="C114" s="8" t="s">
        <v>349</v>
      </c>
      <c r="D114" s="8" t="s">
        <v>364</v>
      </c>
      <c r="E114" s="8" t="s">
        <v>0</v>
      </c>
      <c r="F114" s="8" t="s">
        <v>369</v>
      </c>
      <c r="G114" s="8" t="s">
        <v>366</v>
      </c>
      <c r="H114" s="9">
        <v>45.4</v>
      </c>
      <c r="I114" s="9">
        <v>79</v>
      </c>
      <c r="J114" s="8" t="s">
        <v>299</v>
      </c>
      <c r="K114" s="8" t="s">
        <v>332</v>
      </c>
      <c r="L114" s="8" t="s">
        <v>16</v>
      </c>
      <c r="M114" s="8" t="s">
        <v>17</v>
      </c>
      <c r="N114" s="8" t="s">
        <v>370</v>
      </c>
      <c r="O114" s="8" t="s">
        <v>0</v>
      </c>
      <c r="P114" s="10" t="s">
        <v>1036</v>
      </c>
    </row>
    <row r="115" spans="1:16" x14ac:dyDescent="0.25">
      <c r="A115" s="7" t="s">
        <v>371</v>
      </c>
      <c r="B115" s="8" t="s">
        <v>363</v>
      </c>
      <c r="C115" s="8" t="s">
        <v>349</v>
      </c>
      <c r="D115" s="8" t="s">
        <v>364</v>
      </c>
      <c r="E115" s="8" t="s">
        <v>0</v>
      </c>
      <c r="F115" s="8" t="s">
        <v>372</v>
      </c>
      <c r="G115" s="8" t="s">
        <v>366</v>
      </c>
      <c r="H115" s="9">
        <v>45.13</v>
      </c>
      <c r="I115" s="9">
        <v>79.099999999999994</v>
      </c>
      <c r="J115" s="8" t="s">
        <v>299</v>
      </c>
      <c r="K115" s="8" t="s">
        <v>332</v>
      </c>
      <c r="L115" s="8" t="s">
        <v>16</v>
      </c>
      <c r="M115" s="8" t="s">
        <v>17</v>
      </c>
      <c r="N115" s="8" t="s">
        <v>19</v>
      </c>
      <c r="O115" s="8" t="s">
        <v>0</v>
      </c>
      <c r="P115" s="10" t="s">
        <v>1036</v>
      </c>
    </row>
    <row r="116" spans="1:16" x14ac:dyDescent="0.25">
      <c r="A116" s="7" t="s">
        <v>373</v>
      </c>
      <c r="B116" s="8" t="s">
        <v>363</v>
      </c>
      <c r="C116" s="8" t="s">
        <v>349</v>
      </c>
      <c r="D116" s="8" t="s">
        <v>364</v>
      </c>
      <c r="E116" s="8" t="s">
        <v>0</v>
      </c>
      <c r="F116" s="8" t="s">
        <v>374</v>
      </c>
      <c r="G116" s="8" t="s">
        <v>366</v>
      </c>
      <c r="H116" s="9">
        <v>45.18</v>
      </c>
      <c r="I116" s="9">
        <v>78.819999999999993</v>
      </c>
      <c r="J116" s="8" t="s">
        <v>299</v>
      </c>
      <c r="K116" s="8" t="s">
        <v>339</v>
      </c>
      <c r="L116" s="8" t="s">
        <v>16</v>
      </c>
      <c r="M116" s="8" t="s">
        <v>17</v>
      </c>
      <c r="N116" s="8" t="s">
        <v>375</v>
      </c>
      <c r="O116" s="8" t="s">
        <v>0</v>
      </c>
      <c r="P116" s="10" t="s">
        <v>1036</v>
      </c>
    </row>
    <row r="117" spans="1:16" x14ac:dyDescent="0.25">
      <c r="A117" s="7" t="s">
        <v>376</v>
      </c>
      <c r="B117" s="8" t="s">
        <v>363</v>
      </c>
      <c r="C117" s="8" t="s">
        <v>349</v>
      </c>
      <c r="D117" s="8" t="s">
        <v>364</v>
      </c>
      <c r="E117" s="8" t="s">
        <v>0</v>
      </c>
      <c r="F117" s="8" t="s">
        <v>377</v>
      </c>
      <c r="G117" s="8" t="s">
        <v>366</v>
      </c>
      <c r="H117" s="9">
        <v>45.18</v>
      </c>
      <c r="I117" s="9">
        <v>78.819999999999993</v>
      </c>
      <c r="J117" s="8" t="s">
        <v>299</v>
      </c>
      <c r="K117" s="8" t="s">
        <v>332</v>
      </c>
      <c r="L117" s="8" t="s">
        <v>16</v>
      </c>
      <c r="M117" s="8" t="s">
        <v>17</v>
      </c>
      <c r="N117" s="8" t="s">
        <v>23</v>
      </c>
      <c r="O117" s="8" t="s">
        <v>0</v>
      </c>
      <c r="P117" s="10" t="s">
        <v>1036</v>
      </c>
    </row>
    <row r="118" spans="1:16" x14ac:dyDescent="0.25">
      <c r="A118" s="7" t="s">
        <v>378</v>
      </c>
      <c r="B118" s="8" t="s">
        <v>363</v>
      </c>
      <c r="C118" s="8" t="s">
        <v>349</v>
      </c>
      <c r="D118" s="8" t="s">
        <v>364</v>
      </c>
      <c r="E118" s="8" t="s">
        <v>0</v>
      </c>
      <c r="F118" s="8" t="s">
        <v>379</v>
      </c>
      <c r="G118" s="8" t="s">
        <v>366</v>
      </c>
      <c r="H118" s="9">
        <v>45.18</v>
      </c>
      <c r="I118" s="9">
        <v>78.819999999999993</v>
      </c>
      <c r="J118" s="8" t="s">
        <v>299</v>
      </c>
      <c r="K118" s="8" t="s">
        <v>332</v>
      </c>
      <c r="L118" s="8" t="s">
        <v>16</v>
      </c>
      <c r="M118" s="8" t="s">
        <v>17</v>
      </c>
      <c r="N118" s="8" t="s">
        <v>23</v>
      </c>
      <c r="O118" s="8" t="s">
        <v>0</v>
      </c>
      <c r="P118" s="10" t="s">
        <v>1036</v>
      </c>
    </row>
    <row r="119" spans="1:16" x14ac:dyDescent="0.25">
      <c r="A119" s="7" t="s">
        <v>406</v>
      </c>
      <c r="B119" s="8" t="s">
        <v>407</v>
      </c>
      <c r="C119" s="8" t="s">
        <v>43</v>
      </c>
      <c r="D119" s="8" t="s">
        <v>408</v>
      </c>
      <c r="E119" s="8" t="s">
        <v>0</v>
      </c>
      <c r="F119" s="8" t="s">
        <v>1163</v>
      </c>
      <c r="G119" s="8" t="s">
        <v>392</v>
      </c>
      <c r="H119" s="9">
        <v>27.9</v>
      </c>
      <c r="I119" s="9">
        <v>120.66</v>
      </c>
      <c r="J119" s="8" t="s">
        <v>299</v>
      </c>
      <c r="K119" s="8" t="s">
        <v>332</v>
      </c>
      <c r="L119" s="8" t="s">
        <v>16</v>
      </c>
      <c r="M119" s="8" t="s">
        <v>30</v>
      </c>
      <c r="N119" s="8" t="s">
        <v>0</v>
      </c>
      <c r="O119" s="8" t="s">
        <v>409</v>
      </c>
      <c r="P119" s="10" t="s">
        <v>1044</v>
      </c>
    </row>
    <row r="120" spans="1:16" x14ac:dyDescent="0.25">
      <c r="A120" s="7" t="s">
        <v>410</v>
      </c>
      <c r="B120" s="8" t="s">
        <v>407</v>
      </c>
      <c r="C120" s="8" t="s">
        <v>43</v>
      </c>
      <c r="D120" s="8" t="s">
        <v>408</v>
      </c>
      <c r="E120" s="8" t="s">
        <v>0</v>
      </c>
      <c r="F120" s="8" t="s">
        <v>1163</v>
      </c>
      <c r="G120" s="8" t="s">
        <v>392</v>
      </c>
      <c r="H120" s="9">
        <v>27.95</v>
      </c>
      <c r="I120" s="9">
        <v>120.72</v>
      </c>
      <c r="J120" s="8" t="s">
        <v>299</v>
      </c>
      <c r="K120" s="8" t="s">
        <v>332</v>
      </c>
      <c r="L120" s="8" t="s">
        <v>16</v>
      </c>
      <c r="M120" s="8" t="s">
        <v>30</v>
      </c>
      <c r="N120" s="8" t="s">
        <v>0</v>
      </c>
      <c r="O120" s="8" t="s">
        <v>409</v>
      </c>
      <c r="P120" s="10" t="s">
        <v>1044</v>
      </c>
    </row>
    <row r="121" spans="1:16" x14ac:dyDescent="0.25">
      <c r="A121" s="7" t="s">
        <v>411</v>
      </c>
      <c r="B121" s="8" t="s">
        <v>407</v>
      </c>
      <c r="C121" s="8" t="s">
        <v>43</v>
      </c>
      <c r="D121" s="8" t="s">
        <v>408</v>
      </c>
      <c r="E121" s="8" t="s">
        <v>0</v>
      </c>
      <c r="F121" s="8" t="s">
        <v>1164</v>
      </c>
      <c r="G121" s="8" t="s">
        <v>392</v>
      </c>
      <c r="H121" s="9">
        <v>27.95</v>
      </c>
      <c r="I121" s="9">
        <v>120.72</v>
      </c>
      <c r="J121" s="8" t="s">
        <v>299</v>
      </c>
      <c r="K121" s="8" t="s">
        <v>332</v>
      </c>
      <c r="L121" s="8" t="s">
        <v>16</v>
      </c>
      <c r="M121" s="8" t="s">
        <v>30</v>
      </c>
      <c r="N121" s="8" t="s">
        <v>0</v>
      </c>
      <c r="O121" s="8" t="s">
        <v>412</v>
      </c>
      <c r="P121" s="10" t="s">
        <v>1044</v>
      </c>
    </row>
    <row r="122" spans="1:16" x14ac:dyDescent="0.25">
      <c r="A122" s="7" t="s">
        <v>413</v>
      </c>
      <c r="B122" s="8" t="s">
        <v>407</v>
      </c>
      <c r="C122" s="8" t="s">
        <v>43</v>
      </c>
      <c r="D122" s="8" t="s">
        <v>408</v>
      </c>
      <c r="E122" s="8" t="s">
        <v>0</v>
      </c>
      <c r="F122" s="8" t="s">
        <v>1164</v>
      </c>
      <c r="G122" s="8" t="s">
        <v>392</v>
      </c>
      <c r="H122" s="9">
        <v>27.95</v>
      </c>
      <c r="I122" s="9">
        <v>120.71</v>
      </c>
      <c r="J122" s="8" t="s">
        <v>299</v>
      </c>
      <c r="K122" s="8" t="s">
        <v>332</v>
      </c>
      <c r="L122" s="8" t="s">
        <v>16</v>
      </c>
      <c r="M122" s="8" t="s">
        <v>30</v>
      </c>
      <c r="N122" s="8" t="s">
        <v>0</v>
      </c>
      <c r="O122" s="8" t="s">
        <v>412</v>
      </c>
      <c r="P122" s="10" t="s">
        <v>1044</v>
      </c>
    </row>
    <row r="123" spans="1:16" x14ac:dyDescent="0.25">
      <c r="A123" s="7" t="s">
        <v>414</v>
      </c>
      <c r="B123" s="8" t="s">
        <v>407</v>
      </c>
      <c r="C123" s="8" t="s">
        <v>43</v>
      </c>
      <c r="D123" s="8" t="s">
        <v>408</v>
      </c>
      <c r="E123" s="8" t="s">
        <v>0</v>
      </c>
      <c r="F123" s="8" t="s">
        <v>1165</v>
      </c>
      <c r="G123" s="8" t="s">
        <v>392</v>
      </c>
      <c r="H123" s="9">
        <v>27.92</v>
      </c>
      <c r="I123" s="9">
        <v>120.74</v>
      </c>
      <c r="J123" s="8" t="s">
        <v>299</v>
      </c>
      <c r="K123" s="8" t="s">
        <v>332</v>
      </c>
      <c r="L123" s="8" t="s">
        <v>16</v>
      </c>
      <c r="M123" s="8" t="s">
        <v>30</v>
      </c>
      <c r="N123" s="8" t="s">
        <v>0</v>
      </c>
      <c r="O123" s="8" t="s">
        <v>415</v>
      </c>
      <c r="P123" s="10" t="s">
        <v>1044</v>
      </c>
    </row>
    <row r="124" spans="1:16" x14ac:dyDescent="0.25">
      <c r="A124" s="7" t="s">
        <v>416</v>
      </c>
      <c r="B124" s="8" t="s">
        <v>407</v>
      </c>
      <c r="C124" s="8" t="s">
        <v>43</v>
      </c>
      <c r="D124" s="8" t="s">
        <v>408</v>
      </c>
      <c r="E124" s="8" t="s">
        <v>0</v>
      </c>
      <c r="F124" s="8" t="s">
        <v>1165</v>
      </c>
      <c r="G124" s="8" t="s">
        <v>392</v>
      </c>
      <c r="H124" s="9">
        <v>27.9</v>
      </c>
      <c r="I124" s="9">
        <v>120.74</v>
      </c>
      <c r="J124" s="8" t="s">
        <v>299</v>
      </c>
      <c r="K124" s="8" t="s">
        <v>332</v>
      </c>
      <c r="L124" s="8" t="s">
        <v>16</v>
      </c>
      <c r="M124" s="8" t="s">
        <v>30</v>
      </c>
      <c r="N124" s="8" t="s">
        <v>0</v>
      </c>
      <c r="O124" s="8" t="s">
        <v>415</v>
      </c>
      <c r="P124" s="10" t="s">
        <v>1044</v>
      </c>
    </row>
    <row r="125" spans="1:16" x14ac:dyDescent="0.25">
      <c r="A125" s="7" t="s">
        <v>722</v>
      </c>
      <c r="B125" s="8" t="s">
        <v>407</v>
      </c>
      <c r="C125" s="8" t="s">
        <v>43</v>
      </c>
      <c r="D125" s="8" t="s">
        <v>408</v>
      </c>
      <c r="E125" s="8" t="s">
        <v>0</v>
      </c>
      <c r="F125" s="8" t="s">
        <v>1166</v>
      </c>
      <c r="G125" s="8" t="s">
        <v>392</v>
      </c>
      <c r="H125" s="9">
        <v>27.92</v>
      </c>
      <c r="I125" s="9">
        <v>120.71</v>
      </c>
      <c r="J125" s="8" t="s">
        <v>299</v>
      </c>
      <c r="K125" s="8" t="s">
        <v>87</v>
      </c>
      <c r="L125" s="8" t="s">
        <v>16</v>
      </c>
      <c r="M125" s="8" t="s">
        <v>30</v>
      </c>
      <c r="N125" s="8" t="s">
        <v>0</v>
      </c>
      <c r="O125" s="8" t="s">
        <v>724</v>
      </c>
      <c r="P125" s="10" t="s">
        <v>1044</v>
      </c>
    </row>
    <row r="126" spans="1:16" x14ac:dyDescent="0.25">
      <c r="A126" s="7" t="s">
        <v>725</v>
      </c>
      <c r="B126" s="8" t="s">
        <v>407</v>
      </c>
      <c r="C126" s="8" t="s">
        <v>43</v>
      </c>
      <c r="D126" s="8" t="s">
        <v>408</v>
      </c>
      <c r="E126" s="8" t="s">
        <v>0</v>
      </c>
      <c r="F126" s="8" t="s">
        <v>1166</v>
      </c>
      <c r="G126" s="8" t="s">
        <v>392</v>
      </c>
      <c r="H126" s="9">
        <v>27.98</v>
      </c>
      <c r="I126" s="9">
        <v>120.69</v>
      </c>
      <c r="J126" s="8" t="s">
        <v>299</v>
      </c>
      <c r="K126" s="8" t="s">
        <v>87</v>
      </c>
      <c r="L126" s="8" t="s">
        <v>16</v>
      </c>
      <c r="M126" s="8" t="s">
        <v>30</v>
      </c>
      <c r="N126" s="8" t="s">
        <v>0</v>
      </c>
      <c r="O126" s="8" t="s">
        <v>724</v>
      </c>
      <c r="P126" s="10" t="s">
        <v>1044</v>
      </c>
    </row>
    <row r="127" spans="1:16" x14ac:dyDescent="0.25">
      <c r="A127" s="7" t="s">
        <v>727</v>
      </c>
      <c r="B127" s="8" t="s">
        <v>407</v>
      </c>
      <c r="C127" s="8" t="s">
        <v>43</v>
      </c>
      <c r="D127" s="8" t="s">
        <v>408</v>
      </c>
      <c r="E127" s="8" t="s">
        <v>0</v>
      </c>
      <c r="F127" s="8" t="s">
        <v>1166</v>
      </c>
      <c r="G127" s="8" t="s">
        <v>392</v>
      </c>
      <c r="H127" s="9">
        <v>28</v>
      </c>
      <c r="I127" s="9">
        <v>120.69</v>
      </c>
      <c r="J127" s="8" t="s">
        <v>299</v>
      </c>
      <c r="K127" s="8" t="s">
        <v>87</v>
      </c>
      <c r="L127" s="8" t="s">
        <v>16</v>
      </c>
      <c r="M127" s="8" t="s">
        <v>30</v>
      </c>
      <c r="N127" s="8" t="s">
        <v>0</v>
      </c>
      <c r="O127" s="8" t="s">
        <v>724</v>
      </c>
      <c r="P127" s="10" t="s">
        <v>1044</v>
      </c>
    </row>
    <row r="128" spans="1:16" x14ac:dyDescent="0.25">
      <c r="A128" s="7" t="s">
        <v>729</v>
      </c>
      <c r="B128" s="8" t="s">
        <v>407</v>
      </c>
      <c r="C128" s="8" t="s">
        <v>43</v>
      </c>
      <c r="D128" s="8" t="s">
        <v>408</v>
      </c>
      <c r="E128" s="8" t="s">
        <v>0</v>
      </c>
      <c r="F128" s="8" t="s">
        <v>1166</v>
      </c>
      <c r="G128" s="8" t="s">
        <v>392</v>
      </c>
      <c r="H128" s="9">
        <v>27.98</v>
      </c>
      <c r="I128" s="9">
        <v>120.72</v>
      </c>
      <c r="J128" s="8" t="s">
        <v>299</v>
      </c>
      <c r="K128" s="8" t="s">
        <v>87</v>
      </c>
      <c r="L128" s="8" t="s">
        <v>16</v>
      </c>
      <c r="M128" s="8" t="s">
        <v>30</v>
      </c>
      <c r="N128" s="8" t="s">
        <v>0</v>
      </c>
      <c r="O128" s="8" t="s">
        <v>724</v>
      </c>
      <c r="P128" s="10" t="s">
        <v>1044</v>
      </c>
    </row>
    <row r="129" spans="1:16" x14ac:dyDescent="0.25">
      <c r="A129" s="7" t="s">
        <v>731</v>
      </c>
      <c r="B129" s="8" t="s">
        <v>407</v>
      </c>
      <c r="C129" s="8" t="s">
        <v>43</v>
      </c>
      <c r="D129" s="8" t="s">
        <v>408</v>
      </c>
      <c r="E129" s="8" t="s">
        <v>0</v>
      </c>
      <c r="F129" s="8" t="s">
        <v>1166</v>
      </c>
      <c r="G129" s="8" t="s">
        <v>392</v>
      </c>
      <c r="H129" s="9">
        <v>27.97</v>
      </c>
      <c r="I129" s="9">
        <v>120.67</v>
      </c>
      <c r="J129" s="8" t="s">
        <v>299</v>
      </c>
      <c r="K129" s="8" t="s">
        <v>87</v>
      </c>
      <c r="L129" s="8" t="s">
        <v>16</v>
      </c>
      <c r="M129" s="8" t="s">
        <v>30</v>
      </c>
      <c r="N129" s="8" t="s">
        <v>0</v>
      </c>
      <c r="O129" s="8" t="s">
        <v>724</v>
      </c>
      <c r="P129" s="10" t="s">
        <v>1044</v>
      </c>
    </row>
    <row r="130" spans="1:16" x14ac:dyDescent="0.25">
      <c r="A130" s="7" t="s">
        <v>733</v>
      </c>
      <c r="B130" s="8" t="s">
        <v>407</v>
      </c>
      <c r="C130" s="8" t="s">
        <v>43</v>
      </c>
      <c r="D130" s="8" t="s">
        <v>408</v>
      </c>
      <c r="E130" s="8" t="s">
        <v>0</v>
      </c>
      <c r="F130" s="8" t="s">
        <v>1167</v>
      </c>
      <c r="G130" s="8" t="s">
        <v>392</v>
      </c>
      <c r="H130" s="9">
        <v>27.98</v>
      </c>
      <c r="I130" s="9">
        <v>120.69</v>
      </c>
      <c r="J130" s="8" t="s">
        <v>299</v>
      </c>
      <c r="K130" s="8" t="s">
        <v>87</v>
      </c>
      <c r="L130" s="8" t="s">
        <v>16</v>
      </c>
      <c r="M130" s="8" t="s">
        <v>30</v>
      </c>
      <c r="N130" s="8" t="s">
        <v>0</v>
      </c>
      <c r="O130" s="8" t="s">
        <v>734</v>
      </c>
      <c r="P130" s="10" t="s">
        <v>1044</v>
      </c>
    </row>
    <row r="131" spans="1:16" x14ac:dyDescent="0.25">
      <c r="A131" s="7" t="s">
        <v>735</v>
      </c>
      <c r="B131" s="8" t="s">
        <v>407</v>
      </c>
      <c r="C131" s="8" t="s">
        <v>43</v>
      </c>
      <c r="D131" s="8" t="s">
        <v>408</v>
      </c>
      <c r="E131" s="8" t="s">
        <v>0</v>
      </c>
      <c r="F131" s="8" t="s">
        <v>1167</v>
      </c>
      <c r="G131" s="8" t="s">
        <v>392</v>
      </c>
      <c r="H131" s="9">
        <v>27.98</v>
      </c>
      <c r="I131" s="9">
        <v>120.66</v>
      </c>
      <c r="J131" s="8" t="s">
        <v>299</v>
      </c>
      <c r="K131" s="8" t="s">
        <v>87</v>
      </c>
      <c r="L131" s="8" t="s">
        <v>16</v>
      </c>
      <c r="M131" s="8" t="s">
        <v>30</v>
      </c>
      <c r="N131" s="8" t="s">
        <v>0</v>
      </c>
      <c r="O131" s="8" t="s">
        <v>734</v>
      </c>
      <c r="P131" s="10" t="s">
        <v>1044</v>
      </c>
    </row>
    <row r="132" spans="1:16" x14ac:dyDescent="0.25">
      <c r="A132" s="7" t="s">
        <v>736</v>
      </c>
      <c r="B132" s="8" t="s">
        <v>407</v>
      </c>
      <c r="C132" s="8" t="s">
        <v>43</v>
      </c>
      <c r="D132" s="8" t="s">
        <v>408</v>
      </c>
      <c r="E132" s="8" t="s">
        <v>0</v>
      </c>
      <c r="F132" s="8" t="s">
        <v>1168</v>
      </c>
      <c r="G132" s="8" t="s">
        <v>392</v>
      </c>
      <c r="H132" s="9">
        <v>27.92</v>
      </c>
      <c r="I132" s="9">
        <v>120.72</v>
      </c>
      <c r="J132" s="8" t="s">
        <v>299</v>
      </c>
      <c r="K132" s="8" t="s">
        <v>87</v>
      </c>
      <c r="L132" s="8" t="s">
        <v>16</v>
      </c>
      <c r="M132" s="8" t="s">
        <v>30</v>
      </c>
      <c r="N132" s="8" t="s">
        <v>0</v>
      </c>
      <c r="O132" s="8" t="s">
        <v>737</v>
      </c>
      <c r="P132" s="10" t="s">
        <v>1044</v>
      </c>
    </row>
    <row r="133" spans="1:16" x14ac:dyDescent="0.25">
      <c r="A133" s="7" t="s">
        <v>738</v>
      </c>
      <c r="B133" s="8" t="s">
        <v>407</v>
      </c>
      <c r="C133" s="8" t="s">
        <v>43</v>
      </c>
      <c r="D133" s="8" t="s">
        <v>408</v>
      </c>
      <c r="E133" s="8" t="s">
        <v>0</v>
      </c>
      <c r="F133" s="8" t="s">
        <v>1168</v>
      </c>
      <c r="G133" s="8" t="s">
        <v>392</v>
      </c>
      <c r="H133" s="9">
        <v>28</v>
      </c>
      <c r="I133" s="9">
        <v>120.68</v>
      </c>
      <c r="J133" s="8" t="s">
        <v>299</v>
      </c>
      <c r="K133" s="8" t="s">
        <v>87</v>
      </c>
      <c r="L133" s="8" t="s">
        <v>16</v>
      </c>
      <c r="M133" s="8" t="s">
        <v>30</v>
      </c>
      <c r="N133" s="8" t="s">
        <v>0</v>
      </c>
      <c r="O133" s="8" t="s">
        <v>737</v>
      </c>
      <c r="P133" s="10" t="s">
        <v>1044</v>
      </c>
    </row>
    <row r="134" spans="1:16" x14ac:dyDescent="0.25">
      <c r="A134" s="7" t="s">
        <v>739</v>
      </c>
      <c r="B134" s="8" t="s">
        <v>407</v>
      </c>
      <c r="C134" s="8" t="s">
        <v>43</v>
      </c>
      <c r="D134" s="8" t="s">
        <v>408</v>
      </c>
      <c r="E134" s="8" t="s">
        <v>0</v>
      </c>
      <c r="F134" s="8" t="s">
        <v>1169</v>
      </c>
      <c r="G134" s="8" t="s">
        <v>392</v>
      </c>
      <c r="H134" s="9">
        <v>28</v>
      </c>
      <c r="I134" s="9">
        <v>120.68</v>
      </c>
      <c r="J134" s="8" t="s">
        <v>299</v>
      </c>
      <c r="K134" s="8" t="s">
        <v>87</v>
      </c>
      <c r="L134" s="8" t="s">
        <v>16</v>
      </c>
      <c r="M134" s="8" t="s">
        <v>30</v>
      </c>
      <c r="N134" s="8" t="s">
        <v>0</v>
      </c>
      <c r="O134" s="8" t="s">
        <v>740</v>
      </c>
      <c r="P134" s="10" t="s">
        <v>1044</v>
      </c>
    </row>
    <row r="135" spans="1:16" x14ac:dyDescent="0.25">
      <c r="A135" s="7" t="s">
        <v>741</v>
      </c>
      <c r="B135" s="8" t="s">
        <v>407</v>
      </c>
      <c r="C135" s="8" t="s">
        <v>43</v>
      </c>
      <c r="D135" s="8" t="s">
        <v>408</v>
      </c>
      <c r="E135" s="8" t="s">
        <v>0</v>
      </c>
      <c r="F135" s="8" t="s">
        <v>1169</v>
      </c>
      <c r="G135" s="8" t="s">
        <v>392</v>
      </c>
      <c r="H135" s="9">
        <v>27.93</v>
      </c>
      <c r="I135" s="9">
        <v>120.7</v>
      </c>
      <c r="J135" s="8" t="s">
        <v>299</v>
      </c>
      <c r="K135" s="8" t="s">
        <v>87</v>
      </c>
      <c r="L135" s="8" t="s">
        <v>16</v>
      </c>
      <c r="M135" s="8" t="s">
        <v>30</v>
      </c>
      <c r="N135" s="8" t="s">
        <v>0</v>
      </c>
      <c r="O135" s="8" t="s">
        <v>740</v>
      </c>
      <c r="P135" s="10" t="s">
        <v>1044</v>
      </c>
    </row>
    <row r="136" spans="1:16" x14ac:dyDescent="0.25">
      <c r="A136" s="7" t="s">
        <v>742</v>
      </c>
      <c r="B136" s="8" t="s">
        <v>407</v>
      </c>
      <c r="C136" s="8" t="s">
        <v>43</v>
      </c>
      <c r="D136" s="8" t="s">
        <v>408</v>
      </c>
      <c r="E136" s="8" t="s">
        <v>0</v>
      </c>
      <c r="F136" s="8" t="s">
        <v>1170</v>
      </c>
      <c r="G136" s="8" t="s">
        <v>392</v>
      </c>
      <c r="H136" s="9">
        <v>27.98</v>
      </c>
      <c r="I136" s="9">
        <v>120.69</v>
      </c>
      <c r="J136" s="8" t="s">
        <v>299</v>
      </c>
      <c r="K136" s="8" t="s">
        <v>87</v>
      </c>
      <c r="L136" s="8" t="s">
        <v>16</v>
      </c>
      <c r="M136" s="8" t="s">
        <v>30</v>
      </c>
      <c r="N136" s="8" t="s">
        <v>0</v>
      </c>
      <c r="O136" s="8" t="s">
        <v>743</v>
      </c>
      <c r="P136" s="10" t="s">
        <v>1044</v>
      </c>
    </row>
    <row r="137" spans="1:16" x14ac:dyDescent="0.25">
      <c r="A137" s="7" t="s">
        <v>744</v>
      </c>
      <c r="B137" s="8" t="s">
        <v>407</v>
      </c>
      <c r="C137" s="8" t="s">
        <v>43</v>
      </c>
      <c r="D137" s="8" t="s">
        <v>408</v>
      </c>
      <c r="E137" s="8" t="s">
        <v>0</v>
      </c>
      <c r="F137" s="8" t="s">
        <v>1170</v>
      </c>
      <c r="G137" s="8" t="s">
        <v>392</v>
      </c>
      <c r="H137" s="9">
        <v>27.98</v>
      </c>
      <c r="I137" s="9">
        <v>120.67</v>
      </c>
      <c r="J137" s="8" t="s">
        <v>299</v>
      </c>
      <c r="K137" s="8" t="s">
        <v>87</v>
      </c>
      <c r="L137" s="8" t="s">
        <v>16</v>
      </c>
      <c r="M137" s="8" t="s">
        <v>30</v>
      </c>
      <c r="N137" s="8" t="s">
        <v>0</v>
      </c>
      <c r="O137" s="8" t="s">
        <v>743</v>
      </c>
      <c r="P137" s="10" t="s">
        <v>1044</v>
      </c>
    </row>
    <row r="138" spans="1:16" x14ac:dyDescent="0.25">
      <c r="A138" s="7" t="s">
        <v>745</v>
      </c>
      <c r="B138" s="8" t="s">
        <v>407</v>
      </c>
      <c r="C138" s="8" t="s">
        <v>43</v>
      </c>
      <c r="D138" s="8" t="s">
        <v>408</v>
      </c>
      <c r="E138" s="8" t="s">
        <v>0</v>
      </c>
      <c r="F138" s="8" t="s">
        <v>1171</v>
      </c>
      <c r="G138" s="8" t="s">
        <v>392</v>
      </c>
      <c r="H138" s="9">
        <v>28</v>
      </c>
      <c r="I138" s="9">
        <v>120.71</v>
      </c>
      <c r="J138" s="8" t="s">
        <v>299</v>
      </c>
      <c r="K138" s="8" t="s">
        <v>87</v>
      </c>
      <c r="L138" s="8" t="s">
        <v>16</v>
      </c>
      <c r="M138" s="8" t="s">
        <v>30</v>
      </c>
      <c r="N138" s="8" t="s">
        <v>0</v>
      </c>
      <c r="O138" s="8" t="s">
        <v>468</v>
      </c>
      <c r="P138" s="10" t="s">
        <v>1044</v>
      </c>
    </row>
    <row r="139" spans="1:16" x14ac:dyDescent="0.25">
      <c r="A139" s="7" t="s">
        <v>746</v>
      </c>
      <c r="B139" s="8" t="s">
        <v>407</v>
      </c>
      <c r="C139" s="8" t="s">
        <v>43</v>
      </c>
      <c r="D139" s="8" t="s">
        <v>408</v>
      </c>
      <c r="E139" s="8" t="s">
        <v>0</v>
      </c>
      <c r="F139" s="8" t="s">
        <v>1171</v>
      </c>
      <c r="G139" s="8" t="s">
        <v>392</v>
      </c>
      <c r="H139" s="9">
        <v>28</v>
      </c>
      <c r="I139" s="9">
        <v>120.68</v>
      </c>
      <c r="J139" s="8" t="s">
        <v>299</v>
      </c>
      <c r="K139" s="8" t="s">
        <v>87</v>
      </c>
      <c r="L139" s="8" t="s">
        <v>16</v>
      </c>
      <c r="M139" s="8" t="s">
        <v>30</v>
      </c>
      <c r="N139" s="8" t="s">
        <v>0</v>
      </c>
      <c r="O139" s="8" t="s">
        <v>468</v>
      </c>
      <c r="P139" s="10" t="s">
        <v>1044</v>
      </c>
    </row>
    <row r="140" spans="1:16" x14ac:dyDescent="0.25">
      <c r="A140" s="7" t="s">
        <v>747</v>
      </c>
      <c r="B140" s="8" t="s">
        <v>748</v>
      </c>
      <c r="C140" s="8" t="s">
        <v>43</v>
      </c>
      <c r="D140" s="8" t="s">
        <v>458</v>
      </c>
      <c r="E140" s="8" t="s">
        <v>0</v>
      </c>
      <c r="F140" s="8" t="s">
        <v>1048</v>
      </c>
      <c r="G140" s="8" t="s">
        <v>19</v>
      </c>
      <c r="H140" s="9">
        <v>30.62</v>
      </c>
      <c r="I140" s="9">
        <v>104.08</v>
      </c>
      <c r="J140" s="8" t="s">
        <v>299</v>
      </c>
      <c r="K140" s="8" t="s">
        <v>87</v>
      </c>
      <c r="L140" s="8" t="s">
        <v>16</v>
      </c>
      <c r="M140" s="8" t="s">
        <v>17</v>
      </c>
      <c r="N140" s="8" t="s">
        <v>1045</v>
      </c>
      <c r="O140" s="8" t="s">
        <v>0</v>
      </c>
      <c r="P140" s="10" t="s">
        <v>1047</v>
      </c>
    </row>
    <row r="141" spans="1:16" x14ac:dyDescent="0.25">
      <c r="A141" s="7" t="s">
        <v>747</v>
      </c>
      <c r="B141" s="8" t="s">
        <v>748</v>
      </c>
      <c r="C141" s="8" t="s">
        <v>43</v>
      </c>
      <c r="D141" s="8" t="s">
        <v>458</v>
      </c>
      <c r="E141" s="8" t="s">
        <v>0</v>
      </c>
      <c r="F141" s="8" t="s">
        <v>1049</v>
      </c>
      <c r="G141" s="8" t="s">
        <v>1050</v>
      </c>
      <c r="H141" s="9">
        <v>30.62</v>
      </c>
      <c r="I141" s="9">
        <v>104.08</v>
      </c>
      <c r="J141" s="8" t="s">
        <v>299</v>
      </c>
      <c r="K141" s="8" t="s">
        <v>87</v>
      </c>
      <c r="L141" s="8" t="s">
        <v>16</v>
      </c>
      <c r="M141" s="8" t="s">
        <v>17</v>
      </c>
      <c r="N141" s="8" t="s">
        <v>1046</v>
      </c>
      <c r="O141" s="8" t="s">
        <v>0</v>
      </c>
      <c r="P141" s="10" t="s">
        <v>1047</v>
      </c>
    </row>
    <row r="142" spans="1:16" x14ac:dyDescent="0.25">
      <c r="A142" s="7" t="s">
        <v>417</v>
      </c>
      <c r="B142" s="8" t="s">
        <v>418</v>
      </c>
      <c r="C142" s="8" t="s">
        <v>43</v>
      </c>
      <c r="D142" s="8" t="s">
        <v>419</v>
      </c>
      <c r="E142" s="8" t="s">
        <v>0</v>
      </c>
      <c r="F142" s="8" t="s">
        <v>0</v>
      </c>
      <c r="G142" s="8">
        <v>1</v>
      </c>
      <c r="H142" s="9">
        <v>37.299999999999997</v>
      </c>
      <c r="I142" s="9">
        <v>115.58</v>
      </c>
      <c r="J142" s="8" t="s">
        <v>299</v>
      </c>
      <c r="K142" s="8" t="s">
        <v>332</v>
      </c>
      <c r="L142" s="8" t="s">
        <v>16</v>
      </c>
      <c r="M142" s="8" t="s">
        <v>17</v>
      </c>
      <c r="N142" s="8" t="s">
        <v>420</v>
      </c>
      <c r="O142" s="8" t="s">
        <v>0</v>
      </c>
      <c r="P142" s="10" t="s">
        <v>1051</v>
      </c>
    </row>
    <row r="143" spans="1:16" x14ac:dyDescent="0.25">
      <c r="A143" s="7" t="s">
        <v>83</v>
      </c>
      <c r="B143" s="8" t="s">
        <v>84</v>
      </c>
      <c r="C143" s="8" t="s">
        <v>13</v>
      </c>
      <c r="D143" s="8" t="s">
        <v>85</v>
      </c>
      <c r="E143" s="8" t="s">
        <v>0</v>
      </c>
      <c r="F143" s="8" t="s">
        <v>0</v>
      </c>
      <c r="G143" s="8" t="s">
        <v>86</v>
      </c>
      <c r="H143" s="9">
        <v>5.4</v>
      </c>
      <c r="I143" s="9">
        <v>103.08</v>
      </c>
      <c r="J143" s="8" t="s">
        <v>1088</v>
      </c>
      <c r="K143" s="8" t="s">
        <v>87</v>
      </c>
      <c r="L143" s="8" t="s">
        <v>16</v>
      </c>
      <c r="M143" s="8" t="s">
        <v>17</v>
      </c>
      <c r="N143" s="8" t="s">
        <v>88</v>
      </c>
      <c r="O143" s="8" t="s">
        <v>0</v>
      </c>
      <c r="P143" s="10" t="s">
        <v>1039</v>
      </c>
    </row>
    <row r="144" spans="1:16" x14ac:dyDescent="0.25">
      <c r="A144" s="7" t="s">
        <v>89</v>
      </c>
      <c r="B144" s="8" t="s">
        <v>84</v>
      </c>
      <c r="C144" s="8" t="s">
        <v>13</v>
      </c>
      <c r="D144" s="8" t="s">
        <v>90</v>
      </c>
      <c r="E144" s="8" t="s">
        <v>0</v>
      </c>
      <c r="F144" s="8" t="s">
        <v>0</v>
      </c>
      <c r="G144" s="8" t="s">
        <v>86</v>
      </c>
      <c r="H144" s="9">
        <v>2.92</v>
      </c>
      <c r="I144" s="9">
        <v>101.77</v>
      </c>
      <c r="J144" s="8" t="s">
        <v>1088</v>
      </c>
      <c r="K144" s="8" t="s">
        <v>87</v>
      </c>
      <c r="L144" s="8" t="s">
        <v>16</v>
      </c>
      <c r="M144" s="8" t="s">
        <v>17</v>
      </c>
      <c r="N144" s="8" t="s">
        <v>91</v>
      </c>
      <c r="O144" s="8" t="s">
        <v>0</v>
      </c>
      <c r="P144" s="10" t="s">
        <v>1039</v>
      </c>
    </row>
    <row r="145" spans="1:16" x14ac:dyDescent="0.25">
      <c r="A145" s="7" t="s">
        <v>11</v>
      </c>
      <c r="B145" s="8" t="s">
        <v>12</v>
      </c>
      <c r="C145" s="8" t="s">
        <v>13</v>
      </c>
      <c r="D145" s="8" t="s">
        <v>14</v>
      </c>
      <c r="E145" s="8" t="s">
        <v>0</v>
      </c>
      <c r="F145" s="8" t="s">
        <v>0</v>
      </c>
      <c r="G145" s="8" t="s">
        <v>15</v>
      </c>
      <c r="H145" s="9">
        <v>5.8</v>
      </c>
      <c r="I145" s="9">
        <v>103</v>
      </c>
      <c r="J145" s="8" t="s">
        <v>1152</v>
      </c>
      <c r="K145" s="8" t="s">
        <v>1182</v>
      </c>
      <c r="L145" s="8" t="s">
        <v>16</v>
      </c>
      <c r="M145" s="8" t="s">
        <v>17</v>
      </c>
      <c r="N145" s="8" t="s">
        <v>18</v>
      </c>
      <c r="O145" s="8" t="s">
        <v>0</v>
      </c>
      <c r="P145" s="10" t="s">
        <v>1039</v>
      </c>
    </row>
    <row r="146" spans="1:16" x14ac:dyDescent="0.25">
      <c r="A146" s="7" t="s">
        <v>749</v>
      </c>
      <c r="B146" s="8" t="s">
        <v>750</v>
      </c>
      <c r="C146" s="8" t="s">
        <v>751</v>
      </c>
      <c r="D146" s="8" t="s">
        <v>752</v>
      </c>
      <c r="E146" s="8" t="s">
        <v>0</v>
      </c>
      <c r="F146" s="8" t="s">
        <v>753</v>
      </c>
      <c r="G146" s="8" t="s">
        <v>124</v>
      </c>
      <c r="H146" s="9">
        <v>37.590000000000003</v>
      </c>
      <c r="I146" s="9">
        <v>127.04</v>
      </c>
      <c r="J146" s="8" t="s">
        <v>299</v>
      </c>
      <c r="K146" s="8" t="s">
        <v>87</v>
      </c>
      <c r="L146" s="8" t="s">
        <v>16</v>
      </c>
      <c r="M146" s="8" t="s">
        <v>30</v>
      </c>
      <c r="N146" s="8" t="s">
        <v>0</v>
      </c>
      <c r="O146" s="8" t="s">
        <v>754</v>
      </c>
      <c r="P146" s="10" t="s">
        <v>1032</v>
      </c>
    </row>
    <row r="147" spans="1:16" x14ac:dyDescent="0.25">
      <c r="A147" s="7" t="s">
        <v>755</v>
      </c>
      <c r="B147" s="8" t="s">
        <v>750</v>
      </c>
      <c r="C147" s="8" t="s">
        <v>751</v>
      </c>
      <c r="D147" s="8" t="s">
        <v>752</v>
      </c>
      <c r="E147" s="8" t="s">
        <v>0</v>
      </c>
      <c r="F147" s="8" t="s">
        <v>756</v>
      </c>
      <c r="G147" s="8" t="s">
        <v>124</v>
      </c>
      <c r="H147" s="8">
        <v>36.450000000000003</v>
      </c>
      <c r="I147" s="8">
        <v>126.8</v>
      </c>
      <c r="J147" s="8" t="s">
        <v>299</v>
      </c>
      <c r="K147" s="8" t="s">
        <v>87</v>
      </c>
      <c r="L147" s="8" t="s">
        <v>16</v>
      </c>
      <c r="M147" s="8" t="s">
        <v>30</v>
      </c>
      <c r="N147" s="8" t="s">
        <v>0</v>
      </c>
      <c r="O147" s="8" t="s">
        <v>754</v>
      </c>
      <c r="P147" s="10" t="s">
        <v>1032</v>
      </c>
    </row>
    <row r="148" spans="1:16" x14ac:dyDescent="0.25">
      <c r="A148" s="7" t="s">
        <v>757</v>
      </c>
      <c r="B148" s="8" t="s">
        <v>750</v>
      </c>
      <c r="C148" s="8" t="s">
        <v>751</v>
      </c>
      <c r="D148" s="8" t="s">
        <v>758</v>
      </c>
      <c r="E148" s="8" t="s">
        <v>0</v>
      </c>
      <c r="F148" s="8" t="s">
        <v>759</v>
      </c>
      <c r="G148" s="8" t="s">
        <v>62</v>
      </c>
      <c r="H148" s="8">
        <v>37.549999999999997</v>
      </c>
      <c r="I148" s="8">
        <v>126.97</v>
      </c>
      <c r="J148" s="8" t="s">
        <v>299</v>
      </c>
      <c r="K148" s="8" t="s">
        <v>87</v>
      </c>
      <c r="L148" s="8" t="s">
        <v>16</v>
      </c>
      <c r="M148" s="8" t="s">
        <v>30</v>
      </c>
      <c r="N148" s="8" t="s">
        <v>0</v>
      </c>
      <c r="O148" s="8" t="s">
        <v>754</v>
      </c>
      <c r="P148" s="10" t="s">
        <v>1032</v>
      </c>
    </row>
    <row r="149" spans="1:16" x14ac:dyDescent="0.25">
      <c r="A149" s="7" t="s">
        <v>760</v>
      </c>
      <c r="B149" s="8" t="s">
        <v>750</v>
      </c>
      <c r="C149" s="8" t="s">
        <v>751</v>
      </c>
      <c r="D149" s="8" t="s">
        <v>752</v>
      </c>
      <c r="E149" s="8" t="s">
        <v>0</v>
      </c>
      <c r="F149" s="8" t="s">
        <v>761</v>
      </c>
      <c r="G149" s="8" t="s">
        <v>561</v>
      </c>
      <c r="H149" s="8">
        <v>37.520000000000003</v>
      </c>
      <c r="I149" s="8">
        <v>127.03</v>
      </c>
      <c r="J149" s="8" t="s">
        <v>299</v>
      </c>
      <c r="K149" s="8" t="s">
        <v>87</v>
      </c>
      <c r="L149" s="8" t="s">
        <v>16</v>
      </c>
      <c r="M149" s="8" t="s">
        <v>30</v>
      </c>
      <c r="N149" s="8" t="s">
        <v>0</v>
      </c>
      <c r="O149" s="8" t="s">
        <v>754</v>
      </c>
      <c r="P149" s="10" t="s">
        <v>1032</v>
      </c>
    </row>
    <row r="150" spans="1:16" x14ac:dyDescent="0.25">
      <c r="A150" s="7" t="s">
        <v>762</v>
      </c>
      <c r="B150" s="8" t="s">
        <v>750</v>
      </c>
      <c r="C150" s="8" t="s">
        <v>751</v>
      </c>
      <c r="D150" s="8" t="s">
        <v>752</v>
      </c>
      <c r="E150" s="8" t="s">
        <v>0</v>
      </c>
      <c r="F150" s="8" t="s">
        <v>763</v>
      </c>
      <c r="G150" s="8" t="s">
        <v>764</v>
      </c>
      <c r="H150" s="8">
        <v>35.270000000000003</v>
      </c>
      <c r="I150" s="8">
        <v>126.7</v>
      </c>
      <c r="J150" s="8" t="s">
        <v>299</v>
      </c>
      <c r="K150" s="8" t="s">
        <v>87</v>
      </c>
      <c r="L150" s="8" t="s">
        <v>16</v>
      </c>
      <c r="M150" s="8" t="s">
        <v>30</v>
      </c>
      <c r="N150" s="8" t="s">
        <v>0</v>
      </c>
      <c r="O150" s="8" t="s">
        <v>754</v>
      </c>
      <c r="P150" s="10" t="s">
        <v>1032</v>
      </c>
    </row>
    <row r="151" spans="1:16" x14ac:dyDescent="0.25">
      <c r="A151" s="7" t="s">
        <v>380</v>
      </c>
      <c r="B151" s="8" t="s">
        <v>381</v>
      </c>
      <c r="C151" s="8" t="s">
        <v>359</v>
      </c>
      <c r="D151" s="8" t="s">
        <v>382</v>
      </c>
      <c r="E151" s="8" t="s">
        <v>0</v>
      </c>
      <c r="F151" s="8" t="s">
        <v>0</v>
      </c>
      <c r="G151" s="8" t="s">
        <v>97</v>
      </c>
      <c r="H151" s="8">
        <v>42.8</v>
      </c>
      <c r="I151" s="8">
        <v>1.42</v>
      </c>
      <c r="J151" s="8" t="s">
        <v>299</v>
      </c>
      <c r="K151" s="8" t="s">
        <v>339</v>
      </c>
      <c r="L151" s="8" t="s">
        <v>16</v>
      </c>
      <c r="M151" s="8" t="s">
        <v>17</v>
      </c>
      <c r="N151" s="8" t="s">
        <v>383</v>
      </c>
      <c r="O151" s="8" t="s">
        <v>0</v>
      </c>
      <c r="P151" s="10" t="s">
        <v>1052</v>
      </c>
    </row>
    <row r="152" spans="1:16" x14ac:dyDescent="0.25">
      <c r="A152" s="7" t="s">
        <v>765</v>
      </c>
      <c r="B152" s="8" t="s">
        <v>766</v>
      </c>
      <c r="C152" s="8" t="s">
        <v>43</v>
      </c>
      <c r="D152" s="8" t="s">
        <v>767</v>
      </c>
      <c r="E152" s="8" t="s">
        <v>0</v>
      </c>
      <c r="F152" s="8" t="s">
        <v>0</v>
      </c>
      <c r="G152" s="8" t="s">
        <v>421</v>
      </c>
      <c r="H152" s="9">
        <v>36.049999999999997</v>
      </c>
      <c r="I152" s="9">
        <v>103.67</v>
      </c>
      <c r="J152" s="8" t="s">
        <v>299</v>
      </c>
      <c r="K152" s="8" t="s">
        <v>87</v>
      </c>
      <c r="L152" s="8" t="s">
        <v>16</v>
      </c>
      <c r="M152" s="8" t="s">
        <v>17</v>
      </c>
      <c r="N152" s="8">
        <v>353.83</v>
      </c>
      <c r="O152" s="8" t="s">
        <v>0</v>
      </c>
      <c r="P152" s="10" t="s">
        <v>1036</v>
      </c>
    </row>
    <row r="153" spans="1:16" x14ac:dyDescent="0.25">
      <c r="A153" s="7" t="s">
        <v>79</v>
      </c>
      <c r="B153" s="8" t="s">
        <v>80</v>
      </c>
      <c r="C153" s="8" t="s">
        <v>35</v>
      </c>
      <c r="D153" s="8" t="s">
        <v>36</v>
      </c>
      <c r="E153" s="8" t="s">
        <v>0</v>
      </c>
      <c r="F153" s="8" t="s">
        <v>0</v>
      </c>
      <c r="G153" s="8" t="s">
        <v>81</v>
      </c>
      <c r="H153" s="9">
        <v>36.869999999999997</v>
      </c>
      <c r="I153" s="9">
        <v>174.7</v>
      </c>
      <c r="J153" s="8" t="s">
        <v>1088</v>
      </c>
      <c r="K153" s="8" t="s">
        <v>1021</v>
      </c>
      <c r="L153" s="8" t="s">
        <v>16</v>
      </c>
      <c r="M153" s="8" t="s">
        <v>17</v>
      </c>
      <c r="N153" s="8" t="s">
        <v>1019</v>
      </c>
      <c r="O153" s="8" t="s">
        <v>0</v>
      </c>
      <c r="P153" s="10" t="s">
        <v>1052</v>
      </c>
    </row>
    <row r="154" spans="1:16" x14ac:dyDescent="0.25">
      <c r="A154" s="7" t="s">
        <v>92</v>
      </c>
      <c r="B154" s="8" t="s">
        <v>80</v>
      </c>
      <c r="C154" s="8" t="s">
        <v>35</v>
      </c>
      <c r="D154" s="8" t="s">
        <v>36</v>
      </c>
      <c r="E154" s="8" t="s">
        <v>0</v>
      </c>
      <c r="F154" s="8" t="s">
        <v>0</v>
      </c>
      <c r="G154" s="8" t="s">
        <v>93</v>
      </c>
      <c r="H154" s="9">
        <v>36.96</v>
      </c>
      <c r="I154" s="9">
        <v>174.76</v>
      </c>
      <c r="J154" s="8" t="s">
        <v>1088</v>
      </c>
      <c r="K154" s="8" t="s">
        <v>87</v>
      </c>
      <c r="L154" s="8" t="s">
        <v>16</v>
      </c>
      <c r="M154" s="8" t="s">
        <v>17</v>
      </c>
      <c r="N154" s="8" t="s">
        <v>1020</v>
      </c>
      <c r="O154" s="8" t="s">
        <v>0</v>
      </c>
      <c r="P154" s="10" t="s">
        <v>1052</v>
      </c>
    </row>
    <row r="155" spans="1:16" x14ac:dyDescent="0.25">
      <c r="A155" s="7" t="s">
        <v>139</v>
      </c>
      <c r="B155" s="8" t="s">
        <v>140</v>
      </c>
      <c r="C155" s="8" t="s">
        <v>0</v>
      </c>
      <c r="D155" s="8" t="s">
        <v>0</v>
      </c>
      <c r="E155" s="8" t="s">
        <v>141</v>
      </c>
      <c r="F155" s="8" t="s">
        <v>142</v>
      </c>
      <c r="G155" s="8" t="s">
        <v>1137</v>
      </c>
      <c r="H155" s="9">
        <v>21</v>
      </c>
      <c r="I155" s="9">
        <v>114</v>
      </c>
      <c r="J155" s="8" t="s">
        <v>1153</v>
      </c>
      <c r="K155" s="8" t="s">
        <v>0</v>
      </c>
      <c r="L155" s="8" t="s">
        <v>16</v>
      </c>
      <c r="M155" s="8" t="s">
        <v>30</v>
      </c>
      <c r="N155" s="8" t="s">
        <v>0</v>
      </c>
      <c r="O155" s="8" t="s">
        <v>143</v>
      </c>
      <c r="P155" s="10" t="s">
        <v>1136</v>
      </c>
    </row>
    <row r="156" spans="1:16" x14ac:dyDescent="0.25">
      <c r="A156" s="7" t="s">
        <v>228</v>
      </c>
      <c r="B156" s="8" t="s">
        <v>140</v>
      </c>
      <c r="C156" s="8" t="s">
        <v>0</v>
      </c>
      <c r="D156" s="8" t="s">
        <v>0</v>
      </c>
      <c r="E156" s="8" t="s">
        <v>141</v>
      </c>
      <c r="F156" s="8" t="s">
        <v>292</v>
      </c>
      <c r="G156" s="8" t="s">
        <v>1137</v>
      </c>
      <c r="H156" s="9">
        <v>20</v>
      </c>
      <c r="I156" s="9">
        <v>113</v>
      </c>
      <c r="J156" s="8" t="s">
        <v>1151</v>
      </c>
      <c r="K156" s="8" t="s">
        <v>0</v>
      </c>
      <c r="L156" s="8" t="s">
        <v>16</v>
      </c>
      <c r="M156" s="8" t="s">
        <v>30</v>
      </c>
      <c r="N156" s="8" t="s">
        <v>0</v>
      </c>
      <c r="O156" s="8" t="s">
        <v>229</v>
      </c>
      <c r="P156" s="10" t="s">
        <v>1136</v>
      </c>
    </row>
    <row r="157" spans="1:16" x14ac:dyDescent="0.25">
      <c r="A157" s="7" t="s">
        <v>230</v>
      </c>
      <c r="B157" s="8" t="s">
        <v>140</v>
      </c>
      <c r="C157" s="8" t="s">
        <v>0</v>
      </c>
      <c r="D157" s="8" t="s">
        <v>0</v>
      </c>
      <c r="E157" s="8" t="s">
        <v>1138</v>
      </c>
      <c r="F157" s="8" t="s">
        <v>0</v>
      </c>
      <c r="G157" s="8" t="s">
        <v>1137</v>
      </c>
      <c r="H157" s="9">
        <v>-10</v>
      </c>
      <c r="I157" s="9">
        <v>87</v>
      </c>
      <c r="J157" s="8" t="s">
        <v>1151</v>
      </c>
      <c r="K157" s="8" t="s">
        <v>0</v>
      </c>
      <c r="L157" s="8" t="s">
        <v>16</v>
      </c>
      <c r="M157" s="8" t="s">
        <v>30</v>
      </c>
      <c r="N157" s="8" t="s">
        <v>0</v>
      </c>
      <c r="O157" s="8" t="s">
        <v>231</v>
      </c>
      <c r="P157" s="10" t="s">
        <v>1136</v>
      </c>
    </row>
    <row r="158" spans="1:16" x14ac:dyDescent="0.25">
      <c r="A158" s="7" t="s">
        <v>768</v>
      </c>
      <c r="B158" s="8" t="s">
        <v>769</v>
      </c>
      <c r="C158" s="8" t="s">
        <v>770</v>
      </c>
      <c r="D158" s="8" t="s">
        <v>771</v>
      </c>
      <c r="E158" s="8" t="s">
        <v>0</v>
      </c>
      <c r="F158" s="8" t="s">
        <v>1054</v>
      </c>
      <c r="G158" s="8" t="s">
        <v>783</v>
      </c>
      <c r="H158" s="9">
        <v>13.75</v>
      </c>
      <c r="I158" s="9">
        <v>100.62</v>
      </c>
      <c r="J158" s="8" t="s">
        <v>299</v>
      </c>
      <c r="K158" s="8" t="s">
        <v>87</v>
      </c>
      <c r="L158" s="8" t="s">
        <v>16</v>
      </c>
      <c r="M158" s="8" t="s">
        <v>30</v>
      </c>
      <c r="N158" s="8" t="s">
        <v>0</v>
      </c>
      <c r="O158" s="8" t="s">
        <v>772</v>
      </c>
      <c r="P158" s="10" t="s">
        <v>1053</v>
      </c>
    </row>
    <row r="159" spans="1:16" x14ac:dyDescent="0.25">
      <c r="A159" s="7" t="s">
        <v>773</v>
      </c>
      <c r="B159" s="8" t="s">
        <v>769</v>
      </c>
      <c r="C159" s="8" t="s">
        <v>770</v>
      </c>
      <c r="D159" s="8" t="s">
        <v>771</v>
      </c>
      <c r="E159" s="8" t="s">
        <v>0</v>
      </c>
      <c r="F159" s="8" t="s">
        <v>1055</v>
      </c>
      <c r="G159" s="8" t="s">
        <v>783</v>
      </c>
      <c r="H159" s="9">
        <v>13.75</v>
      </c>
      <c r="I159" s="9">
        <v>100.62</v>
      </c>
      <c r="J159" s="8" t="s">
        <v>299</v>
      </c>
      <c r="K159" s="8" t="s">
        <v>87</v>
      </c>
      <c r="L159" s="8" t="s">
        <v>16</v>
      </c>
      <c r="M159" s="8" t="s">
        <v>30</v>
      </c>
      <c r="N159" s="8" t="s">
        <v>0</v>
      </c>
      <c r="O159" s="8" t="s">
        <v>774</v>
      </c>
      <c r="P159" s="10" t="s">
        <v>1053</v>
      </c>
    </row>
    <row r="160" spans="1:16" x14ac:dyDescent="0.25">
      <c r="A160" s="7" t="s">
        <v>775</v>
      </c>
      <c r="B160" s="8" t="s">
        <v>769</v>
      </c>
      <c r="C160" s="8" t="s">
        <v>770</v>
      </c>
      <c r="D160" s="8" t="s">
        <v>771</v>
      </c>
      <c r="E160" s="8" t="s">
        <v>0</v>
      </c>
      <c r="F160" s="8" t="s">
        <v>1056</v>
      </c>
      <c r="G160" s="8" t="s">
        <v>783</v>
      </c>
      <c r="H160" s="9">
        <v>13.75</v>
      </c>
      <c r="I160" s="9">
        <v>100.62</v>
      </c>
      <c r="J160" s="8" t="s">
        <v>299</v>
      </c>
      <c r="K160" s="8" t="s">
        <v>87</v>
      </c>
      <c r="L160" s="8" t="s">
        <v>16</v>
      </c>
      <c r="M160" s="8" t="s">
        <v>30</v>
      </c>
      <c r="N160" s="8" t="s">
        <v>0</v>
      </c>
      <c r="O160" s="8" t="s">
        <v>776</v>
      </c>
      <c r="P160" s="10" t="s">
        <v>1053</v>
      </c>
    </row>
    <row r="161" spans="1:16" x14ac:dyDescent="0.25">
      <c r="A161" s="7" t="s">
        <v>777</v>
      </c>
      <c r="B161" s="8" t="s">
        <v>769</v>
      </c>
      <c r="C161" s="8" t="s">
        <v>770</v>
      </c>
      <c r="D161" s="8" t="s">
        <v>771</v>
      </c>
      <c r="E161" s="8" t="s">
        <v>0</v>
      </c>
      <c r="F161" s="8" t="s">
        <v>1057</v>
      </c>
      <c r="G161" s="8" t="s">
        <v>783</v>
      </c>
      <c r="H161" s="9">
        <v>14.13</v>
      </c>
      <c r="I161" s="9">
        <v>100.67</v>
      </c>
      <c r="J161" s="8" t="s">
        <v>299</v>
      </c>
      <c r="K161" s="8" t="s">
        <v>87</v>
      </c>
      <c r="L161" s="8" t="s">
        <v>16</v>
      </c>
      <c r="M161" s="8" t="s">
        <v>30</v>
      </c>
      <c r="N161" s="8" t="s">
        <v>0</v>
      </c>
      <c r="O161" s="8" t="s">
        <v>778</v>
      </c>
      <c r="P161" s="10" t="s">
        <v>1053</v>
      </c>
    </row>
    <row r="162" spans="1:16" x14ac:dyDescent="0.25">
      <c r="A162" s="7" t="s">
        <v>779</v>
      </c>
      <c r="B162" s="8" t="s">
        <v>769</v>
      </c>
      <c r="C162" s="8" t="s">
        <v>770</v>
      </c>
      <c r="D162" s="8" t="s">
        <v>771</v>
      </c>
      <c r="E162" s="8" t="s">
        <v>0</v>
      </c>
      <c r="F162" s="8" t="s">
        <v>1058</v>
      </c>
      <c r="G162" s="8" t="s">
        <v>783</v>
      </c>
      <c r="H162" s="9">
        <v>13.55</v>
      </c>
      <c r="I162" s="9">
        <v>100.67</v>
      </c>
      <c r="J162" s="8" t="s">
        <v>299</v>
      </c>
      <c r="K162" s="8" t="s">
        <v>87</v>
      </c>
      <c r="L162" s="8" t="s">
        <v>16</v>
      </c>
      <c r="M162" s="8" t="s">
        <v>30</v>
      </c>
      <c r="N162" s="8" t="s">
        <v>0</v>
      </c>
      <c r="O162" s="8" t="s">
        <v>780</v>
      </c>
      <c r="P162" s="10" t="s">
        <v>1053</v>
      </c>
    </row>
    <row r="163" spans="1:16" x14ac:dyDescent="0.25">
      <c r="A163" s="7" t="s">
        <v>781</v>
      </c>
      <c r="B163" s="8" t="s">
        <v>782</v>
      </c>
      <c r="C163" s="8" t="s">
        <v>43</v>
      </c>
      <c r="D163" s="8" t="s">
        <v>693</v>
      </c>
      <c r="E163" s="8" t="s">
        <v>0</v>
      </c>
      <c r="F163" s="8" t="s">
        <v>0</v>
      </c>
      <c r="G163" s="8" t="s">
        <v>783</v>
      </c>
      <c r="H163" s="9">
        <v>23</v>
      </c>
      <c r="I163" s="9">
        <v>113</v>
      </c>
      <c r="J163" s="8" t="s">
        <v>299</v>
      </c>
      <c r="K163" s="8" t="s">
        <v>87</v>
      </c>
      <c r="L163" s="8" t="s">
        <v>16</v>
      </c>
      <c r="M163" s="8" t="s">
        <v>30</v>
      </c>
      <c r="N163" s="8" t="s">
        <v>0</v>
      </c>
      <c r="O163" s="8" t="s">
        <v>784</v>
      </c>
      <c r="P163" s="10" t="s">
        <v>1052</v>
      </c>
    </row>
    <row r="164" spans="1:16" x14ac:dyDescent="0.25">
      <c r="A164" s="7" t="s">
        <v>785</v>
      </c>
      <c r="B164" s="8" t="s">
        <v>782</v>
      </c>
      <c r="C164" s="8" t="s">
        <v>43</v>
      </c>
      <c r="D164" s="8" t="s">
        <v>693</v>
      </c>
      <c r="E164" s="8" t="s">
        <v>0</v>
      </c>
      <c r="F164" s="8" t="s">
        <v>0</v>
      </c>
      <c r="G164" s="8" t="s">
        <v>786</v>
      </c>
      <c r="H164" s="9">
        <v>23</v>
      </c>
      <c r="I164" s="9">
        <v>113</v>
      </c>
      <c r="J164" s="8" t="s">
        <v>299</v>
      </c>
      <c r="K164" s="8" t="s">
        <v>87</v>
      </c>
      <c r="L164" s="8" t="s">
        <v>16</v>
      </c>
      <c r="M164" s="8" t="s">
        <v>30</v>
      </c>
      <c r="N164" s="8" t="s">
        <v>0</v>
      </c>
      <c r="O164" s="8" t="s">
        <v>787</v>
      </c>
      <c r="P164" s="10" t="s">
        <v>1052</v>
      </c>
    </row>
    <row r="165" spans="1:16" x14ac:dyDescent="0.25">
      <c r="A165" s="7" t="s">
        <v>788</v>
      </c>
      <c r="B165" s="8" t="s">
        <v>782</v>
      </c>
      <c r="C165" s="8" t="s">
        <v>43</v>
      </c>
      <c r="D165" s="8" t="s">
        <v>693</v>
      </c>
      <c r="E165" s="8" t="s">
        <v>0</v>
      </c>
      <c r="F165" s="8" t="s">
        <v>0</v>
      </c>
      <c r="G165" s="8" t="s">
        <v>789</v>
      </c>
      <c r="H165" s="9">
        <v>23</v>
      </c>
      <c r="I165" s="9">
        <v>113</v>
      </c>
      <c r="J165" s="8" t="s">
        <v>299</v>
      </c>
      <c r="K165" s="8" t="s">
        <v>87</v>
      </c>
      <c r="L165" s="8" t="s">
        <v>16</v>
      </c>
      <c r="M165" s="8" t="s">
        <v>30</v>
      </c>
      <c r="N165" s="8" t="s">
        <v>0</v>
      </c>
      <c r="O165" s="8" t="s">
        <v>790</v>
      </c>
      <c r="P165" s="10" t="s">
        <v>1052</v>
      </c>
    </row>
    <row r="166" spans="1:16" ht="17.25" x14ac:dyDescent="0.25">
      <c r="A166" s="7" t="s">
        <v>791</v>
      </c>
      <c r="B166" s="8" t="s">
        <v>782</v>
      </c>
      <c r="C166" s="8" t="s">
        <v>43</v>
      </c>
      <c r="D166" s="8" t="s">
        <v>693</v>
      </c>
      <c r="E166" s="8" t="s">
        <v>0</v>
      </c>
      <c r="F166" s="8" t="s">
        <v>0</v>
      </c>
      <c r="G166" s="8" t="s">
        <v>792</v>
      </c>
      <c r="H166" s="9">
        <v>23</v>
      </c>
      <c r="I166" s="9">
        <v>113</v>
      </c>
      <c r="J166" s="8" t="s">
        <v>299</v>
      </c>
      <c r="K166" s="8" t="s">
        <v>87</v>
      </c>
      <c r="L166" s="8" t="s">
        <v>16</v>
      </c>
      <c r="M166" s="8" t="s">
        <v>30</v>
      </c>
      <c r="N166" s="8" t="s">
        <v>0</v>
      </c>
      <c r="O166" s="8" t="s">
        <v>2361</v>
      </c>
      <c r="P166" s="10" t="s">
        <v>1052</v>
      </c>
    </row>
    <row r="167" spans="1:16" x14ac:dyDescent="0.25">
      <c r="A167" s="7" t="s">
        <v>94</v>
      </c>
      <c r="B167" s="8" t="s">
        <v>95</v>
      </c>
      <c r="C167" s="8" t="s">
        <v>43</v>
      </c>
      <c r="D167" s="8" t="s">
        <v>96</v>
      </c>
      <c r="E167" s="8" t="s">
        <v>0</v>
      </c>
      <c r="F167" s="8" t="s">
        <v>60</v>
      </c>
      <c r="G167" s="8" t="s">
        <v>462</v>
      </c>
      <c r="H167" s="9">
        <v>36.21</v>
      </c>
      <c r="I167" s="9">
        <v>120.28</v>
      </c>
      <c r="J167" s="8" t="s">
        <v>1088</v>
      </c>
      <c r="K167" s="8" t="s">
        <v>87</v>
      </c>
      <c r="L167" s="8" t="s">
        <v>16</v>
      </c>
      <c r="M167" s="8" t="s">
        <v>17</v>
      </c>
      <c r="N167" s="8" t="s">
        <v>98</v>
      </c>
      <c r="O167" s="8" t="s">
        <v>0</v>
      </c>
      <c r="P167" s="10" t="s">
        <v>1161</v>
      </c>
    </row>
    <row r="168" spans="1:16" x14ac:dyDescent="0.25">
      <c r="A168" s="7" t="s">
        <v>99</v>
      </c>
      <c r="B168" s="8" t="s">
        <v>95</v>
      </c>
      <c r="C168" s="8" t="s">
        <v>43</v>
      </c>
      <c r="D168" s="8" t="s">
        <v>96</v>
      </c>
      <c r="E168" s="8" t="s">
        <v>0</v>
      </c>
      <c r="F168" s="8" t="s">
        <v>64</v>
      </c>
      <c r="G168" s="8" t="s">
        <v>1022</v>
      </c>
      <c r="H168" s="9">
        <v>36.15</v>
      </c>
      <c r="I168" s="9">
        <v>120.13</v>
      </c>
      <c r="J168" s="8" t="s">
        <v>1088</v>
      </c>
      <c r="K168" s="8" t="s">
        <v>87</v>
      </c>
      <c r="L168" s="8" t="s">
        <v>16</v>
      </c>
      <c r="M168" s="8" t="s">
        <v>17</v>
      </c>
      <c r="N168" s="8" t="s">
        <v>100</v>
      </c>
      <c r="O168" s="8" t="s">
        <v>0</v>
      </c>
      <c r="P168" s="10" t="s">
        <v>1161</v>
      </c>
    </row>
    <row r="169" spans="1:16" x14ac:dyDescent="0.25">
      <c r="A169" s="7" t="s">
        <v>101</v>
      </c>
      <c r="B169" s="8" t="s">
        <v>95</v>
      </c>
      <c r="C169" s="8" t="s">
        <v>43</v>
      </c>
      <c r="D169" s="8" t="s">
        <v>96</v>
      </c>
      <c r="E169" s="8" t="s">
        <v>0</v>
      </c>
      <c r="F169" s="8" t="s">
        <v>66</v>
      </c>
      <c r="G169" s="8" t="s">
        <v>29</v>
      </c>
      <c r="H169" s="9">
        <v>36.08</v>
      </c>
      <c r="I169" s="9">
        <v>120.31</v>
      </c>
      <c r="J169" s="8" t="s">
        <v>1088</v>
      </c>
      <c r="K169" s="8" t="s">
        <v>87</v>
      </c>
      <c r="L169" s="8" t="s">
        <v>16</v>
      </c>
      <c r="M169" s="8" t="s">
        <v>17</v>
      </c>
      <c r="N169" s="8" t="s">
        <v>102</v>
      </c>
      <c r="O169" s="8" t="s">
        <v>0</v>
      </c>
      <c r="P169" s="10" t="s">
        <v>1161</v>
      </c>
    </row>
    <row r="170" spans="1:16" x14ac:dyDescent="0.25">
      <c r="A170" s="7" t="s">
        <v>103</v>
      </c>
      <c r="B170" s="8" t="s">
        <v>95</v>
      </c>
      <c r="C170" s="8" t="s">
        <v>43</v>
      </c>
      <c r="D170" s="8" t="s">
        <v>96</v>
      </c>
      <c r="E170" s="8" t="s">
        <v>0</v>
      </c>
      <c r="F170" s="8" t="s">
        <v>104</v>
      </c>
      <c r="G170" s="8" t="s">
        <v>1023</v>
      </c>
      <c r="H170" s="9">
        <v>36.04</v>
      </c>
      <c r="I170" s="9">
        <v>120.29</v>
      </c>
      <c r="J170" s="8" t="s">
        <v>1088</v>
      </c>
      <c r="K170" s="8" t="s">
        <v>87</v>
      </c>
      <c r="L170" s="8" t="s">
        <v>16</v>
      </c>
      <c r="M170" s="8" t="s">
        <v>17</v>
      </c>
      <c r="N170" s="8" t="s">
        <v>105</v>
      </c>
      <c r="O170" s="8" t="s">
        <v>0</v>
      </c>
      <c r="P170" s="10" t="s">
        <v>1161</v>
      </c>
    </row>
    <row r="171" spans="1:16" x14ac:dyDescent="0.25">
      <c r="A171" s="7" t="s">
        <v>106</v>
      </c>
      <c r="B171" s="8" t="s">
        <v>95</v>
      </c>
      <c r="C171" s="8" t="s">
        <v>43</v>
      </c>
      <c r="D171" s="8" t="s">
        <v>96</v>
      </c>
      <c r="E171" s="8" t="s">
        <v>0</v>
      </c>
      <c r="F171" s="8" t="s">
        <v>107</v>
      </c>
      <c r="G171" s="8" t="s">
        <v>1024</v>
      </c>
      <c r="H171" s="9">
        <v>35.979999999999997</v>
      </c>
      <c r="I171" s="9">
        <v>120.24</v>
      </c>
      <c r="J171" s="8" t="s">
        <v>1088</v>
      </c>
      <c r="K171" s="8" t="s">
        <v>87</v>
      </c>
      <c r="L171" s="8" t="s">
        <v>16</v>
      </c>
      <c r="M171" s="8" t="s">
        <v>17</v>
      </c>
      <c r="N171" s="8" t="s">
        <v>108</v>
      </c>
      <c r="O171" s="8" t="s">
        <v>0</v>
      </c>
      <c r="P171" s="10" t="s">
        <v>1161</v>
      </c>
    </row>
    <row r="172" spans="1:16" ht="17.25" x14ac:dyDescent="0.25">
      <c r="A172" s="7" t="s">
        <v>793</v>
      </c>
      <c r="B172" s="8" t="s">
        <v>794</v>
      </c>
      <c r="C172" s="8" t="s">
        <v>43</v>
      </c>
      <c r="D172" s="8" t="s">
        <v>0</v>
      </c>
      <c r="E172" s="8" t="s">
        <v>141</v>
      </c>
      <c r="F172" s="8" t="s">
        <v>60</v>
      </c>
      <c r="G172" s="8" t="s">
        <v>97</v>
      </c>
      <c r="H172" s="9">
        <v>18.010000000000002</v>
      </c>
      <c r="I172" s="9">
        <v>110.49</v>
      </c>
      <c r="J172" s="8" t="s">
        <v>299</v>
      </c>
      <c r="K172" s="8" t="s">
        <v>87</v>
      </c>
      <c r="L172" s="8" t="s">
        <v>16</v>
      </c>
      <c r="M172" s="8" t="s">
        <v>30</v>
      </c>
      <c r="N172" s="8" t="s">
        <v>0</v>
      </c>
      <c r="O172" s="8" t="s">
        <v>2362</v>
      </c>
      <c r="P172" s="10" t="s">
        <v>1032</v>
      </c>
    </row>
    <row r="173" spans="1:16" ht="17.25" x14ac:dyDescent="0.25">
      <c r="A173" s="7" t="s">
        <v>795</v>
      </c>
      <c r="B173" s="8" t="s">
        <v>794</v>
      </c>
      <c r="C173" s="8" t="s">
        <v>43</v>
      </c>
      <c r="D173" s="8" t="s">
        <v>0</v>
      </c>
      <c r="E173" s="8" t="s">
        <v>141</v>
      </c>
      <c r="F173" s="8" t="s">
        <v>64</v>
      </c>
      <c r="G173" s="8" t="s">
        <v>97</v>
      </c>
      <c r="H173" s="9">
        <v>18.57</v>
      </c>
      <c r="I173" s="9">
        <v>111.03</v>
      </c>
      <c r="J173" s="8" t="s">
        <v>299</v>
      </c>
      <c r="K173" s="8" t="s">
        <v>87</v>
      </c>
      <c r="L173" s="8" t="s">
        <v>16</v>
      </c>
      <c r="M173" s="8" t="s">
        <v>30</v>
      </c>
      <c r="N173" s="8" t="s">
        <v>0</v>
      </c>
      <c r="O173" s="8" t="s">
        <v>2363</v>
      </c>
      <c r="P173" s="10" t="s">
        <v>1032</v>
      </c>
    </row>
    <row r="174" spans="1:16" x14ac:dyDescent="0.25">
      <c r="A174" s="7" t="s">
        <v>796</v>
      </c>
      <c r="B174" s="8" t="s">
        <v>794</v>
      </c>
      <c r="C174" s="8" t="s">
        <v>43</v>
      </c>
      <c r="D174" s="8" t="s">
        <v>0</v>
      </c>
      <c r="E174" s="8" t="s">
        <v>141</v>
      </c>
      <c r="F174" s="8" t="s">
        <v>66</v>
      </c>
      <c r="G174" s="8" t="s">
        <v>97</v>
      </c>
      <c r="H174" s="9">
        <v>19.2</v>
      </c>
      <c r="I174" s="9">
        <v>111.26</v>
      </c>
      <c r="J174" s="8" t="s">
        <v>299</v>
      </c>
      <c r="K174" s="8" t="s">
        <v>87</v>
      </c>
      <c r="L174" s="8" t="s">
        <v>16</v>
      </c>
      <c r="M174" s="8" t="s">
        <v>30</v>
      </c>
      <c r="N174" s="8" t="s">
        <v>0</v>
      </c>
      <c r="O174" s="8">
        <v>0</v>
      </c>
      <c r="P174" s="10" t="s">
        <v>1032</v>
      </c>
    </row>
    <row r="175" spans="1:16" ht="17.25" x14ac:dyDescent="0.25">
      <c r="A175" s="7" t="s">
        <v>797</v>
      </c>
      <c r="B175" s="8" t="s">
        <v>794</v>
      </c>
      <c r="C175" s="8" t="s">
        <v>43</v>
      </c>
      <c r="D175" s="8" t="s">
        <v>0</v>
      </c>
      <c r="E175" s="8" t="s">
        <v>141</v>
      </c>
      <c r="F175" s="8" t="s">
        <v>104</v>
      </c>
      <c r="G175" s="8" t="s">
        <v>97</v>
      </c>
      <c r="H175" s="9">
        <v>19.600000000000001</v>
      </c>
      <c r="I175" s="9">
        <v>111.53</v>
      </c>
      <c r="J175" s="8" t="s">
        <v>299</v>
      </c>
      <c r="K175" s="8" t="s">
        <v>87</v>
      </c>
      <c r="L175" s="8" t="s">
        <v>16</v>
      </c>
      <c r="M175" s="8" t="s">
        <v>30</v>
      </c>
      <c r="N175" s="8" t="s">
        <v>0</v>
      </c>
      <c r="O175" s="8" t="s">
        <v>2364</v>
      </c>
      <c r="P175" s="10" t="s">
        <v>1032</v>
      </c>
    </row>
    <row r="176" spans="1:16" x14ac:dyDescent="0.25">
      <c r="A176" s="7" t="s">
        <v>798</v>
      </c>
      <c r="B176" s="8" t="s">
        <v>794</v>
      </c>
      <c r="C176" s="8" t="s">
        <v>43</v>
      </c>
      <c r="D176" s="8" t="s">
        <v>0</v>
      </c>
      <c r="E176" s="8" t="s">
        <v>141</v>
      </c>
      <c r="F176" s="8" t="s">
        <v>107</v>
      </c>
      <c r="G176" s="8" t="s">
        <v>97</v>
      </c>
      <c r="H176" s="9">
        <v>20.13</v>
      </c>
      <c r="I176" s="9">
        <v>111.61</v>
      </c>
      <c r="J176" s="8" t="s">
        <v>299</v>
      </c>
      <c r="K176" s="8" t="s">
        <v>87</v>
      </c>
      <c r="L176" s="8" t="s">
        <v>16</v>
      </c>
      <c r="M176" s="8" t="s">
        <v>30</v>
      </c>
      <c r="N176" s="8" t="s">
        <v>0</v>
      </c>
      <c r="O176" s="8">
        <v>0</v>
      </c>
      <c r="P176" s="10" t="s">
        <v>1032</v>
      </c>
    </row>
    <row r="177" spans="1:16" x14ac:dyDescent="0.25">
      <c r="A177" s="7" t="s">
        <v>799</v>
      </c>
      <c r="B177" s="8" t="s">
        <v>794</v>
      </c>
      <c r="C177" s="8" t="s">
        <v>43</v>
      </c>
      <c r="D177" s="8" t="s">
        <v>0</v>
      </c>
      <c r="E177" s="8" t="s">
        <v>141</v>
      </c>
      <c r="F177" s="8" t="s">
        <v>170</v>
      </c>
      <c r="G177" s="8" t="s">
        <v>97</v>
      </c>
      <c r="H177" s="9">
        <v>20.9</v>
      </c>
      <c r="I177" s="9">
        <v>111.11</v>
      </c>
      <c r="J177" s="8" t="s">
        <v>299</v>
      </c>
      <c r="K177" s="8" t="s">
        <v>87</v>
      </c>
      <c r="L177" s="8" t="s">
        <v>16</v>
      </c>
      <c r="M177" s="8" t="s">
        <v>30</v>
      </c>
      <c r="N177" s="8" t="s">
        <v>0</v>
      </c>
      <c r="O177" s="8">
        <v>0</v>
      </c>
      <c r="P177" s="10" t="s">
        <v>1032</v>
      </c>
    </row>
    <row r="178" spans="1:16" x14ac:dyDescent="0.25">
      <c r="A178" s="7" t="s">
        <v>800</v>
      </c>
      <c r="B178" s="8" t="s">
        <v>794</v>
      </c>
      <c r="C178" s="8" t="s">
        <v>43</v>
      </c>
      <c r="D178" s="8" t="s">
        <v>0</v>
      </c>
      <c r="E178" s="8" t="s">
        <v>141</v>
      </c>
      <c r="F178" s="8" t="s">
        <v>172</v>
      </c>
      <c r="G178" s="8" t="s">
        <v>97</v>
      </c>
      <c r="H178" s="9">
        <v>21.03</v>
      </c>
      <c r="I178" s="9">
        <v>111.82</v>
      </c>
      <c r="J178" s="8" t="s">
        <v>299</v>
      </c>
      <c r="K178" s="8" t="s">
        <v>87</v>
      </c>
      <c r="L178" s="8" t="s">
        <v>16</v>
      </c>
      <c r="M178" s="8" t="s">
        <v>30</v>
      </c>
      <c r="N178" s="8" t="s">
        <v>0</v>
      </c>
      <c r="O178" s="8">
        <v>0</v>
      </c>
      <c r="P178" s="10" t="s">
        <v>1032</v>
      </c>
    </row>
    <row r="179" spans="1:16" x14ac:dyDescent="0.25">
      <c r="A179" s="7" t="s">
        <v>801</v>
      </c>
      <c r="B179" s="8" t="s">
        <v>794</v>
      </c>
      <c r="C179" s="8" t="s">
        <v>43</v>
      </c>
      <c r="D179" s="8" t="s">
        <v>0</v>
      </c>
      <c r="E179" s="8" t="s">
        <v>141</v>
      </c>
      <c r="F179" s="8" t="s">
        <v>174</v>
      </c>
      <c r="G179" s="8" t="s">
        <v>97</v>
      </c>
      <c r="H179" s="9">
        <v>21.14</v>
      </c>
      <c r="I179" s="9">
        <v>112.53</v>
      </c>
      <c r="J179" s="8" t="s">
        <v>299</v>
      </c>
      <c r="K179" s="8" t="s">
        <v>87</v>
      </c>
      <c r="L179" s="8" t="s">
        <v>16</v>
      </c>
      <c r="M179" s="8" t="s">
        <v>30</v>
      </c>
      <c r="N179" s="8" t="s">
        <v>0</v>
      </c>
      <c r="O179" s="8">
        <v>0</v>
      </c>
      <c r="P179" s="10" t="s">
        <v>1032</v>
      </c>
    </row>
    <row r="180" spans="1:16" x14ac:dyDescent="0.25">
      <c r="A180" s="7" t="s">
        <v>802</v>
      </c>
      <c r="B180" s="8" t="s">
        <v>794</v>
      </c>
      <c r="C180" s="8" t="s">
        <v>43</v>
      </c>
      <c r="D180" s="8" t="s">
        <v>0</v>
      </c>
      <c r="E180" s="8" t="s">
        <v>141</v>
      </c>
      <c r="F180" s="8" t="s">
        <v>176</v>
      </c>
      <c r="G180" s="8" t="s">
        <v>97</v>
      </c>
      <c r="H180" s="9">
        <v>21.34</v>
      </c>
      <c r="I180" s="9">
        <v>113.18</v>
      </c>
      <c r="J180" s="8" t="s">
        <v>299</v>
      </c>
      <c r="K180" s="8" t="s">
        <v>87</v>
      </c>
      <c r="L180" s="8" t="s">
        <v>16</v>
      </c>
      <c r="M180" s="8" t="s">
        <v>30</v>
      </c>
      <c r="N180" s="8" t="s">
        <v>0</v>
      </c>
      <c r="O180" s="8">
        <v>0</v>
      </c>
      <c r="P180" s="10" t="s">
        <v>1032</v>
      </c>
    </row>
    <row r="181" spans="1:16" ht="17.25" x14ac:dyDescent="0.25">
      <c r="A181" s="7" t="s">
        <v>803</v>
      </c>
      <c r="B181" s="8" t="s">
        <v>794</v>
      </c>
      <c r="C181" s="8" t="s">
        <v>43</v>
      </c>
      <c r="D181" s="8" t="s">
        <v>0</v>
      </c>
      <c r="E181" s="8" t="s">
        <v>141</v>
      </c>
      <c r="F181" s="8" t="s">
        <v>178</v>
      </c>
      <c r="G181" s="8" t="s">
        <v>97</v>
      </c>
      <c r="H181" s="9">
        <v>20.48</v>
      </c>
      <c r="I181" s="9">
        <v>113.75</v>
      </c>
      <c r="J181" s="8" t="s">
        <v>299</v>
      </c>
      <c r="K181" s="8" t="s">
        <v>87</v>
      </c>
      <c r="L181" s="8" t="s">
        <v>16</v>
      </c>
      <c r="M181" s="8" t="s">
        <v>30</v>
      </c>
      <c r="N181" s="8" t="s">
        <v>0</v>
      </c>
      <c r="O181" s="8" t="s">
        <v>2365</v>
      </c>
      <c r="P181" s="10" t="s">
        <v>1032</v>
      </c>
    </row>
    <row r="182" spans="1:16" ht="17.25" x14ac:dyDescent="0.25">
      <c r="A182" s="7" t="s">
        <v>804</v>
      </c>
      <c r="B182" s="8" t="s">
        <v>794</v>
      </c>
      <c r="C182" s="8" t="s">
        <v>43</v>
      </c>
      <c r="D182" s="8" t="s">
        <v>0</v>
      </c>
      <c r="E182" s="8" t="s">
        <v>141</v>
      </c>
      <c r="F182" s="8" t="s">
        <v>180</v>
      </c>
      <c r="G182" s="8" t="s">
        <v>97</v>
      </c>
      <c r="H182" s="9">
        <v>21.55</v>
      </c>
      <c r="I182" s="9">
        <v>113.86</v>
      </c>
      <c r="J182" s="8" t="s">
        <v>299</v>
      </c>
      <c r="K182" s="8" t="s">
        <v>87</v>
      </c>
      <c r="L182" s="8" t="s">
        <v>16</v>
      </c>
      <c r="M182" s="8" t="s">
        <v>30</v>
      </c>
      <c r="N182" s="8" t="s">
        <v>0</v>
      </c>
      <c r="O182" s="8" t="s">
        <v>2366</v>
      </c>
      <c r="P182" s="10" t="s">
        <v>1032</v>
      </c>
    </row>
    <row r="183" spans="1:16" ht="17.25" x14ac:dyDescent="0.25">
      <c r="A183" s="7" t="s">
        <v>805</v>
      </c>
      <c r="B183" s="8" t="s">
        <v>794</v>
      </c>
      <c r="C183" s="8" t="s">
        <v>43</v>
      </c>
      <c r="D183" s="8" t="s">
        <v>0</v>
      </c>
      <c r="E183" s="8" t="s">
        <v>141</v>
      </c>
      <c r="F183" s="8" t="s">
        <v>182</v>
      </c>
      <c r="G183" s="8" t="s">
        <v>97</v>
      </c>
      <c r="H183" s="9">
        <v>20.78</v>
      </c>
      <c r="I183" s="9">
        <v>114.4</v>
      </c>
      <c r="J183" s="8" t="s">
        <v>299</v>
      </c>
      <c r="K183" s="8" t="s">
        <v>87</v>
      </c>
      <c r="L183" s="8" t="s">
        <v>16</v>
      </c>
      <c r="M183" s="8" t="s">
        <v>30</v>
      </c>
      <c r="N183" s="8" t="s">
        <v>0</v>
      </c>
      <c r="O183" s="8" t="s">
        <v>2367</v>
      </c>
      <c r="P183" s="10" t="s">
        <v>1032</v>
      </c>
    </row>
    <row r="184" spans="1:16" ht="17.25" x14ac:dyDescent="0.25">
      <c r="A184" s="7" t="s">
        <v>806</v>
      </c>
      <c r="B184" s="8" t="s">
        <v>794</v>
      </c>
      <c r="C184" s="8" t="s">
        <v>43</v>
      </c>
      <c r="D184" s="8" t="s">
        <v>0</v>
      </c>
      <c r="E184" s="8" t="s">
        <v>141</v>
      </c>
      <c r="F184" s="8" t="s">
        <v>184</v>
      </c>
      <c r="G184" s="8" t="s">
        <v>97</v>
      </c>
      <c r="H184" s="9">
        <v>21.74</v>
      </c>
      <c r="I184" s="9">
        <v>114.53</v>
      </c>
      <c r="J184" s="8" t="s">
        <v>299</v>
      </c>
      <c r="K184" s="8" t="s">
        <v>87</v>
      </c>
      <c r="L184" s="8" t="s">
        <v>16</v>
      </c>
      <c r="M184" s="8" t="s">
        <v>30</v>
      </c>
      <c r="N184" s="8" t="s">
        <v>0</v>
      </c>
      <c r="O184" s="8" t="s">
        <v>2368</v>
      </c>
      <c r="P184" s="10" t="s">
        <v>1032</v>
      </c>
    </row>
    <row r="185" spans="1:16" ht="17.25" x14ac:dyDescent="0.25">
      <c r="A185" s="7" t="s">
        <v>807</v>
      </c>
      <c r="B185" s="8" t="s">
        <v>794</v>
      </c>
      <c r="C185" s="8" t="s">
        <v>43</v>
      </c>
      <c r="D185" s="8" t="s">
        <v>0</v>
      </c>
      <c r="E185" s="8" t="s">
        <v>141</v>
      </c>
      <c r="F185" s="8" t="s">
        <v>186</v>
      </c>
      <c r="G185" s="8" t="s">
        <v>97</v>
      </c>
      <c r="H185" s="9">
        <v>21.16</v>
      </c>
      <c r="I185" s="9">
        <v>115.06</v>
      </c>
      <c r="J185" s="8" t="s">
        <v>299</v>
      </c>
      <c r="K185" s="8" t="s">
        <v>87</v>
      </c>
      <c r="L185" s="8" t="s">
        <v>16</v>
      </c>
      <c r="M185" s="8" t="s">
        <v>30</v>
      </c>
      <c r="N185" s="8" t="s">
        <v>0</v>
      </c>
      <c r="O185" s="8" t="s">
        <v>2369</v>
      </c>
      <c r="P185" s="10" t="s">
        <v>1032</v>
      </c>
    </row>
    <row r="186" spans="1:16" ht="17.25" x14ac:dyDescent="0.25">
      <c r="A186" s="7" t="s">
        <v>808</v>
      </c>
      <c r="B186" s="8" t="s">
        <v>794</v>
      </c>
      <c r="C186" s="8" t="s">
        <v>43</v>
      </c>
      <c r="D186" s="8" t="s">
        <v>0</v>
      </c>
      <c r="E186" s="8" t="s">
        <v>141</v>
      </c>
      <c r="F186" s="8" t="s">
        <v>188</v>
      </c>
      <c r="G186" s="8" t="s">
        <v>97</v>
      </c>
      <c r="H186" s="9">
        <v>22.01</v>
      </c>
      <c r="I186" s="9">
        <v>115.19</v>
      </c>
      <c r="J186" s="8" t="s">
        <v>299</v>
      </c>
      <c r="K186" s="8" t="s">
        <v>87</v>
      </c>
      <c r="L186" s="8" t="s">
        <v>16</v>
      </c>
      <c r="M186" s="8" t="s">
        <v>30</v>
      </c>
      <c r="N186" s="8" t="s">
        <v>0</v>
      </c>
      <c r="O186" s="8" t="s">
        <v>2370</v>
      </c>
      <c r="P186" s="10" t="s">
        <v>1032</v>
      </c>
    </row>
    <row r="187" spans="1:16" ht="17.25" x14ac:dyDescent="0.25">
      <c r="A187" s="7" t="s">
        <v>809</v>
      </c>
      <c r="B187" s="8" t="s">
        <v>794</v>
      </c>
      <c r="C187" s="8" t="s">
        <v>43</v>
      </c>
      <c r="D187" s="8" t="s">
        <v>0</v>
      </c>
      <c r="E187" s="8" t="s">
        <v>141</v>
      </c>
      <c r="F187" s="8" t="s">
        <v>190</v>
      </c>
      <c r="G187" s="8" t="s">
        <v>97</v>
      </c>
      <c r="H187" s="9">
        <v>22.13</v>
      </c>
      <c r="I187" s="9">
        <v>115.9</v>
      </c>
      <c r="J187" s="8" t="s">
        <v>299</v>
      </c>
      <c r="K187" s="8" t="s">
        <v>87</v>
      </c>
      <c r="L187" s="8" t="s">
        <v>16</v>
      </c>
      <c r="M187" s="8" t="s">
        <v>30</v>
      </c>
      <c r="N187" s="8" t="s">
        <v>0</v>
      </c>
      <c r="O187" s="8" t="s">
        <v>2371</v>
      </c>
      <c r="P187" s="10" t="s">
        <v>1032</v>
      </c>
    </row>
    <row r="188" spans="1:16" x14ac:dyDescent="0.25">
      <c r="A188" s="7" t="s">
        <v>810</v>
      </c>
      <c r="B188" s="8" t="s">
        <v>794</v>
      </c>
      <c r="C188" s="8" t="s">
        <v>43</v>
      </c>
      <c r="D188" s="8" t="s">
        <v>0</v>
      </c>
      <c r="E188" s="8" t="s">
        <v>141</v>
      </c>
      <c r="F188" s="8" t="s">
        <v>192</v>
      </c>
      <c r="G188" s="8" t="s">
        <v>97</v>
      </c>
      <c r="H188" s="9">
        <v>22.39</v>
      </c>
      <c r="I188" s="9">
        <v>116.55</v>
      </c>
      <c r="J188" s="8" t="s">
        <v>299</v>
      </c>
      <c r="K188" s="8" t="s">
        <v>87</v>
      </c>
      <c r="L188" s="8" t="s">
        <v>16</v>
      </c>
      <c r="M188" s="8" t="s">
        <v>30</v>
      </c>
      <c r="N188" s="8" t="s">
        <v>0</v>
      </c>
      <c r="O188" s="8">
        <v>0</v>
      </c>
      <c r="P188" s="10" t="s">
        <v>1032</v>
      </c>
    </row>
    <row r="189" spans="1:16" x14ac:dyDescent="0.25">
      <c r="A189" s="7" t="s">
        <v>811</v>
      </c>
      <c r="B189" s="8" t="s">
        <v>794</v>
      </c>
      <c r="C189" s="8" t="s">
        <v>43</v>
      </c>
      <c r="D189" s="8" t="s">
        <v>0</v>
      </c>
      <c r="E189" s="8" t="s">
        <v>141</v>
      </c>
      <c r="F189" s="8" t="s">
        <v>194</v>
      </c>
      <c r="G189" s="8" t="s">
        <v>97</v>
      </c>
      <c r="H189" s="9">
        <v>22.69</v>
      </c>
      <c r="I189" s="9">
        <v>117.2</v>
      </c>
      <c r="J189" s="8" t="s">
        <v>299</v>
      </c>
      <c r="K189" s="8" t="s">
        <v>87</v>
      </c>
      <c r="L189" s="8" t="s">
        <v>16</v>
      </c>
      <c r="M189" s="8" t="s">
        <v>30</v>
      </c>
      <c r="N189" s="8" t="s">
        <v>0</v>
      </c>
      <c r="O189" s="8">
        <v>0</v>
      </c>
      <c r="P189" s="10" t="s">
        <v>1032</v>
      </c>
    </row>
    <row r="190" spans="1:16" x14ac:dyDescent="0.25">
      <c r="A190" s="7" t="s">
        <v>812</v>
      </c>
      <c r="B190" s="8" t="s">
        <v>794</v>
      </c>
      <c r="C190" s="8" t="s">
        <v>43</v>
      </c>
      <c r="D190" s="8" t="s">
        <v>0</v>
      </c>
      <c r="E190" s="8" t="s">
        <v>141</v>
      </c>
      <c r="F190" s="8" t="s">
        <v>723</v>
      </c>
      <c r="G190" s="8" t="s">
        <v>97</v>
      </c>
      <c r="H190" s="9">
        <v>19.260000000000002</v>
      </c>
      <c r="I190" s="9">
        <v>110.63</v>
      </c>
      <c r="J190" s="8" t="s">
        <v>299</v>
      </c>
      <c r="K190" s="8" t="s">
        <v>87</v>
      </c>
      <c r="L190" s="8" t="s">
        <v>16</v>
      </c>
      <c r="M190" s="8" t="s">
        <v>30</v>
      </c>
      <c r="N190" s="8" t="s">
        <v>0</v>
      </c>
      <c r="O190" s="8">
        <v>0</v>
      </c>
      <c r="P190" s="10" t="s">
        <v>1032</v>
      </c>
    </row>
    <row r="191" spans="1:16" x14ac:dyDescent="0.25">
      <c r="A191" s="7" t="s">
        <v>813</v>
      </c>
      <c r="B191" s="8" t="s">
        <v>794</v>
      </c>
      <c r="C191" s="8" t="s">
        <v>43</v>
      </c>
      <c r="D191" s="8" t="s">
        <v>0</v>
      </c>
      <c r="E191" s="8" t="s">
        <v>141</v>
      </c>
      <c r="F191" s="8" t="s">
        <v>726</v>
      </c>
      <c r="G191" s="8" t="s">
        <v>97</v>
      </c>
      <c r="H191" s="9">
        <v>19.489999999999998</v>
      </c>
      <c r="I191" s="9">
        <v>110.78</v>
      </c>
      <c r="J191" s="8" t="s">
        <v>299</v>
      </c>
      <c r="K191" s="8" t="s">
        <v>87</v>
      </c>
      <c r="L191" s="8" t="s">
        <v>16</v>
      </c>
      <c r="M191" s="8" t="s">
        <v>30</v>
      </c>
      <c r="N191" s="8" t="s">
        <v>0</v>
      </c>
      <c r="O191" s="8">
        <v>0.1</v>
      </c>
      <c r="P191" s="10" t="s">
        <v>1032</v>
      </c>
    </row>
    <row r="192" spans="1:16" ht="17.25" x14ac:dyDescent="0.25">
      <c r="A192" s="7" t="s">
        <v>814</v>
      </c>
      <c r="B192" s="8" t="s">
        <v>794</v>
      </c>
      <c r="C192" s="8" t="s">
        <v>43</v>
      </c>
      <c r="D192" s="8" t="s">
        <v>0</v>
      </c>
      <c r="E192" s="8" t="s">
        <v>141</v>
      </c>
      <c r="F192" s="8" t="s">
        <v>728</v>
      </c>
      <c r="G192" s="8" t="s">
        <v>97</v>
      </c>
      <c r="H192" s="9">
        <v>21.46</v>
      </c>
      <c r="I192" s="9">
        <v>111.51</v>
      </c>
      <c r="J192" s="8" t="s">
        <v>299</v>
      </c>
      <c r="K192" s="8" t="s">
        <v>87</v>
      </c>
      <c r="L192" s="8" t="s">
        <v>16</v>
      </c>
      <c r="M192" s="8" t="s">
        <v>30</v>
      </c>
      <c r="N192" s="8" t="s">
        <v>0</v>
      </c>
      <c r="O192" s="8" t="s">
        <v>2372</v>
      </c>
      <c r="P192" s="10" t="s">
        <v>1032</v>
      </c>
    </row>
    <row r="193" spans="1:16" x14ac:dyDescent="0.25">
      <c r="A193" s="7" t="s">
        <v>815</v>
      </c>
      <c r="B193" s="8" t="s">
        <v>794</v>
      </c>
      <c r="C193" s="8" t="s">
        <v>43</v>
      </c>
      <c r="D193" s="8" t="s">
        <v>0</v>
      </c>
      <c r="E193" s="8" t="s">
        <v>141</v>
      </c>
      <c r="F193" s="8" t="s">
        <v>730</v>
      </c>
      <c r="G193" s="8" t="s">
        <v>97</v>
      </c>
      <c r="H193" s="9">
        <v>22.03</v>
      </c>
      <c r="I193" s="9">
        <v>113.09</v>
      </c>
      <c r="J193" s="8" t="s">
        <v>299</v>
      </c>
      <c r="K193" s="8" t="s">
        <v>87</v>
      </c>
      <c r="L193" s="8" t="s">
        <v>16</v>
      </c>
      <c r="M193" s="8" t="s">
        <v>30</v>
      </c>
      <c r="N193" s="8" t="s">
        <v>0</v>
      </c>
      <c r="O193" s="8">
        <v>0</v>
      </c>
      <c r="P193" s="10" t="s">
        <v>1032</v>
      </c>
    </row>
    <row r="194" spans="1:16" ht="17.25" x14ac:dyDescent="0.25">
      <c r="A194" s="7" t="s">
        <v>816</v>
      </c>
      <c r="B194" s="8" t="s">
        <v>794</v>
      </c>
      <c r="C194" s="8" t="s">
        <v>43</v>
      </c>
      <c r="D194" s="8" t="s">
        <v>0</v>
      </c>
      <c r="E194" s="8" t="s">
        <v>141</v>
      </c>
      <c r="F194" s="8" t="s">
        <v>732</v>
      </c>
      <c r="G194" s="8" t="s">
        <v>97</v>
      </c>
      <c r="H194" s="9">
        <v>22.58</v>
      </c>
      <c r="I194" s="9">
        <v>114.87</v>
      </c>
      <c r="J194" s="8" t="s">
        <v>299</v>
      </c>
      <c r="K194" s="8" t="s">
        <v>87</v>
      </c>
      <c r="L194" s="8" t="s">
        <v>16</v>
      </c>
      <c r="M194" s="8" t="s">
        <v>30</v>
      </c>
      <c r="N194" s="8" t="s">
        <v>0</v>
      </c>
      <c r="O194" s="8" t="s">
        <v>2373</v>
      </c>
      <c r="P194" s="10" t="s">
        <v>1032</v>
      </c>
    </row>
    <row r="195" spans="1:16" x14ac:dyDescent="0.25">
      <c r="A195" s="7" t="s">
        <v>817</v>
      </c>
      <c r="B195" s="8" t="s">
        <v>818</v>
      </c>
      <c r="C195" s="8" t="s">
        <v>471</v>
      </c>
      <c r="D195" s="8" t="s">
        <v>819</v>
      </c>
      <c r="E195" s="8" t="s">
        <v>0</v>
      </c>
      <c r="F195" s="8" t="s">
        <v>0</v>
      </c>
      <c r="G195" s="8" t="s">
        <v>361</v>
      </c>
      <c r="H195" s="9">
        <v>40.729999999999997</v>
      </c>
      <c r="I195" s="9">
        <v>-74.17</v>
      </c>
      <c r="J195" s="8" t="s">
        <v>299</v>
      </c>
      <c r="K195" s="8" t="s">
        <v>87</v>
      </c>
      <c r="L195" s="8" t="s">
        <v>16</v>
      </c>
      <c r="M195" s="8" t="s">
        <v>17</v>
      </c>
      <c r="N195" s="8" t="s">
        <v>820</v>
      </c>
      <c r="O195" s="8" t="s">
        <v>0</v>
      </c>
      <c r="P195" s="10" t="s">
        <v>1043</v>
      </c>
    </row>
    <row r="196" spans="1:16" x14ac:dyDescent="0.25">
      <c r="A196" s="7" t="s">
        <v>109</v>
      </c>
      <c r="B196" s="8" t="s">
        <v>110</v>
      </c>
      <c r="C196" s="8" t="s">
        <v>111</v>
      </c>
      <c r="D196" s="8" t="s">
        <v>112</v>
      </c>
      <c r="E196" s="8" t="s">
        <v>0</v>
      </c>
      <c r="F196" s="8" t="s">
        <v>0</v>
      </c>
      <c r="G196" s="8" t="s">
        <v>78</v>
      </c>
      <c r="H196" s="9">
        <v>54.5</v>
      </c>
      <c r="I196" s="9">
        <v>18.53</v>
      </c>
      <c r="J196" s="8" t="s">
        <v>1088</v>
      </c>
      <c r="K196" s="8" t="s">
        <v>87</v>
      </c>
      <c r="L196" s="8" t="s">
        <v>16</v>
      </c>
      <c r="M196" s="8" t="s">
        <v>17</v>
      </c>
      <c r="N196" s="8" t="s">
        <v>113</v>
      </c>
      <c r="O196" s="8" t="s">
        <v>0</v>
      </c>
      <c r="P196" s="10" t="s">
        <v>1043</v>
      </c>
    </row>
    <row r="197" spans="1:16" x14ac:dyDescent="0.25">
      <c r="A197" s="7" t="s">
        <v>121</v>
      </c>
      <c r="B197" s="8" t="s">
        <v>122</v>
      </c>
      <c r="C197" s="8" t="s">
        <v>43</v>
      </c>
      <c r="D197" s="8" t="s">
        <v>123</v>
      </c>
      <c r="E197" s="8" t="s">
        <v>0</v>
      </c>
      <c r="F197" s="8" t="s">
        <v>0</v>
      </c>
      <c r="G197" s="8" t="s">
        <v>124</v>
      </c>
      <c r="H197" s="9">
        <v>40.950000000000003</v>
      </c>
      <c r="I197" s="9">
        <v>108.96</v>
      </c>
      <c r="J197" s="8" t="s">
        <v>125</v>
      </c>
      <c r="K197" s="8" t="s">
        <v>126</v>
      </c>
      <c r="L197" s="8" t="s">
        <v>16</v>
      </c>
      <c r="M197" s="8" t="s">
        <v>17</v>
      </c>
      <c r="N197" s="8" t="s">
        <v>127</v>
      </c>
      <c r="O197" s="8" t="s">
        <v>0</v>
      </c>
      <c r="P197" s="10" t="s">
        <v>1031</v>
      </c>
    </row>
    <row r="198" spans="1:16" x14ac:dyDescent="0.25">
      <c r="A198" s="7" t="s">
        <v>129</v>
      </c>
      <c r="B198" s="8" t="s">
        <v>122</v>
      </c>
      <c r="C198" s="8" t="s">
        <v>43</v>
      </c>
      <c r="D198" s="8" t="s">
        <v>123</v>
      </c>
      <c r="E198" s="8" t="s">
        <v>0</v>
      </c>
      <c r="F198" s="8" t="s">
        <v>0</v>
      </c>
      <c r="G198" s="8" t="s">
        <v>124</v>
      </c>
      <c r="H198" s="9">
        <v>41.12</v>
      </c>
      <c r="I198" s="9">
        <v>108.89</v>
      </c>
      <c r="J198" s="8" t="s">
        <v>125</v>
      </c>
      <c r="K198" s="8" t="s">
        <v>1059</v>
      </c>
      <c r="L198" s="8" t="s">
        <v>16</v>
      </c>
      <c r="M198" s="8" t="s">
        <v>17</v>
      </c>
      <c r="N198" s="8" t="s">
        <v>130</v>
      </c>
      <c r="O198" s="8" t="s">
        <v>0</v>
      </c>
      <c r="P198" s="10" t="s">
        <v>1031</v>
      </c>
    </row>
    <row r="199" spans="1:16" x14ac:dyDescent="0.25">
      <c r="A199" s="7" t="s">
        <v>131</v>
      </c>
      <c r="B199" s="8" t="s">
        <v>122</v>
      </c>
      <c r="C199" s="8" t="s">
        <v>43</v>
      </c>
      <c r="D199" s="8" t="s">
        <v>123</v>
      </c>
      <c r="E199" s="8" t="s">
        <v>0</v>
      </c>
      <c r="F199" s="8" t="s">
        <v>0</v>
      </c>
      <c r="G199" s="8" t="s">
        <v>124</v>
      </c>
      <c r="H199" s="9">
        <v>41.01</v>
      </c>
      <c r="I199" s="9">
        <v>108.85</v>
      </c>
      <c r="J199" s="8" t="s">
        <v>125</v>
      </c>
      <c r="K199" s="8" t="s">
        <v>1059</v>
      </c>
      <c r="L199" s="8" t="s">
        <v>16</v>
      </c>
      <c r="M199" s="8" t="s">
        <v>17</v>
      </c>
      <c r="N199" s="8" t="s">
        <v>132</v>
      </c>
      <c r="O199" s="8" t="s">
        <v>0</v>
      </c>
      <c r="P199" s="10" t="s">
        <v>1031</v>
      </c>
    </row>
    <row r="200" spans="1:16" x14ac:dyDescent="0.25">
      <c r="A200" s="7" t="s">
        <v>133</v>
      </c>
      <c r="B200" s="8" t="s">
        <v>122</v>
      </c>
      <c r="C200" s="8" t="s">
        <v>43</v>
      </c>
      <c r="D200" s="8" t="s">
        <v>123</v>
      </c>
      <c r="E200" s="8" t="s">
        <v>0</v>
      </c>
      <c r="F200" s="8" t="s">
        <v>0</v>
      </c>
      <c r="G200" s="8" t="s">
        <v>124</v>
      </c>
      <c r="H200" s="9">
        <v>40.97</v>
      </c>
      <c r="I200" s="9">
        <v>108.92</v>
      </c>
      <c r="J200" s="8" t="s">
        <v>125</v>
      </c>
      <c r="K200" s="8" t="s">
        <v>1059</v>
      </c>
      <c r="L200" s="8" t="s">
        <v>16</v>
      </c>
      <c r="M200" s="8" t="s">
        <v>17</v>
      </c>
      <c r="N200" s="8" t="s">
        <v>134</v>
      </c>
      <c r="O200" s="8" t="s">
        <v>0</v>
      </c>
      <c r="P200" s="10" t="s">
        <v>1031</v>
      </c>
    </row>
    <row r="201" spans="1:16" x14ac:dyDescent="0.25">
      <c r="A201" s="7" t="s">
        <v>135</v>
      </c>
      <c r="B201" s="8" t="s">
        <v>122</v>
      </c>
      <c r="C201" s="8" t="s">
        <v>43</v>
      </c>
      <c r="D201" s="8" t="s">
        <v>123</v>
      </c>
      <c r="E201" s="8" t="s">
        <v>0</v>
      </c>
      <c r="F201" s="8" t="s">
        <v>0</v>
      </c>
      <c r="G201" s="8" t="s">
        <v>124</v>
      </c>
      <c r="H201" s="9">
        <v>40.770000000000003</v>
      </c>
      <c r="I201" s="9">
        <v>108.71</v>
      </c>
      <c r="J201" s="8" t="s">
        <v>125</v>
      </c>
      <c r="K201" s="8" t="s">
        <v>1059</v>
      </c>
      <c r="L201" s="8" t="s">
        <v>16</v>
      </c>
      <c r="M201" s="8" t="s">
        <v>17</v>
      </c>
      <c r="N201" s="8" t="s">
        <v>136</v>
      </c>
      <c r="O201" s="8" t="s">
        <v>0</v>
      </c>
      <c r="P201" s="10" t="s">
        <v>1031</v>
      </c>
    </row>
    <row r="202" spans="1:16" x14ac:dyDescent="0.25">
      <c r="A202" s="7" t="s">
        <v>137</v>
      </c>
      <c r="B202" s="8" t="s">
        <v>122</v>
      </c>
      <c r="C202" s="8" t="s">
        <v>43</v>
      </c>
      <c r="D202" s="8" t="s">
        <v>123</v>
      </c>
      <c r="E202" s="8" t="s">
        <v>0</v>
      </c>
      <c r="F202" s="8" t="s">
        <v>0</v>
      </c>
      <c r="G202" s="8" t="s">
        <v>124</v>
      </c>
      <c r="H202" s="9">
        <v>40.81</v>
      </c>
      <c r="I202" s="9">
        <v>108.77</v>
      </c>
      <c r="J202" s="8" t="s">
        <v>125</v>
      </c>
      <c r="K202" s="8" t="s">
        <v>1059</v>
      </c>
      <c r="L202" s="8" t="s">
        <v>16</v>
      </c>
      <c r="M202" s="8" t="s">
        <v>17</v>
      </c>
      <c r="N202" s="8" t="s">
        <v>138</v>
      </c>
      <c r="O202" s="8" t="s">
        <v>0</v>
      </c>
      <c r="P202" s="10" t="s">
        <v>1031</v>
      </c>
    </row>
    <row r="203" spans="1:16" x14ac:dyDescent="0.25">
      <c r="A203" s="7" t="s">
        <v>821</v>
      </c>
      <c r="B203" s="8" t="s">
        <v>822</v>
      </c>
      <c r="C203" s="8" t="s">
        <v>683</v>
      </c>
      <c r="D203" s="8" t="s">
        <v>823</v>
      </c>
      <c r="E203" s="8" t="s">
        <v>0</v>
      </c>
      <c r="F203" s="8" t="s">
        <v>0</v>
      </c>
      <c r="G203" s="8" t="s">
        <v>421</v>
      </c>
      <c r="H203" s="8">
        <v>53.74</v>
      </c>
      <c r="I203" s="8">
        <v>-0.35</v>
      </c>
      <c r="J203" s="8" t="s">
        <v>310</v>
      </c>
      <c r="K203" s="8" t="s">
        <v>87</v>
      </c>
      <c r="L203" s="8" t="s">
        <v>16</v>
      </c>
      <c r="M203" s="8" t="s">
        <v>30</v>
      </c>
      <c r="N203" s="8" t="s">
        <v>824</v>
      </c>
      <c r="O203" s="8" t="s">
        <v>0</v>
      </c>
      <c r="P203" s="10" t="s">
        <v>1039</v>
      </c>
    </row>
    <row r="204" spans="1:16" x14ac:dyDescent="0.25">
      <c r="A204" s="7" t="s">
        <v>825</v>
      </c>
      <c r="B204" s="8" t="s">
        <v>826</v>
      </c>
      <c r="C204" s="8" t="s">
        <v>827</v>
      </c>
      <c r="D204" s="8" t="s">
        <v>828</v>
      </c>
      <c r="E204" s="8" t="s">
        <v>0</v>
      </c>
      <c r="F204" s="8" t="s">
        <v>829</v>
      </c>
      <c r="G204" s="8" t="s">
        <v>29</v>
      </c>
      <c r="H204" s="9">
        <v>27.24</v>
      </c>
      <c r="I204" s="9">
        <v>152.72999999999999</v>
      </c>
      <c r="J204" s="8" t="s">
        <v>310</v>
      </c>
      <c r="K204" s="8" t="s">
        <v>87</v>
      </c>
      <c r="L204" s="8" t="s">
        <v>16</v>
      </c>
      <c r="M204" s="8" t="s">
        <v>30</v>
      </c>
      <c r="N204" s="8" t="s">
        <v>0</v>
      </c>
      <c r="O204" s="8" t="s">
        <v>830</v>
      </c>
      <c r="P204" s="10" t="s">
        <v>19</v>
      </c>
    </row>
    <row r="205" spans="1:16" x14ac:dyDescent="0.25">
      <c r="A205" s="7" t="s">
        <v>831</v>
      </c>
      <c r="B205" s="8" t="s">
        <v>832</v>
      </c>
      <c r="C205" s="8" t="s">
        <v>43</v>
      </c>
      <c r="D205" s="8" t="s">
        <v>833</v>
      </c>
      <c r="E205" s="8" t="s">
        <v>0</v>
      </c>
      <c r="F205" s="8" t="s">
        <v>0</v>
      </c>
      <c r="G205" s="8" t="s">
        <v>124</v>
      </c>
      <c r="H205" s="9">
        <v>33.99</v>
      </c>
      <c r="I205" s="9">
        <v>119.84</v>
      </c>
      <c r="J205" s="8" t="s">
        <v>1088</v>
      </c>
      <c r="K205" s="8" t="s">
        <v>87</v>
      </c>
      <c r="L205" s="8" t="s">
        <v>16</v>
      </c>
      <c r="M205" s="8" t="s">
        <v>30</v>
      </c>
      <c r="N205" s="8" t="s">
        <v>0</v>
      </c>
      <c r="O205" s="8">
        <v>23.8</v>
      </c>
      <c r="P205" s="10" t="s">
        <v>1060</v>
      </c>
    </row>
    <row r="206" spans="1:16" x14ac:dyDescent="0.25">
      <c r="A206" s="7" t="s">
        <v>834</v>
      </c>
      <c r="B206" s="8" t="s">
        <v>835</v>
      </c>
      <c r="C206" s="8" t="s">
        <v>836</v>
      </c>
      <c r="D206" s="8" t="s">
        <v>837</v>
      </c>
      <c r="E206" s="8" t="s">
        <v>0</v>
      </c>
      <c r="F206" s="8" t="s">
        <v>0</v>
      </c>
      <c r="G206" s="8" t="s">
        <v>401</v>
      </c>
      <c r="H206" s="9">
        <v>42.65</v>
      </c>
      <c r="I206" s="9">
        <v>21.17</v>
      </c>
      <c r="J206" s="8" t="s">
        <v>299</v>
      </c>
      <c r="K206" s="8" t="s">
        <v>87</v>
      </c>
      <c r="L206" s="8" t="s">
        <v>16</v>
      </c>
      <c r="M206" s="8" t="s">
        <v>17</v>
      </c>
      <c r="N206" s="8" t="s">
        <v>838</v>
      </c>
      <c r="O206" s="8" t="s">
        <v>0</v>
      </c>
      <c r="P206" s="10" t="s">
        <v>1061</v>
      </c>
    </row>
    <row r="207" spans="1:16" x14ac:dyDescent="0.25">
      <c r="A207" s="7" t="s">
        <v>839</v>
      </c>
      <c r="B207" s="8" t="s">
        <v>835</v>
      </c>
      <c r="C207" s="8" t="s">
        <v>836</v>
      </c>
      <c r="D207" s="8" t="s">
        <v>840</v>
      </c>
      <c r="E207" s="8" t="s">
        <v>0</v>
      </c>
      <c r="F207" s="8" t="s">
        <v>0</v>
      </c>
      <c r="G207" s="8" t="s">
        <v>401</v>
      </c>
      <c r="H207" s="9">
        <v>42.67</v>
      </c>
      <c r="I207" s="9">
        <v>21.17</v>
      </c>
      <c r="J207" s="8" t="s">
        <v>299</v>
      </c>
      <c r="K207" s="8" t="s">
        <v>87</v>
      </c>
      <c r="L207" s="8" t="s">
        <v>16</v>
      </c>
      <c r="M207" s="8" t="s">
        <v>17</v>
      </c>
      <c r="N207" s="8" t="s">
        <v>841</v>
      </c>
      <c r="O207" s="8" t="s">
        <v>0</v>
      </c>
      <c r="P207" s="10" t="s">
        <v>1061</v>
      </c>
    </row>
    <row r="208" spans="1:16" x14ac:dyDescent="0.25">
      <c r="A208" s="7" t="s">
        <v>842</v>
      </c>
      <c r="B208" s="8" t="s">
        <v>835</v>
      </c>
      <c r="C208" s="8" t="s">
        <v>836</v>
      </c>
      <c r="D208" s="8" t="s">
        <v>843</v>
      </c>
      <c r="E208" s="8" t="s">
        <v>0</v>
      </c>
      <c r="F208" s="8" t="s">
        <v>0</v>
      </c>
      <c r="G208" s="8" t="s">
        <v>401</v>
      </c>
      <c r="H208" s="9">
        <v>42.68</v>
      </c>
      <c r="I208" s="9">
        <v>21.18</v>
      </c>
      <c r="J208" s="8" t="s">
        <v>299</v>
      </c>
      <c r="K208" s="8" t="s">
        <v>87</v>
      </c>
      <c r="L208" s="8" t="s">
        <v>16</v>
      </c>
      <c r="M208" s="8" t="s">
        <v>17</v>
      </c>
      <c r="N208" s="8" t="s">
        <v>844</v>
      </c>
      <c r="O208" s="8" t="s">
        <v>0</v>
      </c>
      <c r="P208" s="10" t="s">
        <v>1061</v>
      </c>
    </row>
    <row r="209" spans="1:16" x14ac:dyDescent="0.25">
      <c r="A209" s="7" t="s">
        <v>845</v>
      </c>
      <c r="B209" s="8" t="s">
        <v>835</v>
      </c>
      <c r="C209" s="8" t="s">
        <v>836</v>
      </c>
      <c r="D209" s="8" t="s">
        <v>846</v>
      </c>
      <c r="E209" s="8" t="s">
        <v>0</v>
      </c>
      <c r="F209" s="8" t="s">
        <v>0</v>
      </c>
      <c r="G209" s="8" t="s">
        <v>401</v>
      </c>
      <c r="H209" s="9">
        <v>42.68</v>
      </c>
      <c r="I209" s="9">
        <v>21.18</v>
      </c>
      <c r="J209" s="8" t="s">
        <v>299</v>
      </c>
      <c r="K209" s="8" t="s">
        <v>87</v>
      </c>
      <c r="L209" s="8" t="s">
        <v>16</v>
      </c>
      <c r="M209" s="8" t="s">
        <v>17</v>
      </c>
      <c r="N209" s="8" t="s">
        <v>847</v>
      </c>
      <c r="O209" s="8" t="s">
        <v>0</v>
      </c>
      <c r="P209" s="10" t="s">
        <v>1061</v>
      </c>
    </row>
    <row r="210" spans="1:16" x14ac:dyDescent="0.25">
      <c r="A210" s="7" t="s">
        <v>848</v>
      </c>
      <c r="B210" s="8" t="s">
        <v>835</v>
      </c>
      <c r="C210" s="8" t="s">
        <v>836</v>
      </c>
      <c r="D210" s="8" t="s">
        <v>849</v>
      </c>
      <c r="E210" s="8" t="s">
        <v>0</v>
      </c>
      <c r="F210" s="8" t="s">
        <v>0</v>
      </c>
      <c r="G210" s="8" t="s">
        <v>401</v>
      </c>
      <c r="H210" s="9">
        <v>42.63</v>
      </c>
      <c r="I210" s="9">
        <v>21.17</v>
      </c>
      <c r="J210" s="8" t="s">
        <v>299</v>
      </c>
      <c r="K210" s="8" t="s">
        <v>87</v>
      </c>
      <c r="L210" s="8" t="s">
        <v>16</v>
      </c>
      <c r="M210" s="8" t="s">
        <v>17</v>
      </c>
      <c r="N210" s="8" t="s">
        <v>850</v>
      </c>
      <c r="O210" s="8" t="s">
        <v>0</v>
      </c>
      <c r="P210" s="10" t="s">
        <v>1061</v>
      </c>
    </row>
    <row r="211" spans="1:16" x14ac:dyDescent="0.25">
      <c r="A211" s="7" t="s">
        <v>851</v>
      </c>
      <c r="B211" s="8" t="s">
        <v>835</v>
      </c>
      <c r="C211" s="8" t="s">
        <v>836</v>
      </c>
      <c r="D211" s="8" t="s">
        <v>852</v>
      </c>
      <c r="E211" s="8" t="s">
        <v>0</v>
      </c>
      <c r="F211" s="8" t="s">
        <v>0</v>
      </c>
      <c r="G211" s="8" t="s">
        <v>401</v>
      </c>
      <c r="H211" s="9">
        <v>42.62</v>
      </c>
      <c r="I211" s="9">
        <v>21.15</v>
      </c>
      <c r="J211" s="8" t="s">
        <v>299</v>
      </c>
      <c r="K211" s="8" t="s">
        <v>87</v>
      </c>
      <c r="L211" s="8" t="s">
        <v>16</v>
      </c>
      <c r="M211" s="8" t="s">
        <v>17</v>
      </c>
      <c r="N211" s="8" t="s">
        <v>853</v>
      </c>
      <c r="O211" s="8" t="s">
        <v>0</v>
      </c>
      <c r="P211" s="10" t="s">
        <v>1061</v>
      </c>
    </row>
    <row r="212" spans="1:16" x14ac:dyDescent="0.25">
      <c r="A212" s="7" t="s">
        <v>854</v>
      </c>
      <c r="B212" s="8" t="s">
        <v>835</v>
      </c>
      <c r="C212" s="8" t="s">
        <v>836</v>
      </c>
      <c r="D212" s="8" t="s">
        <v>855</v>
      </c>
      <c r="E212" s="8" t="s">
        <v>0</v>
      </c>
      <c r="F212" s="8" t="s">
        <v>0</v>
      </c>
      <c r="G212" s="8" t="s">
        <v>401</v>
      </c>
      <c r="H212" s="9">
        <v>42.62</v>
      </c>
      <c r="I212" s="9">
        <v>21.12</v>
      </c>
      <c r="J212" s="8" t="s">
        <v>299</v>
      </c>
      <c r="K212" s="8" t="s">
        <v>87</v>
      </c>
      <c r="L212" s="8" t="s">
        <v>16</v>
      </c>
      <c r="M212" s="8" t="s">
        <v>17</v>
      </c>
      <c r="N212" s="8" t="s">
        <v>856</v>
      </c>
      <c r="O212" s="8" t="s">
        <v>0</v>
      </c>
      <c r="P212" s="10" t="s">
        <v>1061</v>
      </c>
    </row>
    <row r="213" spans="1:16" x14ac:dyDescent="0.25">
      <c r="A213" s="7" t="s">
        <v>857</v>
      </c>
      <c r="B213" s="8" t="s">
        <v>858</v>
      </c>
      <c r="C213" s="8" t="s">
        <v>859</v>
      </c>
      <c r="D213" s="8" t="s">
        <v>860</v>
      </c>
      <c r="E213" s="8" t="s">
        <v>0</v>
      </c>
      <c r="F213" s="8" t="s">
        <v>0</v>
      </c>
      <c r="G213" s="8" t="s">
        <v>97</v>
      </c>
      <c r="H213" s="9">
        <v>33.64</v>
      </c>
      <c r="I213" s="9">
        <v>72.989999999999995</v>
      </c>
      <c r="J213" s="8" t="s">
        <v>299</v>
      </c>
      <c r="K213" s="8" t="s">
        <v>87</v>
      </c>
      <c r="L213" s="8" t="s">
        <v>16</v>
      </c>
      <c r="M213" s="8" t="s">
        <v>30</v>
      </c>
      <c r="N213" s="8" t="s">
        <v>0</v>
      </c>
      <c r="O213" s="8" t="s">
        <v>861</v>
      </c>
      <c r="P213" s="10" t="s">
        <v>1062</v>
      </c>
    </row>
    <row r="214" spans="1:16" x14ac:dyDescent="0.25">
      <c r="A214" s="7" t="s">
        <v>862</v>
      </c>
      <c r="B214" s="8" t="s">
        <v>863</v>
      </c>
      <c r="C214" s="8" t="s">
        <v>471</v>
      </c>
      <c r="D214" s="8" t="s">
        <v>864</v>
      </c>
      <c r="E214" s="8" t="s">
        <v>0</v>
      </c>
      <c r="F214" s="8" t="s">
        <v>0</v>
      </c>
      <c r="G214" s="8" t="s">
        <v>0</v>
      </c>
      <c r="H214" s="9">
        <v>32.5</v>
      </c>
      <c r="I214" s="9">
        <v>114.13</v>
      </c>
      <c r="J214" s="8" t="s">
        <v>299</v>
      </c>
      <c r="K214" s="8" t="s">
        <v>87</v>
      </c>
      <c r="L214" s="8" t="s">
        <v>16</v>
      </c>
      <c r="M214" s="8" t="s">
        <v>30</v>
      </c>
      <c r="N214" s="8" t="s">
        <v>0</v>
      </c>
      <c r="O214" s="8" t="s">
        <v>865</v>
      </c>
      <c r="P214" s="10" t="s">
        <v>1032</v>
      </c>
    </row>
    <row r="215" spans="1:16" x14ac:dyDescent="0.25">
      <c r="A215" s="7" t="s">
        <v>232</v>
      </c>
      <c r="B215" s="8" t="s">
        <v>233</v>
      </c>
      <c r="C215" s="8" t="s">
        <v>0</v>
      </c>
      <c r="D215" s="8" t="s">
        <v>234</v>
      </c>
      <c r="E215" s="8" t="s">
        <v>235</v>
      </c>
      <c r="F215" s="8" t="s">
        <v>0</v>
      </c>
      <c r="G215" s="8" t="s">
        <v>97</v>
      </c>
      <c r="H215" s="8">
        <v>60.73</v>
      </c>
      <c r="I215" s="8">
        <v>4.0199999999999996</v>
      </c>
      <c r="J215" s="8" t="s">
        <v>1088</v>
      </c>
      <c r="K215" s="8" t="s">
        <v>0</v>
      </c>
      <c r="L215" s="8" t="s">
        <v>16</v>
      </c>
      <c r="M215" s="8" t="s">
        <v>30</v>
      </c>
      <c r="N215" s="8" t="s">
        <v>0</v>
      </c>
      <c r="O215" s="8">
        <v>35.299999999999997</v>
      </c>
      <c r="P215" s="10" t="s">
        <v>1039</v>
      </c>
    </row>
    <row r="216" spans="1:16" x14ac:dyDescent="0.25">
      <c r="A216" s="7" t="s">
        <v>236</v>
      </c>
      <c r="B216" s="8" t="s">
        <v>233</v>
      </c>
      <c r="C216" s="8" t="s">
        <v>0</v>
      </c>
      <c r="D216" s="8" t="s">
        <v>237</v>
      </c>
      <c r="E216" s="8" t="s">
        <v>235</v>
      </c>
      <c r="F216" s="8" t="s">
        <v>0</v>
      </c>
      <c r="G216" s="8" t="s">
        <v>0</v>
      </c>
      <c r="H216" s="8">
        <v>60.73</v>
      </c>
      <c r="I216" s="8">
        <v>2.63</v>
      </c>
      <c r="J216" s="8" t="s">
        <v>1088</v>
      </c>
      <c r="K216" s="8" t="s">
        <v>0</v>
      </c>
      <c r="L216" s="8" t="s">
        <v>16</v>
      </c>
      <c r="M216" s="8" t="s">
        <v>30</v>
      </c>
      <c r="N216" s="8" t="s">
        <v>0</v>
      </c>
      <c r="O216" s="8" t="s">
        <v>0</v>
      </c>
      <c r="P216" s="10" t="s">
        <v>1039</v>
      </c>
    </row>
    <row r="217" spans="1:16" ht="12.6" customHeight="1" x14ac:dyDescent="0.25">
      <c r="A217" s="7" t="s">
        <v>238</v>
      </c>
      <c r="B217" s="8" t="s">
        <v>233</v>
      </c>
      <c r="C217" s="8" t="s">
        <v>0</v>
      </c>
      <c r="D217" s="8" t="s">
        <v>239</v>
      </c>
      <c r="E217" s="8" t="s">
        <v>235</v>
      </c>
      <c r="F217" s="8" t="s">
        <v>0</v>
      </c>
      <c r="G217" s="8" t="s">
        <v>0</v>
      </c>
      <c r="H217" s="8">
        <v>60.77</v>
      </c>
      <c r="I217" s="8">
        <v>-1.82</v>
      </c>
      <c r="J217" s="8" t="s">
        <v>1088</v>
      </c>
      <c r="K217" s="8" t="s">
        <v>0</v>
      </c>
      <c r="L217" s="8" t="s">
        <v>16</v>
      </c>
      <c r="M217" s="8" t="s">
        <v>30</v>
      </c>
      <c r="N217" s="8" t="s">
        <v>0</v>
      </c>
      <c r="O217" s="8">
        <v>13.2</v>
      </c>
      <c r="P217" s="10" t="s">
        <v>1039</v>
      </c>
    </row>
    <row r="218" spans="1:16" x14ac:dyDescent="0.25">
      <c r="A218" s="7" t="s">
        <v>240</v>
      </c>
      <c r="B218" s="8" t="s">
        <v>233</v>
      </c>
      <c r="C218" s="8" t="s">
        <v>0</v>
      </c>
      <c r="D218" s="8" t="s">
        <v>241</v>
      </c>
      <c r="E218" s="8" t="s">
        <v>235</v>
      </c>
      <c r="F218" s="8" t="s">
        <v>0</v>
      </c>
      <c r="G218" s="8" t="s">
        <v>0</v>
      </c>
      <c r="H218" s="8">
        <v>74.52</v>
      </c>
      <c r="I218" s="8">
        <v>8.98</v>
      </c>
      <c r="J218" s="8" t="s">
        <v>1088</v>
      </c>
      <c r="K218" s="8" t="s">
        <v>0</v>
      </c>
      <c r="L218" s="8" t="s">
        <v>16</v>
      </c>
      <c r="M218" s="8" t="s">
        <v>30</v>
      </c>
      <c r="N218" s="8" t="s">
        <v>0</v>
      </c>
      <c r="O218" s="8" t="s">
        <v>0</v>
      </c>
      <c r="P218" s="10" t="s">
        <v>1039</v>
      </c>
    </row>
    <row r="219" spans="1:16" x14ac:dyDescent="0.25">
      <c r="A219" s="7" t="s">
        <v>242</v>
      </c>
      <c r="B219" s="8" t="s">
        <v>233</v>
      </c>
      <c r="C219" s="8" t="s">
        <v>0</v>
      </c>
      <c r="D219" s="8" t="s">
        <v>243</v>
      </c>
      <c r="E219" s="8" t="s">
        <v>235</v>
      </c>
      <c r="F219" s="8" t="s">
        <v>0</v>
      </c>
      <c r="G219" s="8" t="s">
        <v>0</v>
      </c>
      <c r="H219" s="8">
        <v>71.83</v>
      </c>
      <c r="I219" s="8">
        <v>19.63</v>
      </c>
      <c r="J219" s="8" t="s">
        <v>1151</v>
      </c>
      <c r="K219" s="8" t="s">
        <v>0</v>
      </c>
      <c r="L219" s="8" t="s">
        <v>16</v>
      </c>
      <c r="M219" s="8" t="s">
        <v>30</v>
      </c>
      <c r="N219" s="8" t="s">
        <v>0</v>
      </c>
      <c r="O219" s="8" t="s">
        <v>0</v>
      </c>
      <c r="P219" s="10" t="s">
        <v>1039</v>
      </c>
    </row>
    <row r="220" spans="1:16" x14ac:dyDescent="0.25">
      <c r="A220" s="7" t="s">
        <v>244</v>
      </c>
      <c r="B220" s="8" t="s">
        <v>233</v>
      </c>
      <c r="C220" s="8" t="s">
        <v>0</v>
      </c>
      <c r="D220" s="8" t="s">
        <v>245</v>
      </c>
      <c r="E220" s="8" t="s">
        <v>235</v>
      </c>
      <c r="F220" s="8" t="s">
        <v>0</v>
      </c>
      <c r="G220" s="8" t="s">
        <v>0</v>
      </c>
      <c r="H220" s="8">
        <v>69.650000000000006</v>
      </c>
      <c r="I220" s="8">
        <v>17.3</v>
      </c>
      <c r="J220" s="8" t="s">
        <v>1151</v>
      </c>
      <c r="K220" s="8" t="s">
        <v>0</v>
      </c>
      <c r="L220" s="8" t="s">
        <v>16</v>
      </c>
      <c r="M220" s="8" t="s">
        <v>30</v>
      </c>
      <c r="N220" s="8" t="s">
        <v>0</v>
      </c>
      <c r="O220" s="8" t="s">
        <v>0</v>
      </c>
      <c r="P220" s="10" t="s">
        <v>1039</v>
      </c>
    </row>
    <row r="221" spans="1:16" x14ac:dyDescent="0.25">
      <c r="A221" s="7" t="s">
        <v>246</v>
      </c>
      <c r="B221" s="8" t="s">
        <v>233</v>
      </c>
      <c r="C221" s="8" t="s">
        <v>0</v>
      </c>
      <c r="D221" s="8" t="s">
        <v>247</v>
      </c>
      <c r="E221" s="8" t="s">
        <v>235</v>
      </c>
      <c r="F221" s="8" t="s">
        <v>0</v>
      </c>
      <c r="G221" s="8" t="s">
        <v>0</v>
      </c>
      <c r="H221" s="8">
        <v>69.5</v>
      </c>
      <c r="I221" s="8">
        <v>11.78</v>
      </c>
      <c r="J221" s="8" t="s">
        <v>1151</v>
      </c>
      <c r="K221" s="8" t="s">
        <v>0</v>
      </c>
      <c r="L221" s="8" t="s">
        <v>16</v>
      </c>
      <c r="M221" s="8" t="s">
        <v>30</v>
      </c>
      <c r="N221" s="8" t="s">
        <v>0</v>
      </c>
      <c r="O221" s="8" t="s">
        <v>0</v>
      </c>
      <c r="P221" s="10" t="s">
        <v>1039</v>
      </c>
    </row>
    <row r="222" spans="1:16" x14ac:dyDescent="0.25">
      <c r="A222" s="7" t="s">
        <v>248</v>
      </c>
      <c r="B222" s="8" t="s">
        <v>233</v>
      </c>
      <c r="C222" s="8" t="s">
        <v>0</v>
      </c>
      <c r="D222" s="8" t="s">
        <v>249</v>
      </c>
      <c r="E222" s="8" t="s">
        <v>235</v>
      </c>
      <c r="F222" s="8" t="s">
        <v>0</v>
      </c>
      <c r="G222" s="8" t="s">
        <v>0</v>
      </c>
      <c r="H222" s="8">
        <v>63.2</v>
      </c>
      <c r="I222" s="8">
        <v>3.37</v>
      </c>
      <c r="J222" s="8" t="s">
        <v>1151</v>
      </c>
      <c r="K222" s="8" t="s">
        <v>0</v>
      </c>
      <c r="L222" s="8" t="s">
        <v>16</v>
      </c>
      <c r="M222" s="8" t="s">
        <v>30</v>
      </c>
      <c r="N222" s="8" t="s">
        <v>0</v>
      </c>
      <c r="O222" s="8" t="s">
        <v>1064</v>
      </c>
      <c r="P222" s="10" t="s">
        <v>1039</v>
      </c>
    </row>
    <row r="223" spans="1:16" x14ac:dyDescent="0.25">
      <c r="A223" s="7" t="s">
        <v>250</v>
      </c>
      <c r="B223" s="8" t="s">
        <v>233</v>
      </c>
      <c r="C223" s="8" t="s">
        <v>0</v>
      </c>
      <c r="D223" s="8" t="s">
        <v>251</v>
      </c>
      <c r="E223" s="8" t="s">
        <v>235</v>
      </c>
      <c r="F223" s="8" t="s">
        <v>0</v>
      </c>
      <c r="G223" s="8" t="s">
        <v>0</v>
      </c>
      <c r="H223" s="8">
        <v>56.43</v>
      </c>
      <c r="I223" s="8">
        <v>6.07</v>
      </c>
      <c r="J223" s="8" t="s">
        <v>1151</v>
      </c>
      <c r="K223" s="8" t="s">
        <v>0</v>
      </c>
      <c r="L223" s="8" t="s">
        <v>16</v>
      </c>
      <c r="M223" s="8" t="s">
        <v>30</v>
      </c>
      <c r="N223" s="8" t="s">
        <v>0</v>
      </c>
      <c r="O223" s="8" t="s">
        <v>1063</v>
      </c>
      <c r="P223" s="10" t="s">
        <v>1039</v>
      </c>
    </row>
    <row r="224" spans="1:16" x14ac:dyDescent="0.25">
      <c r="A224" s="7" t="s">
        <v>252</v>
      </c>
      <c r="B224" s="8" t="s">
        <v>233</v>
      </c>
      <c r="C224" s="8" t="s">
        <v>0</v>
      </c>
      <c r="D224" s="8" t="s">
        <v>253</v>
      </c>
      <c r="E224" s="8" t="s">
        <v>235</v>
      </c>
      <c r="F224" s="8" t="s">
        <v>0</v>
      </c>
      <c r="G224" s="8" t="s">
        <v>0</v>
      </c>
      <c r="H224" s="8">
        <v>56.43</v>
      </c>
      <c r="I224" s="8">
        <v>6.07</v>
      </c>
      <c r="J224" s="8" t="s">
        <v>1151</v>
      </c>
      <c r="K224" s="8" t="s">
        <v>0</v>
      </c>
      <c r="L224" s="8" t="s">
        <v>16</v>
      </c>
      <c r="M224" s="8" t="s">
        <v>30</v>
      </c>
      <c r="N224" s="8" t="s">
        <v>0</v>
      </c>
      <c r="O224" s="8" t="s">
        <v>0</v>
      </c>
      <c r="P224" s="10" t="s">
        <v>1039</v>
      </c>
    </row>
    <row r="225" spans="1:16" x14ac:dyDescent="0.25">
      <c r="A225" s="7" t="s">
        <v>866</v>
      </c>
      <c r="B225" s="8" t="s">
        <v>867</v>
      </c>
      <c r="C225" s="8" t="s">
        <v>43</v>
      </c>
      <c r="D225" s="8" t="s">
        <v>767</v>
      </c>
      <c r="E225" s="8" t="s">
        <v>0</v>
      </c>
      <c r="F225" s="8" t="s">
        <v>868</v>
      </c>
      <c r="G225" s="8" t="s">
        <v>97</v>
      </c>
      <c r="H225" s="9">
        <v>36.07</v>
      </c>
      <c r="I225" s="9">
        <v>103.75</v>
      </c>
      <c r="J225" s="8" t="s">
        <v>299</v>
      </c>
      <c r="K225" s="8" t="s">
        <v>87</v>
      </c>
      <c r="L225" s="8" t="s">
        <v>16</v>
      </c>
      <c r="M225" s="8" t="s">
        <v>17</v>
      </c>
      <c r="N225" s="8">
        <v>521.29999999999995</v>
      </c>
      <c r="O225" s="8" t="s">
        <v>0</v>
      </c>
      <c r="P225" s="10" t="s">
        <v>1032</v>
      </c>
    </row>
    <row r="226" spans="1:16" x14ac:dyDescent="0.25">
      <c r="A226" s="7" t="s">
        <v>869</v>
      </c>
      <c r="B226" s="8" t="s">
        <v>867</v>
      </c>
      <c r="C226" s="8" t="s">
        <v>43</v>
      </c>
      <c r="D226" s="8" t="s">
        <v>767</v>
      </c>
      <c r="E226" s="8" t="s">
        <v>0</v>
      </c>
      <c r="F226" s="8" t="s">
        <v>870</v>
      </c>
      <c r="G226" s="8" t="s">
        <v>0</v>
      </c>
      <c r="H226" s="9">
        <v>36.07</v>
      </c>
      <c r="I226" s="9">
        <v>103.75</v>
      </c>
      <c r="J226" s="8" t="s">
        <v>299</v>
      </c>
      <c r="K226" s="8" t="s">
        <v>87</v>
      </c>
      <c r="L226" s="8" t="s">
        <v>16</v>
      </c>
      <c r="M226" s="8" t="s">
        <v>17</v>
      </c>
      <c r="N226" s="8">
        <v>468.1</v>
      </c>
      <c r="O226" s="8" t="s">
        <v>0</v>
      </c>
      <c r="P226" s="10" t="s">
        <v>1032</v>
      </c>
    </row>
    <row r="227" spans="1:16" x14ac:dyDescent="0.25">
      <c r="A227" s="7" t="s">
        <v>871</v>
      </c>
      <c r="B227" s="8" t="s">
        <v>867</v>
      </c>
      <c r="C227" s="8" t="s">
        <v>43</v>
      </c>
      <c r="D227" s="8" t="s">
        <v>767</v>
      </c>
      <c r="E227" s="8" t="s">
        <v>0</v>
      </c>
      <c r="F227" s="8" t="s">
        <v>872</v>
      </c>
      <c r="G227" s="8" t="s">
        <v>0</v>
      </c>
      <c r="H227" s="9">
        <v>36.07</v>
      </c>
      <c r="I227" s="9">
        <v>103.75</v>
      </c>
      <c r="J227" s="8" t="s">
        <v>299</v>
      </c>
      <c r="K227" s="8" t="s">
        <v>87</v>
      </c>
      <c r="L227" s="8" t="s">
        <v>16</v>
      </c>
      <c r="M227" s="8" t="s">
        <v>17</v>
      </c>
      <c r="N227" s="8">
        <v>327.9</v>
      </c>
      <c r="O227" s="8" t="s">
        <v>0</v>
      </c>
      <c r="P227" s="10" t="s">
        <v>1032</v>
      </c>
    </row>
    <row r="228" spans="1:16" x14ac:dyDescent="0.25">
      <c r="A228" s="7" t="s">
        <v>873</v>
      </c>
      <c r="B228" s="8" t="s">
        <v>867</v>
      </c>
      <c r="C228" s="8" t="s">
        <v>43</v>
      </c>
      <c r="D228" s="8" t="s">
        <v>767</v>
      </c>
      <c r="E228" s="8" t="s">
        <v>0</v>
      </c>
      <c r="F228" s="8" t="s">
        <v>874</v>
      </c>
      <c r="G228" s="8" t="s">
        <v>0</v>
      </c>
      <c r="H228" s="9">
        <v>36.07</v>
      </c>
      <c r="I228" s="9">
        <v>103.75</v>
      </c>
      <c r="J228" s="8" t="s">
        <v>299</v>
      </c>
      <c r="K228" s="8" t="s">
        <v>87</v>
      </c>
      <c r="L228" s="8" t="s">
        <v>16</v>
      </c>
      <c r="M228" s="8" t="s">
        <v>17</v>
      </c>
      <c r="N228" s="8">
        <v>229.9</v>
      </c>
      <c r="O228" s="8" t="s">
        <v>0</v>
      </c>
      <c r="P228" s="10" t="s">
        <v>1032</v>
      </c>
    </row>
    <row r="229" spans="1:16" x14ac:dyDescent="0.25">
      <c r="A229" s="7" t="s">
        <v>875</v>
      </c>
      <c r="B229" s="8" t="s">
        <v>867</v>
      </c>
      <c r="C229" s="8" t="s">
        <v>43</v>
      </c>
      <c r="D229" s="8" t="s">
        <v>767</v>
      </c>
      <c r="E229" s="8" t="s">
        <v>0</v>
      </c>
      <c r="F229" s="8" t="s">
        <v>876</v>
      </c>
      <c r="G229" s="8" t="s">
        <v>0</v>
      </c>
      <c r="H229" s="9">
        <v>36.07</v>
      </c>
      <c r="I229" s="9">
        <v>103.75</v>
      </c>
      <c r="J229" s="8" t="s">
        <v>299</v>
      </c>
      <c r="K229" s="8" t="s">
        <v>87</v>
      </c>
      <c r="L229" s="8" t="s">
        <v>16</v>
      </c>
      <c r="M229" s="8" t="s">
        <v>17</v>
      </c>
      <c r="N229" s="8">
        <v>203.1</v>
      </c>
      <c r="O229" s="8" t="s">
        <v>0</v>
      </c>
      <c r="P229" s="10" t="s">
        <v>1032</v>
      </c>
    </row>
    <row r="230" spans="1:16" x14ac:dyDescent="0.25">
      <c r="A230" s="7" t="s">
        <v>877</v>
      </c>
      <c r="B230" s="8" t="s">
        <v>867</v>
      </c>
      <c r="C230" s="8" t="s">
        <v>43</v>
      </c>
      <c r="D230" s="8" t="s">
        <v>767</v>
      </c>
      <c r="E230" s="8" t="s">
        <v>0</v>
      </c>
      <c r="F230" s="8" t="s">
        <v>878</v>
      </c>
      <c r="G230" s="8" t="s">
        <v>0</v>
      </c>
      <c r="H230" s="9">
        <v>36.07</v>
      </c>
      <c r="I230" s="9">
        <v>103.75</v>
      </c>
      <c r="J230" s="8" t="s">
        <v>299</v>
      </c>
      <c r="K230" s="8" t="s">
        <v>87</v>
      </c>
      <c r="L230" s="8" t="s">
        <v>16</v>
      </c>
      <c r="M230" s="8" t="s">
        <v>17</v>
      </c>
      <c r="N230" s="8">
        <v>138.1</v>
      </c>
      <c r="O230" s="8" t="s">
        <v>0</v>
      </c>
      <c r="P230" s="10" t="s">
        <v>1032</v>
      </c>
    </row>
    <row r="231" spans="1:16" x14ac:dyDescent="0.25">
      <c r="A231" s="7" t="s">
        <v>254</v>
      </c>
      <c r="B231" s="8" t="s">
        <v>255</v>
      </c>
      <c r="C231" s="8" t="s">
        <v>43</v>
      </c>
      <c r="D231" s="8" t="s">
        <v>0</v>
      </c>
      <c r="E231" s="8" t="s">
        <v>141</v>
      </c>
      <c r="F231" s="8" t="s">
        <v>256</v>
      </c>
      <c r="G231" s="8" t="s">
        <v>257</v>
      </c>
      <c r="H231" s="8"/>
      <c r="I231" s="8"/>
      <c r="J231" s="8" t="s">
        <v>1151</v>
      </c>
      <c r="K231" s="8" t="s">
        <v>0</v>
      </c>
      <c r="L231" s="8" t="s">
        <v>16</v>
      </c>
      <c r="M231" s="8" t="s">
        <v>30</v>
      </c>
      <c r="N231" s="8" t="s">
        <v>0</v>
      </c>
      <c r="O231" s="8" t="s">
        <v>258</v>
      </c>
      <c r="P231" s="10" t="s">
        <v>1180</v>
      </c>
    </row>
    <row r="232" spans="1:16" x14ac:dyDescent="0.25">
      <c r="A232" s="7" t="s">
        <v>474</v>
      </c>
      <c r="B232" s="8" t="s">
        <v>475</v>
      </c>
      <c r="C232" s="8" t="s">
        <v>43</v>
      </c>
      <c r="D232" s="8" t="s">
        <v>476</v>
      </c>
      <c r="E232" s="8" t="s">
        <v>0</v>
      </c>
      <c r="F232" s="8" t="s">
        <v>477</v>
      </c>
      <c r="G232" s="8" t="s">
        <v>392</v>
      </c>
      <c r="H232" s="9">
        <v>45.76</v>
      </c>
      <c r="I232" s="9">
        <v>126.64</v>
      </c>
      <c r="J232" s="8" t="s">
        <v>299</v>
      </c>
      <c r="K232" s="8" t="s">
        <v>478</v>
      </c>
      <c r="L232" s="8" t="s">
        <v>16</v>
      </c>
      <c r="M232" s="8" t="s">
        <v>30</v>
      </c>
      <c r="N232" s="8" t="s">
        <v>0</v>
      </c>
      <c r="O232" s="8" t="s">
        <v>479</v>
      </c>
      <c r="P232" s="10" t="s">
        <v>1065</v>
      </c>
    </row>
    <row r="233" spans="1:16" x14ac:dyDescent="0.25">
      <c r="A233" s="7" t="s">
        <v>480</v>
      </c>
      <c r="B233" s="8" t="s">
        <v>475</v>
      </c>
      <c r="C233" s="8" t="s">
        <v>43</v>
      </c>
      <c r="D233" s="8" t="s">
        <v>476</v>
      </c>
      <c r="E233" s="8" t="s">
        <v>0</v>
      </c>
      <c r="F233" s="8" t="s">
        <v>481</v>
      </c>
      <c r="G233" s="8" t="s">
        <v>392</v>
      </c>
      <c r="H233" s="9">
        <v>45.75</v>
      </c>
      <c r="I233" s="9">
        <v>126.68</v>
      </c>
      <c r="J233" s="8" t="s">
        <v>299</v>
      </c>
      <c r="K233" s="8" t="s">
        <v>478</v>
      </c>
      <c r="L233" s="8" t="s">
        <v>16</v>
      </c>
      <c r="M233" s="8" t="s">
        <v>30</v>
      </c>
      <c r="N233" s="8" t="s">
        <v>0</v>
      </c>
      <c r="O233" s="8" t="s">
        <v>482</v>
      </c>
      <c r="P233" s="10" t="s">
        <v>1065</v>
      </c>
    </row>
    <row r="234" spans="1:16" x14ac:dyDescent="0.25">
      <c r="A234" s="7" t="s">
        <v>483</v>
      </c>
      <c r="B234" s="8" t="s">
        <v>475</v>
      </c>
      <c r="C234" s="8" t="s">
        <v>43</v>
      </c>
      <c r="D234" s="8" t="s">
        <v>476</v>
      </c>
      <c r="E234" s="8" t="s">
        <v>0</v>
      </c>
      <c r="F234" s="8" t="s">
        <v>484</v>
      </c>
      <c r="G234" s="8" t="s">
        <v>392</v>
      </c>
      <c r="H234" s="9">
        <v>45.7</v>
      </c>
      <c r="I234" s="9">
        <v>126.67</v>
      </c>
      <c r="J234" s="8" t="s">
        <v>299</v>
      </c>
      <c r="K234" s="8" t="s">
        <v>478</v>
      </c>
      <c r="L234" s="8" t="s">
        <v>16</v>
      </c>
      <c r="M234" s="8" t="s">
        <v>30</v>
      </c>
      <c r="N234" s="8" t="s">
        <v>0</v>
      </c>
      <c r="O234" s="8" t="s">
        <v>485</v>
      </c>
      <c r="P234" s="10" t="s">
        <v>1065</v>
      </c>
    </row>
    <row r="235" spans="1:16" x14ac:dyDescent="0.25">
      <c r="A235" s="7" t="s">
        <v>25</v>
      </c>
      <c r="B235" s="8" t="s">
        <v>26</v>
      </c>
      <c r="C235" s="8" t="s">
        <v>27</v>
      </c>
      <c r="D235" s="8" t="s">
        <v>0</v>
      </c>
      <c r="E235" s="8" t="s">
        <v>0</v>
      </c>
      <c r="F235" s="8" t="s">
        <v>28</v>
      </c>
      <c r="G235" s="8" t="s">
        <v>29</v>
      </c>
      <c r="H235" s="9">
        <v>33.590000000000003</v>
      </c>
      <c r="I235" s="9">
        <v>130.21</v>
      </c>
      <c r="J235" s="8" t="s">
        <v>1088</v>
      </c>
      <c r="K235" s="8" t="s">
        <v>0</v>
      </c>
      <c r="L235" s="8" t="s">
        <v>16</v>
      </c>
      <c r="M235" s="8" t="s">
        <v>30</v>
      </c>
      <c r="N235" s="8" t="s">
        <v>0</v>
      </c>
      <c r="O235" s="8">
        <v>0.3</v>
      </c>
      <c r="P235" s="10" t="s">
        <v>1052</v>
      </c>
    </row>
    <row r="236" spans="1:16" x14ac:dyDescent="0.25">
      <c r="A236" s="7" t="s">
        <v>32</v>
      </c>
      <c r="B236" s="8" t="s">
        <v>26</v>
      </c>
      <c r="C236" s="8" t="s">
        <v>27</v>
      </c>
      <c r="D236" s="8" t="s">
        <v>0</v>
      </c>
      <c r="E236" s="8" t="s">
        <v>0</v>
      </c>
      <c r="F236" s="8" t="s">
        <v>33</v>
      </c>
      <c r="G236" s="8" t="s">
        <v>29</v>
      </c>
      <c r="H236" s="9">
        <v>36.53</v>
      </c>
      <c r="I236" s="9">
        <v>136.65</v>
      </c>
      <c r="J236" s="8" t="s">
        <v>1088</v>
      </c>
      <c r="K236" s="8" t="s">
        <v>0</v>
      </c>
      <c r="L236" s="8" t="s">
        <v>16</v>
      </c>
      <c r="M236" s="8" t="s">
        <v>30</v>
      </c>
      <c r="N236" s="8" t="s">
        <v>0</v>
      </c>
      <c r="O236" s="8">
        <v>0.12</v>
      </c>
      <c r="P236" s="10" t="s">
        <v>1052</v>
      </c>
    </row>
    <row r="237" spans="1:16" x14ac:dyDescent="0.25">
      <c r="A237" s="7" t="s">
        <v>34</v>
      </c>
      <c r="B237" s="8" t="s">
        <v>26</v>
      </c>
      <c r="C237" s="8" t="s">
        <v>35</v>
      </c>
      <c r="D237" s="8" t="s">
        <v>0</v>
      </c>
      <c r="E237" s="8" t="s">
        <v>0</v>
      </c>
      <c r="F237" s="8" t="s">
        <v>36</v>
      </c>
      <c r="G237" s="8" t="s">
        <v>29</v>
      </c>
      <c r="H237" s="9">
        <v>36.85</v>
      </c>
      <c r="I237" s="9">
        <v>174.76</v>
      </c>
      <c r="J237" s="8" t="s">
        <v>1088</v>
      </c>
      <c r="K237" s="8" t="s">
        <v>0</v>
      </c>
      <c r="L237" s="8" t="s">
        <v>16</v>
      </c>
      <c r="M237" s="8" t="s">
        <v>30</v>
      </c>
      <c r="N237" s="8" t="s">
        <v>0</v>
      </c>
      <c r="O237" s="8">
        <v>0.12</v>
      </c>
      <c r="P237" s="10" t="s">
        <v>1052</v>
      </c>
    </row>
    <row r="238" spans="1:16" x14ac:dyDescent="0.25">
      <c r="A238" s="7" t="s">
        <v>37</v>
      </c>
      <c r="B238" s="8" t="s">
        <v>26</v>
      </c>
      <c r="C238" s="8" t="s">
        <v>35</v>
      </c>
      <c r="D238" s="8" t="s">
        <v>0</v>
      </c>
      <c r="E238" s="8" t="s">
        <v>0</v>
      </c>
      <c r="F238" s="8" t="s">
        <v>38</v>
      </c>
      <c r="G238" s="8" t="s">
        <v>29</v>
      </c>
      <c r="H238" s="9">
        <v>39.08</v>
      </c>
      <c r="I238" s="9">
        <v>175.55</v>
      </c>
      <c r="J238" s="8" t="s">
        <v>1088</v>
      </c>
      <c r="K238" s="8" t="s">
        <v>0</v>
      </c>
      <c r="L238" s="8" t="s">
        <v>16</v>
      </c>
      <c r="M238" s="8" t="s">
        <v>30</v>
      </c>
      <c r="N238" s="8" t="s">
        <v>0</v>
      </c>
      <c r="O238" s="8">
        <v>0.06</v>
      </c>
      <c r="P238" s="10" t="s">
        <v>1052</v>
      </c>
    </row>
    <row r="239" spans="1:16" x14ac:dyDescent="0.25">
      <c r="A239" s="7" t="s">
        <v>39</v>
      </c>
      <c r="B239" s="8" t="s">
        <v>26</v>
      </c>
      <c r="C239" s="8" t="s">
        <v>35</v>
      </c>
      <c r="D239" s="8" t="s">
        <v>0</v>
      </c>
      <c r="E239" s="8" t="s">
        <v>0</v>
      </c>
      <c r="F239" s="8" t="s">
        <v>40</v>
      </c>
      <c r="G239" s="8" t="s">
        <v>29</v>
      </c>
      <c r="H239" s="9">
        <v>39.93</v>
      </c>
      <c r="I239" s="9">
        <v>175.02</v>
      </c>
      <c r="J239" s="8" t="s">
        <v>1088</v>
      </c>
      <c r="K239" s="8" t="s">
        <v>0</v>
      </c>
      <c r="L239" s="8" t="s">
        <v>16</v>
      </c>
      <c r="M239" s="8" t="s">
        <v>30</v>
      </c>
      <c r="N239" s="8" t="s">
        <v>0</v>
      </c>
      <c r="O239" s="8">
        <v>0.03</v>
      </c>
      <c r="P239" s="10" t="s">
        <v>1052</v>
      </c>
    </row>
    <row r="240" spans="1:16" x14ac:dyDescent="0.25">
      <c r="A240" s="7" t="s">
        <v>288</v>
      </c>
      <c r="B240" s="8" t="s">
        <v>26</v>
      </c>
      <c r="C240" s="8" t="s">
        <v>27</v>
      </c>
      <c r="D240" s="8" t="s">
        <v>0</v>
      </c>
      <c r="E240" s="8" t="s">
        <v>0</v>
      </c>
      <c r="F240" s="8" t="s">
        <v>289</v>
      </c>
      <c r="G240" s="8" t="s">
        <v>29</v>
      </c>
      <c r="H240" s="9">
        <v>35.49</v>
      </c>
      <c r="I240" s="9">
        <v>133.07</v>
      </c>
      <c r="J240" s="8" t="s">
        <v>1088</v>
      </c>
      <c r="K240" s="8" t="s">
        <v>0</v>
      </c>
      <c r="L240" s="8" t="s">
        <v>16</v>
      </c>
      <c r="M240" s="8" t="s">
        <v>30</v>
      </c>
      <c r="N240" s="8" t="s">
        <v>0</v>
      </c>
      <c r="O240" s="8">
        <v>0.14000000000000001</v>
      </c>
      <c r="P240" s="10" t="s">
        <v>1052</v>
      </c>
    </row>
    <row r="241" spans="1:16" x14ac:dyDescent="0.25">
      <c r="A241" s="7" t="s">
        <v>290</v>
      </c>
      <c r="B241" s="8" t="s">
        <v>291</v>
      </c>
      <c r="C241" s="8" t="s">
        <v>0</v>
      </c>
      <c r="D241" s="8" t="s">
        <v>0</v>
      </c>
      <c r="E241" s="8" t="s">
        <v>141</v>
      </c>
      <c r="F241" s="8" t="s">
        <v>292</v>
      </c>
      <c r="G241" s="8" t="s">
        <v>293</v>
      </c>
      <c r="H241" s="8">
        <v>15</v>
      </c>
      <c r="I241" s="8">
        <v>113</v>
      </c>
      <c r="J241" s="8" t="s">
        <v>0</v>
      </c>
      <c r="K241" s="8" t="s">
        <v>0</v>
      </c>
      <c r="L241" s="8" t="s">
        <v>16</v>
      </c>
      <c r="M241" s="8" t="s">
        <v>30</v>
      </c>
      <c r="N241" s="8" t="s">
        <v>0</v>
      </c>
      <c r="O241" s="8" t="s">
        <v>294</v>
      </c>
      <c r="P241" s="10" t="s">
        <v>1033</v>
      </c>
    </row>
    <row r="242" spans="1:16" x14ac:dyDescent="0.25">
      <c r="A242" s="7" t="s">
        <v>1073</v>
      </c>
      <c r="B242" s="8" t="s">
        <v>291</v>
      </c>
      <c r="C242" s="8" t="s">
        <v>0</v>
      </c>
      <c r="D242" s="8" t="s">
        <v>723</v>
      </c>
      <c r="E242" s="8" t="s">
        <v>141</v>
      </c>
      <c r="F242" s="8" t="s">
        <v>292</v>
      </c>
      <c r="G242" s="8" t="s">
        <v>293</v>
      </c>
      <c r="H242" s="9">
        <v>110.6</v>
      </c>
      <c r="I242" s="9">
        <v>19.23</v>
      </c>
      <c r="J242" s="8" t="s">
        <v>1088</v>
      </c>
      <c r="K242" s="8" t="s">
        <v>0</v>
      </c>
      <c r="L242" s="8" t="s">
        <v>16</v>
      </c>
      <c r="M242" s="8" t="s">
        <v>30</v>
      </c>
      <c r="N242" s="8" t="s">
        <v>0</v>
      </c>
      <c r="O242" s="8">
        <v>6.3E-2</v>
      </c>
      <c r="P242" s="10" t="s">
        <v>1033</v>
      </c>
    </row>
    <row r="243" spans="1:16" x14ac:dyDescent="0.25">
      <c r="A243" s="7" t="s">
        <v>1074</v>
      </c>
      <c r="B243" s="8" t="s">
        <v>291</v>
      </c>
      <c r="C243" s="8" t="s">
        <v>0</v>
      </c>
      <c r="D243" s="8" t="s">
        <v>726</v>
      </c>
      <c r="E243" s="8" t="s">
        <v>141</v>
      </c>
      <c r="F243" s="8" t="s">
        <v>292</v>
      </c>
      <c r="G243" s="8" t="s">
        <v>293</v>
      </c>
      <c r="H243" s="9">
        <v>116.24</v>
      </c>
      <c r="I243" s="9">
        <v>17.03</v>
      </c>
      <c r="J243" s="8" t="s">
        <v>1151</v>
      </c>
      <c r="K243" s="8" t="s">
        <v>0</v>
      </c>
      <c r="L243" s="8" t="s">
        <v>16</v>
      </c>
      <c r="M243" s="8" t="s">
        <v>30</v>
      </c>
      <c r="N243" s="8" t="s">
        <v>0</v>
      </c>
      <c r="O243" s="8">
        <v>4.3999999999999997E-2</v>
      </c>
      <c r="P243" s="10" t="s">
        <v>1033</v>
      </c>
    </row>
    <row r="244" spans="1:16" x14ac:dyDescent="0.25">
      <c r="A244" s="7" t="s">
        <v>1075</v>
      </c>
      <c r="B244" s="8" t="s">
        <v>291</v>
      </c>
      <c r="C244" s="8" t="s">
        <v>0</v>
      </c>
      <c r="D244" s="8" t="s">
        <v>728</v>
      </c>
      <c r="E244" s="8" t="s">
        <v>141</v>
      </c>
      <c r="F244" s="8" t="s">
        <v>292</v>
      </c>
      <c r="G244" s="8" t="s">
        <v>293</v>
      </c>
      <c r="H244" s="9">
        <v>116.03</v>
      </c>
      <c r="I244" s="9">
        <v>16.010000000000002</v>
      </c>
      <c r="J244" s="8" t="s">
        <v>1151</v>
      </c>
      <c r="K244" s="8" t="s">
        <v>0</v>
      </c>
      <c r="L244" s="8" t="s">
        <v>16</v>
      </c>
      <c r="M244" s="8" t="s">
        <v>30</v>
      </c>
      <c r="N244" s="8" t="s">
        <v>0</v>
      </c>
      <c r="O244" s="8">
        <v>5.8999999999999997E-2</v>
      </c>
      <c r="P244" s="10" t="s">
        <v>1033</v>
      </c>
    </row>
    <row r="245" spans="1:16" x14ac:dyDescent="0.25">
      <c r="A245" s="7" t="s">
        <v>1076</v>
      </c>
      <c r="B245" s="8" t="s">
        <v>291</v>
      </c>
      <c r="C245" s="8" t="s">
        <v>0</v>
      </c>
      <c r="D245" s="8" t="s">
        <v>730</v>
      </c>
      <c r="E245" s="8" t="s">
        <v>141</v>
      </c>
      <c r="F245" s="8" t="s">
        <v>292</v>
      </c>
      <c r="G245" s="8" t="s">
        <v>293</v>
      </c>
      <c r="H245" s="9">
        <v>116.26</v>
      </c>
      <c r="I245" s="9">
        <v>15.26</v>
      </c>
      <c r="J245" s="8" t="s">
        <v>1151</v>
      </c>
      <c r="K245" s="8" t="s">
        <v>0</v>
      </c>
      <c r="L245" s="8" t="s">
        <v>16</v>
      </c>
      <c r="M245" s="8" t="s">
        <v>30</v>
      </c>
      <c r="N245" s="8" t="s">
        <v>0</v>
      </c>
      <c r="O245" s="8">
        <v>0.14599999999999999</v>
      </c>
      <c r="P245" s="10" t="s">
        <v>1033</v>
      </c>
    </row>
    <row r="246" spans="1:16" x14ac:dyDescent="0.25">
      <c r="A246" s="7" t="s">
        <v>1077</v>
      </c>
      <c r="B246" s="8" t="s">
        <v>291</v>
      </c>
      <c r="C246" s="8" t="s">
        <v>0</v>
      </c>
      <c r="D246" s="8" t="s">
        <v>732</v>
      </c>
      <c r="E246" s="8" t="s">
        <v>141</v>
      </c>
      <c r="F246" s="8" t="s">
        <v>292</v>
      </c>
      <c r="G246" s="8" t="s">
        <v>293</v>
      </c>
      <c r="H246" s="9">
        <v>116.24</v>
      </c>
      <c r="I246" s="9">
        <v>14.02</v>
      </c>
      <c r="J246" s="8" t="s">
        <v>1151</v>
      </c>
      <c r="K246" s="8" t="s">
        <v>0</v>
      </c>
      <c r="L246" s="8" t="s">
        <v>16</v>
      </c>
      <c r="M246" s="8" t="s">
        <v>30</v>
      </c>
      <c r="N246" s="8" t="s">
        <v>0</v>
      </c>
      <c r="O246" s="8">
        <v>3.1E-2</v>
      </c>
      <c r="P246" s="10" t="s">
        <v>1033</v>
      </c>
    </row>
    <row r="247" spans="1:16" x14ac:dyDescent="0.25">
      <c r="A247" s="7" t="s">
        <v>1078</v>
      </c>
      <c r="B247" s="8" t="s">
        <v>291</v>
      </c>
      <c r="C247" s="8" t="s">
        <v>0</v>
      </c>
      <c r="D247" s="8" t="s">
        <v>1066</v>
      </c>
      <c r="E247" s="8" t="s">
        <v>141</v>
      </c>
      <c r="F247" s="8" t="s">
        <v>292</v>
      </c>
      <c r="G247" s="8" t="s">
        <v>293</v>
      </c>
      <c r="H247" s="9">
        <v>116</v>
      </c>
      <c r="I247" s="9">
        <v>13</v>
      </c>
      <c r="J247" s="8" t="s">
        <v>1151</v>
      </c>
      <c r="K247" s="8" t="s">
        <v>0</v>
      </c>
      <c r="L247" s="8" t="s">
        <v>16</v>
      </c>
      <c r="M247" s="8" t="s">
        <v>30</v>
      </c>
      <c r="N247" s="8" t="s">
        <v>0</v>
      </c>
      <c r="O247" s="8">
        <v>1.7000000000000001E-2</v>
      </c>
      <c r="P247" s="10" t="s">
        <v>1033</v>
      </c>
    </row>
    <row r="248" spans="1:16" x14ac:dyDescent="0.25">
      <c r="A248" s="7" t="s">
        <v>1079</v>
      </c>
      <c r="B248" s="8" t="s">
        <v>291</v>
      </c>
      <c r="C248" s="8" t="s">
        <v>0</v>
      </c>
      <c r="D248" s="8" t="s">
        <v>1067</v>
      </c>
      <c r="E248" s="8" t="s">
        <v>141</v>
      </c>
      <c r="F248" s="8" t="s">
        <v>292</v>
      </c>
      <c r="G248" s="8" t="s">
        <v>293</v>
      </c>
      <c r="H248" s="9">
        <v>116</v>
      </c>
      <c r="I248" s="9">
        <v>12.22</v>
      </c>
      <c r="J248" s="8" t="s">
        <v>1151</v>
      </c>
      <c r="K248" s="8" t="s">
        <v>0</v>
      </c>
      <c r="L248" s="8" t="s">
        <v>16</v>
      </c>
      <c r="M248" s="8" t="s">
        <v>30</v>
      </c>
      <c r="N248" s="8" t="s">
        <v>0</v>
      </c>
      <c r="O248" s="8">
        <v>1.7000000000000001E-2</v>
      </c>
      <c r="P248" s="10" t="s">
        <v>1033</v>
      </c>
    </row>
    <row r="249" spans="1:16" x14ac:dyDescent="0.25">
      <c r="A249" s="7" t="s">
        <v>1080</v>
      </c>
      <c r="B249" s="8" t="s">
        <v>291</v>
      </c>
      <c r="C249" s="8" t="s">
        <v>0</v>
      </c>
      <c r="D249" s="8" t="s">
        <v>1068</v>
      </c>
      <c r="E249" s="8" t="s">
        <v>141</v>
      </c>
      <c r="F249" s="8" t="s">
        <v>292</v>
      </c>
      <c r="G249" s="8" t="s">
        <v>293</v>
      </c>
      <c r="H249" s="9">
        <v>116</v>
      </c>
      <c r="I249" s="9">
        <v>11.03</v>
      </c>
      <c r="J249" s="8" t="s">
        <v>1151</v>
      </c>
      <c r="K249" s="8" t="s">
        <v>0</v>
      </c>
      <c r="L249" s="8" t="s">
        <v>16</v>
      </c>
      <c r="M249" s="8" t="s">
        <v>30</v>
      </c>
      <c r="N249" s="8" t="s">
        <v>0</v>
      </c>
      <c r="O249" s="8">
        <v>5.8000000000000003E-2</v>
      </c>
      <c r="P249" s="10" t="s">
        <v>1033</v>
      </c>
    </row>
    <row r="250" spans="1:16" x14ac:dyDescent="0.25">
      <c r="A250" s="7" t="s">
        <v>1081</v>
      </c>
      <c r="B250" s="8" t="s">
        <v>291</v>
      </c>
      <c r="C250" s="8" t="s">
        <v>0</v>
      </c>
      <c r="D250" s="8" t="s">
        <v>1069</v>
      </c>
      <c r="E250" s="8" t="s">
        <v>141</v>
      </c>
      <c r="F250" s="8" t="s">
        <v>292</v>
      </c>
      <c r="G250" s="8" t="s">
        <v>293</v>
      </c>
      <c r="H250" s="9">
        <v>116.24</v>
      </c>
      <c r="I250" s="9">
        <v>10.01</v>
      </c>
      <c r="J250" s="8" t="s">
        <v>1151</v>
      </c>
      <c r="K250" s="8" t="s">
        <v>0</v>
      </c>
      <c r="L250" s="8" t="s">
        <v>16</v>
      </c>
      <c r="M250" s="8" t="s">
        <v>30</v>
      </c>
      <c r="N250" s="8" t="s">
        <v>0</v>
      </c>
      <c r="O250" s="8">
        <v>4.2000000000000003E-2</v>
      </c>
      <c r="P250" s="10" t="s">
        <v>1033</v>
      </c>
    </row>
    <row r="251" spans="1:16" x14ac:dyDescent="0.25">
      <c r="A251" s="7" t="s">
        <v>1082</v>
      </c>
      <c r="B251" s="8" t="s">
        <v>291</v>
      </c>
      <c r="C251" s="8" t="s">
        <v>0</v>
      </c>
      <c r="D251" s="8" t="s">
        <v>1070</v>
      </c>
      <c r="E251" s="8" t="s">
        <v>141</v>
      </c>
      <c r="F251" s="8" t="s">
        <v>292</v>
      </c>
      <c r="G251" s="8" t="s">
        <v>293</v>
      </c>
      <c r="H251" s="9">
        <v>116.25</v>
      </c>
      <c r="I251" s="9">
        <v>9.25</v>
      </c>
      <c r="J251" s="8" t="s">
        <v>1151</v>
      </c>
      <c r="K251" s="8" t="s">
        <v>0</v>
      </c>
      <c r="L251" s="8" t="s">
        <v>16</v>
      </c>
      <c r="M251" s="8" t="s">
        <v>30</v>
      </c>
      <c r="N251" s="8" t="s">
        <v>0</v>
      </c>
      <c r="O251" s="8">
        <v>1.6E-2</v>
      </c>
      <c r="P251" s="10" t="s">
        <v>1033</v>
      </c>
    </row>
    <row r="252" spans="1:16" x14ac:dyDescent="0.25">
      <c r="A252" s="7" t="s">
        <v>1083</v>
      </c>
      <c r="B252" s="8" t="s">
        <v>291</v>
      </c>
      <c r="C252" s="8" t="s">
        <v>0</v>
      </c>
      <c r="D252" s="8" t="s">
        <v>1071</v>
      </c>
      <c r="E252" s="8" t="s">
        <v>141</v>
      </c>
      <c r="F252" s="8" t="s">
        <v>292</v>
      </c>
      <c r="G252" s="8" t="s">
        <v>293</v>
      </c>
      <c r="H252" s="9">
        <v>112.07</v>
      </c>
      <c r="I252" s="9">
        <v>9.74</v>
      </c>
      <c r="J252" s="8" t="s">
        <v>1151</v>
      </c>
      <c r="K252" s="8" t="s">
        <v>0</v>
      </c>
      <c r="L252" s="8" t="s">
        <v>16</v>
      </c>
      <c r="M252" s="8" t="s">
        <v>30</v>
      </c>
      <c r="N252" s="8" t="s">
        <v>0</v>
      </c>
      <c r="O252" s="8">
        <v>4.4999999999999998E-2</v>
      </c>
      <c r="P252" s="10" t="s">
        <v>1033</v>
      </c>
    </row>
    <row r="253" spans="1:16" x14ac:dyDescent="0.25">
      <c r="A253" s="7" t="s">
        <v>1084</v>
      </c>
      <c r="B253" s="8" t="s">
        <v>291</v>
      </c>
      <c r="C253" s="8" t="s">
        <v>0</v>
      </c>
      <c r="D253" s="8" t="s">
        <v>1072</v>
      </c>
      <c r="E253" s="8" t="s">
        <v>141</v>
      </c>
      <c r="F253" s="8" t="s">
        <v>292</v>
      </c>
      <c r="G253" s="8" t="s">
        <v>293</v>
      </c>
      <c r="H253" s="9">
        <v>112.23</v>
      </c>
      <c r="I253" s="9">
        <v>10.210000000000001</v>
      </c>
      <c r="J253" s="8" t="s">
        <v>1088</v>
      </c>
      <c r="K253" s="8" t="s">
        <v>0</v>
      </c>
      <c r="L253" s="8" t="s">
        <v>16</v>
      </c>
      <c r="M253" s="8" t="s">
        <v>30</v>
      </c>
      <c r="N253" s="8" t="s">
        <v>0</v>
      </c>
      <c r="O253" s="8">
        <v>1.7999999999999999E-2</v>
      </c>
      <c r="P253" s="10" t="s">
        <v>1033</v>
      </c>
    </row>
    <row r="254" spans="1:16" x14ac:dyDescent="0.25">
      <c r="A254" s="7" t="s">
        <v>879</v>
      </c>
      <c r="B254" s="8" t="s">
        <v>880</v>
      </c>
      <c r="C254" s="8" t="s">
        <v>43</v>
      </c>
      <c r="D254" s="8" t="s">
        <v>76</v>
      </c>
      <c r="E254" s="8" t="s">
        <v>0</v>
      </c>
      <c r="F254" s="8" t="s">
        <v>1141</v>
      </c>
      <c r="G254" s="8" t="s">
        <v>881</v>
      </c>
      <c r="H254" s="9">
        <v>31.5</v>
      </c>
      <c r="I254" s="9">
        <v>121.4</v>
      </c>
      <c r="J254" s="8" t="s">
        <v>299</v>
      </c>
      <c r="K254" s="8" t="s">
        <v>87</v>
      </c>
      <c r="L254" s="8" t="s">
        <v>16</v>
      </c>
      <c r="M254" s="8" t="s">
        <v>17</v>
      </c>
      <c r="N254" s="8" t="s">
        <v>882</v>
      </c>
      <c r="O254" s="8" t="s">
        <v>0</v>
      </c>
      <c r="P254" s="10" t="s">
        <v>1033</v>
      </c>
    </row>
    <row r="255" spans="1:16" x14ac:dyDescent="0.25">
      <c r="A255" s="7" t="s">
        <v>883</v>
      </c>
      <c r="B255" s="8" t="s">
        <v>880</v>
      </c>
      <c r="C255" s="8" t="s">
        <v>43</v>
      </c>
      <c r="D255" s="8" t="s">
        <v>76</v>
      </c>
      <c r="E255" s="8" t="s">
        <v>0</v>
      </c>
      <c r="F255" s="8" t="s">
        <v>1142</v>
      </c>
      <c r="G255" s="8" t="s">
        <v>1146</v>
      </c>
      <c r="H255" s="9">
        <v>31.7</v>
      </c>
      <c r="I255" s="9">
        <v>121.4</v>
      </c>
      <c r="J255" s="8" t="s">
        <v>299</v>
      </c>
      <c r="K255" s="8" t="s">
        <v>87</v>
      </c>
      <c r="L255" s="8" t="s">
        <v>16</v>
      </c>
      <c r="M255" s="8" t="s">
        <v>17</v>
      </c>
      <c r="N255" s="8" t="s">
        <v>884</v>
      </c>
      <c r="O255" s="8" t="s">
        <v>0</v>
      </c>
      <c r="P255" s="10" t="s">
        <v>1033</v>
      </c>
    </row>
    <row r="256" spans="1:16" x14ac:dyDescent="0.25">
      <c r="A256" s="7" t="s">
        <v>885</v>
      </c>
      <c r="B256" s="8" t="s">
        <v>880</v>
      </c>
      <c r="C256" s="8" t="s">
        <v>43</v>
      </c>
      <c r="D256" s="8" t="s">
        <v>76</v>
      </c>
      <c r="E256" s="8" t="s">
        <v>0</v>
      </c>
      <c r="F256" s="8" t="s">
        <v>1143</v>
      </c>
      <c r="G256" s="8" t="s">
        <v>1146</v>
      </c>
      <c r="H256" s="9">
        <v>30.9</v>
      </c>
      <c r="I256" s="9">
        <v>121.4</v>
      </c>
      <c r="J256" s="8" t="s">
        <v>299</v>
      </c>
      <c r="K256" s="8" t="s">
        <v>87</v>
      </c>
      <c r="L256" s="8" t="s">
        <v>16</v>
      </c>
      <c r="M256" s="8" t="s">
        <v>17</v>
      </c>
      <c r="N256" s="8" t="s">
        <v>886</v>
      </c>
      <c r="O256" s="8" t="s">
        <v>0</v>
      </c>
      <c r="P256" s="10" t="s">
        <v>1033</v>
      </c>
    </row>
    <row r="257" spans="1:16" x14ac:dyDescent="0.25">
      <c r="A257" s="7" t="s">
        <v>887</v>
      </c>
      <c r="B257" s="8" t="s">
        <v>880</v>
      </c>
      <c r="C257" s="8" t="s">
        <v>43</v>
      </c>
      <c r="D257" s="8" t="s">
        <v>76</v>
      </c>
      <c r="E257" s="8" t="s">
        <v>0</v>
      </c>
      <c r="F257" s="8" t="s">
        <v>1145</v>
      </c>
      <c r="G257" s="8" t="s">
        <v>1146</v>
      </c>
      <c r="H257" s="9">
        <v>31.1</v>
      </c>
      <c r="I257" s="9">
        <v>121.7</v>
      </c>
      <c r="J257" s="8" t="s">
        <v>299</v>
      </c>
      <c r="K257" s="8" t="s">
        <v>87</v>
      </c>
      <c r="L257" s="8" t="s">
        <v>16</v>
      </c>
      <c r="M257" s="8" t="s">
        <v>17</v>
      </c>
      <c r="N257" s="8" t="s">
        <v>888</v>
      </c>
      <c r="O257" s="8" t="s">
        <v>0</v>
      </c>
      <c r="P257" s="10" t="s">
        <v>1033</v>
      </c>
    </row>
    <row r="258" spans="1:16" x14ac:dyDescent="0.25">
      <c r="A258" s="7" t="s">
        <v>889</v>
      </c>
      <c r="B258" s="8" t="s">
        <v>880</v>
      </c>
      <c r="C258" s="8" t="s">
        <v>43</v>
      </c>
      <c r="D258" s="8" t="s">
        <v>76</v>
      </c>
      <c r="E258" s="8" t="s">
        <v>0</v>
      </c>
      <c r="F258" s="8" t="s">
        <v>1117</v>
      </c>
      <c r="G258" s="8" t="s">
        <v>1146</v>
      </c>
      <c r="H258" s="9">
        <v>31.8</v>
      </c>
      <c r="I258" s="9">
        <v>120.9</v>
      </c>
      <c r="J258" s="8" t="s">
        <v>299</v>
      </c>
      <c r="K258" s="8" t="s">
        <v>87</v>
      </c>
      <c r="L258" s="8" t="s">
        <v>16</v>
      </c>
      <c r="M258" s="8" t="s">
        <v>17</v>
      </c>
      <c r="N258" s="8" t="s">
        <v>890</v>
      </c>
      <c r="O258" s="8" t="s">
        <v>0</v>
      </c>
      <c r="P258" s="10" t="s">
        <v>1033</v>
      </c>
    </row>
    <row r="259" spans="1:16" x14ac:dyDescent="0.25">
      <c r="A259" s="7" t="s">
        <v>891</v>
      </c>
      <c r="B259" s="8" t="s">
        <v>880</v>
      </c>
      <c r="C259" s="8" t="s">
        <v>43</v>
      </c>
      <c r="D259" s="8" t="s">
        <v>76</v>
      </c>
      <c r="E259" s="8" t="s">
        <v>0</v>
      </c>
      <c r="F259" s="8" t="s">
        <v>1144</v>
      </c>
      <c r="G259" s="8" t="s">
        <v>1146</v>
      </c>
      <c r="H259" s="9">
        <v>31.1</v>
      </c>
      <c r="I259" s="9">
        <v>121.4</v>
      </c>
      <c r="J259" s="8" t="s">
        <v>299</v>
      </c>
      <c r="K259" s="8" t="s">
        <v>87</v>
      </c>
      <c r="L259" s="8" t="s">
        <v>16</v>
      </c>
      <c r="M259" s="8" t="s">
        <v>17</v>
      </c>
      <c r="N259" s="8" t="s">
        <v>892</v>
      </c>
      <c r="O259" s="8" t="s">
        <v>0</v>
      </c>
      <c r="P259" s="10" t="s">
        <v>1033</v>
      </c>
    </row>
    <row r="260" spans="1:16" x14ac:dyDescent="0.25">
      <c r="A260" s="7" t="s">
        <v>312</v>
      </c>
      <c r="B260" s="8" t="s">
        <v>313</v>
      </c>
      <c r="C260" s="8" t="s">
        <v>43</v>
      </c>
      <c r="D260" s="8" t="s">
        <v>314</v>
      </c>
      <c r="E260" s="8" t="s">
        <v>0</v>
      </c>
      <c r="F260" s="8" t="s">
        <v>315</v>
      </c>
      <c r="G260" s="8" t="s">
        <v>316</v>
      </c>
      <c r="H260" s="9">
        <v>39.65</v>
      </c>
      <c r="I260" s="9">
        <v>116.03</v>
      </c>
      <c r="J260" s="8" t="s">
        <v>299</v>
      </c>
      <c r="K260" s="8" t="s">
        <v>0</v>
      </c>
      <c r="L260" s="8" t="s">
        <v>16</v>
      </c>
      <c r="M260" s="8" t="s">
        <v>17</v>
      </c>
      <c r="N260" s="8" t="s">
        <v>317</v>
      </c>
      <c r="O260" s="8" t="s">
        <v>0</v>
      </c>
      <c r="P260" s="10" t="s">
        <v>0</v>
      </c>
    </row>
    <row r="261" spans="1:16" x14ac:dyDescent="0.25">
      <c r="A261" s="7" t="s">
        <v>318</v>
      </c>
      <c r="B261" s="8" t="s">
        <v>313</v>
      </c>
      <c r="C261" s="8" t="s">
        <v>43</v>
      </c>
      <c r="D261" s="8" t="s">
        <v>314</v>
      </c>
      <c r="E261" s="8" t="s">
        <v>0</v>
      </c>
      <c r="F261" s="8" t="s">
        <v>319</v>
      </c>
      <c r="G261" s="8" t="s">
        <v>316</v>
      </c>
      <c r="H261" s="9">
        <v>39.94</v>
      </c>
      <c r="I261" s="9">
        <v>116.28</v>
      </c>
      <c r="J261" s="8" t="s">
        <v>299</v>
      </c>
      <c r="K261" s="8" t="s">
        <v>0</v>
      </c>
      <c r="L261" s="8" t="s">
        <v>16</v>
      </c>
      <c r="M261" s="8" t="s">
        <v>17</v>
      </c>
      <c r="N261" s="8" t="s">
        <v>320</v>
      </c>
      <c r="O261" s="8" t="s">
        <v>0</v>
      </c>
      <c r="P261" s="10" t="s">
        <v>0</v>
      </c>
    </row>
    <row r="262" spans="1:16" x14ac:dyDescent="0.25">
      <c r="A262" s="7" t="s">
        <v>321</v>
      </c>
      <c r="B262" s="8" t="s">
        <v>313</v>
      </c>
      <c r="C262" s="8" t="s">
        <v>43</v>
      </c>
      <c r="D262" s="8" t="s">
        <v>314</v>
      </c>
      <c r="E262" s="8" t="s">
        <v>0</v>
      </c>
      <c r="F262" s="8" t="s">
        <v>322</v>
      </c>
      <c r="G262" s="8" t="s">
        <v>316</v>
      </c>
      <c r="H262" s="9">
        <v>39.97</v>
      </c>
      <c r="I262" s="9">
        <v>116.02</v>
      </c>
      <c r="J262" s="8" t="s">
        <v>299</v>
      </c>
      <c r="K262" s="8" t="s">
        <v>0</v>
      </c>
      <c r="L262" s="8" t="s">
        <v>16</v>
      </c>
      <c r="M262" s="8" t="s">
        <v>17</v>
      </c>
      <c r="N262" s="8" t="s">
        <v>323</v>
      </c>
      <c r="O262" s="8" t="s">
        <v>0</v>
      </c>
      <c r="P262" s="10" t="s">
        <v>0</v>
      </c>
    </row>
    <row r="263" spans="1:16" x14ac:dyDescent="0.25">
      <c r="A263" s="7" t="s">
        <v>324</v>
      </c>
      <c r="B263" s="8" t="s">
        <v>313</v>
      </c>
      <c r="C263" s="8" t="s">
        <v>43</v>
      </c>
      <c r="D263" s="8" t="s">
        <v>314</v>
      </c>
      <c r="E263" s="8" t="s">
        <v>0</v>
      </c>
      <c r="F263" s="8" t="s">
        <v>325</v>
      </c>
      <c r="G263" s="8" t="s">
        <v>316</v>
      </c>
      <c r="H263" s="9">
        <v>40.19</v>
      </c>
      <c r="I263" s="9">
        <v>116.81</v>
      </c>
      <c r="J263" s="8" t="s">
        <v>299</v>
      </c>
      <c r="K263" s="8" t="s">
        <v>0</v>
      </c>
      <c r="L263" s="8" t="s">
        <v>16</v>
      </c>
      <c r="M263" s="8" t="s">
        <v>17</v>
      </c>
      <c r="N263" s="8" t="s">
        <v>326</v>
      </c>
      <c r="O263" s="8" t="s">
        <v>0</v>
      </c>
      <c r="P263" s="10" t="s">
        <v>0</v>
      </c>
    </row>
    <row r="264" spans="1:16" x14ac:dyDescent="0.25">
      <c r="A264" s="7" t="s">
        <v>327</v>
      </c>
      <c r="B264" s="8" t="s">
        <v>313</v>
      </c>
      <c r="C264" s="8" t="s">
        <v>43</v>
      </c>
      <c r="D264" s="8" t="s">
        <v>314</v>
      </c>
      <c r="E264" s="8" t="s">
        <v>0</v>
      </c>
      <c r="F264" s="8" t="s">
        <v>328</v>
      </c>
      <c r="G264" s="8" t="s">
        <v>316</v>
      </c>
      <c r="H264" s="9">
        <v>39.700000000000003</v>
      </c>
      <c r="I264" s="9">
        <v>116.7</v>
      </c>
      <c r="J264" s="8" t="s">
        <v>299</v>
      </c>
      <c r="K264" s="8" t="s">
        <v>0</v>
      </c>
      <c r="L264" s="8" t="s">
        <v>16</v>
      </c>
      <c r="M264" s="8" t="s">
        <v>17</v>
      </c>
      <c r="N264" s="8" t="s">
        <v>329</v>
      </c>
      <c r="O264" s="8" t="s">
        <v>0</v>
      </c>
      <c r="P264" s="10" t="s">
        <v>0</v>
      </c>
    </row>
    <row r="265" spans="1:16" x14ac:dyDescent="0.25">
      <c r="A265" s="7" t="s">
        <v>341</v>
      </c>
      <c r="B265" s="8" t="s">
        <v>313</v>
      </c>
      <c r="C265" s="8" t="s">
        <v>43</v>
      </c>
      <c r="D265" s="8" t="s">
        <v>314</v>
      </c>
      <c r="E265" s="8" t="s">
        <v>0</v>
      </c>
      <c r="F265" s="8" t="s">
        <v>342</v>
      </c>
      <c r="G265" s="8" t="s">
        <v>316</v>
      </c>
      <c r="H265" s="9">
        <v>39.68</v>
      </c>
      <c r="I265" s="9">
        <v>116.44</v>
      </c>
      <c r="J265" s="8" t="s">
        <v>299</v>
      </c>
      <c r="K265" s="8" t="s">
        <v>82</v>
      </c>
      <c r="L265" s="8" t="s">
        <v>16</v>
      </c>
      <c r="M265" s="8" t="s">
        <v>17</v>
      </c>
      <c r="N265" s="8" t="s">
        <v>343</v>
      </c>
      <c r="O265" s="8" t="s">
        <v>0</v>
      </c>
      <c r="P265" s="10" t="s">
        <v>0</v>
      </c>
    </row>
    <row r="266" spans="1:16" x14ac:dyDescent="0.25">
      <c r="A266" s="7" t="s">
        <v>41</v>
      </c>
      <c r="B266" s="8" t="s">
        <v>42</v>
      </c>
      <c r="C266" s="8" t="s">
        <v>43</v>
      </c>
      <c r="D266" s="8" t="s">
        <v>44</v>
      </c>
      <c r="E266" s="8" t="s">
        <v>0</v>
      </c>
      <c r="F266" s="8" t="s">
        <v>0</v>
      </c>
      <c r="G266" s="8" t="s">
        <v>45</v>
      </c>
      <c r="H266" s="9">
        <v>38.29</v>
      </c>
      <c r="I266" s="9">
        <v>116.87</v>
      </c>
      <c r="J266" s="8" t="s">
        <v>1088</v>
      </c>
      <c r="K266" s="8" t="s">
        <v>0</v>
      </c>
      <c r="L266" s="8" t="s">
        <v>16</v>
      </c>
      <c r="M266" s="8" t="s">
        <v>17</v>
      </c>
      <c r="N266" s="8" t="s">
        <v>46</v>
      </c>
      <c r="O266" s="8" t="s">
        <v>47</v>
      </c>
      <c r="P266" s="10" t="s">
        <v>1085</v>
      </c>
    </row>
    <row r="267" spans="1:16" x14ac:dyDescent="0.25">
      <c r="A267" s="7" t="s">
        <v>48</v>
      </c>
      <c r="B267" s="8" t="s">
        <v>42</v>
      </c>
      <c r="C267" s="8" t="s">
        <v>43</v>
      </c>
      <c r="D267" s="8" t="s">
        <v>49</v>
      </c>
      <c r="E267" s="8" t="s">
        <v>0</v>
      </c>
      <c r="F267" s="8" t="s">
        <v>0</v>
      </c>
      <c r="G267" s="8" t="s">
        <v>45</v>
      </c>
      <c r="H267" s="9">
        <v>34.61</v>
      </c>
      <c r="I267" s="9">
        <v>119.21</v>
      </c>
      <c r="J267" s="8" t="s">
        <v>1088</v>
      </c>
      <c r="K267" s="8" t="s">
        <v>0</v>
      </c>
      <c r="L267" s="8" t="s">
        <v>16</v>
      </c>
      <c r="M267" s="8" t="s">
        <v>17</v>
      </c>
      <c r="N267" s="8" t="s">
        <v>46</v>
      </c>
      <c r="O267" s="8" t="s">
        <v>0</v>
      </c>
      <c r="P267" s="10" t="s">
        <v>1085</v>
      </c>
    </row>
    <row r="268" spans="1:16" x14ac:dyDescent="0.25">
      <c r="A268" s="7" t="s">
        <v>50</v>
      </c>
      <c r="B268" s="8" t="s">
        <v>42</v>
      </c>
      <c r="C268" s="8" t="s">
        <v>43</v>
      </c>
      <c r="D268" s="8" t="s">
        <v>51</v>
      </c>
      <c r="E268" s="8" t="s">
        <v>0</v>
      </c>
      <c r="F268" s="8" t="s">
        <v>0</v>
      </c>
      <c r="G268" s="8" t="s">
        <v>45</v>
      </c>
      <c r="H268" s="9">
        <v>29.97</v>
      </c>
      <c r="I268" s="9">
        <v>122.19</v>
      </c>
      <c r="J268" s="8" t="s">
        <v>1088</v>
      </c>
      <c r="K268" s="8" t="s">
        <v>0</v>
      </c>
      <c r="L268" s="8" t="s">
        <v>16</v>
      </c>
      <c r="M268" s="8" t="s">
        <v>17</v>
      </c>
      <c r="N268" s="8" t="s">
        <v>46</v>
      </c>
      <c r="O268" s="8" t="s">
        <v>0</v>
      </c>
      <c r="P268" s="10" t="s">
        <v>1085</v>
      </c>
    </row>
    <row r="269" spans="1:16" x14ac:dyDescent="0.25">
      <c r="A269" s="7" t="s">
        <v>52</v>
      </c>
      <c r="B269" s="8" t="s">
        <v>42</v>
      </c>
      <c r="C269" s="8" t="s">
        <v>43</v>
      </c>
      <c r="D269" s="8" t="s">
        <v>53</v>
      </c>
      <c r="E269" s="8" t="s">
        <v>0</v>
      </c>
      <c r="F269" s="8" t="s">
        <v>0</v>
      </c>
      <c r="G269" s="8" t="s">
        <v>45</v>
      </c>
      <c r="H269" s="9">
        <v>24.61</v>
      </c>
      <c r="I269" s="9">
        <v>118.31</v>
      </c>
      <c r="J269" s="8" t="s">
        <v>1088</v>
      </c>
      <c r="K269" s="8" t="s">
        <v>0</v>
      </c>
      <c r="L269" s="8" t="s">
        <v>16</v>
      </c>
      <c r="M269" s="8" t="s">
        <v>17</v>
      </c>
      <c r="N269" s="8" t="s">
        <v>46</v>
      </c>
      <c r="O269" s="8" t="s">
        <v>0</v>
      </c>
      <c r="P269" s="10" t="s">
        <v>1085</v>
      </c>
    </row>
    <row r="270" spans="1:16" x14ac:dyDescent="0.25">
      <c r="A270" s="7" t="s">
        <v>54</v>
      </c>
      <c r="B270" s="8" t="s">
        <v>42</v>
      </c>
      <c r="C270" s="8" t="s">
        <v>43</v>
      </c>
      <c r="D270" s="8" t="s">
        <v>55</v>
      </c>
      <c r="E270" s="8" t="s">
        <v>0</v>
      </c>
      <c r="F270" s="8" t="s">
        <v>0</v>
      </c>
      <c r="G270" s="8" t="s">
        <v>45</v>
      </c>
      <c r="H270" s="9">
        <v>19.98</v>
      </c>
      <c r="I270" s="9">
        <v>110.34</v>
      </c>
      <c r="J270" s="8" t="s">
        <v>1088</v>
      </c>
      <c r="K270" s="8" t="s">
        <v>0</v>
      </c>
      <c r="L270" s="8" t="s">
        <v>16</v>
      </c>
      <c r="M270" s="8" t="s">
        <v>17</v>
      </c>
      <c r="N270" s="8" t="s">
        <v>46</v>
      </c>
      <c r="O270" s="8" t="s">
        <v>0</v>
      </c>
      <c r="P270" s="10" t="s">
        <v>1085</v>
      </c>
    </row>
    <row r="271" spans="1:16" x14ac:dyDescent="0.25">
      <c r="A271" s="7" t="s">
        <v>893</v>
      </c>
      <c r="B271" s="8" t="s">
        <v>894</v>
      </c>
      <c r="C271" s="8" t="s">
        <v>751</v>
      </c>
      <c r="D271" s="8" t="s">
        <v>752</v>
      </c>
      <c r="E271" s="8" t="s">
        <v>0</v>
      </c>
      <c r="F271" s="8" t="s">
        <v>895</v>
      </c>
      <c r="G271" s="8" t="s">
        <v>896</v>
      </c>
      <c r="H271" s="9">
        <v>37.64</v>
      </c>
      <c r="I271" s="9">
        <v>127.02</v>
      </c>
      <c r="J271" s="8" t="s">
        <v>299</v>
      </c>
      <c r="K271" s="8" t="s">
        <v>87</v>
      </c>
      <c r="L271" s="8" t="s">
        <v>16</v>
      </c>
      <c r="M271" s="8" t="s">
        <v>30</v>
      </c>
      <c r="N271" s="8" t="s">
        <v>0</v>
      </c>
      <c r="O271" s="8" t="s">
        <v>897</v>
      </c>
      <c r="P271" s="10" t="s">
        <v>1032</v>
      </c>
    </row>
    <row r="272" spans="1:16" x14ac:dyDescent="0.25">
      <c r="A272" s="7" t="s">
        <v>898</v>
      </c>
      <c r="B272" s="8" t="s">
        <v>894</v>
      </c>
      <c r="C272" s="8" t="s">
        <v>751</v>
      </c>
      <c r="D272" s="8" t="s">
        <v>752</v>
      </c>
      <c r="E272" s="8" t="s">
        <v>0</v>
      </c>
      <c r="F272" s="8" t="s">
        <v>899</v>
      </c>
      <c r="G272" s="8" t="s">
        <v>896</v>
      </c>
      <c r="H272" s="9">
        <v>37.49</v>
      </c>
      <c r="I272" s="9">
        <v>126.96</v>
      </c>
      <c r="J272" s="8" t="s">
        <v>299</v>
      </c>
      <c r="K272" s="8" t="s">
        <v>87</v>
      </c>
      <c r="L272" s="8" t="s">
        <v>16</v>
      </c>
      <c r="M272" s="8" t="s">
        <v>30</v>
      </c>
      <c r="N272" s="8" t="s">
        <v>0</v>
      </c>
      <c r="O272" s="8" t="s">
        <v>900</v>
      </c>
      <c r="P272" s="10" t="s">
        <v>1032</v>
      </c>
    </row>
    <row r="273" spans="1:16" x14ac:dyDescent="0.25">
      <c r="A273" s="7" t="s">
        <v>901</v>
      </c>
      <c r="B273" s="8" t="s">
        <v>894</v>
      </c>
      <c r="C273" s="8" t="s">
        <v>751</v>
      </c>
      <c r="D273" s="8" t="s">
        <v>752</v>
      </c>
      <c r="E273" s="8" t="s">
        <v>0</v>
      </c>
      <c r="F273" s="8" t="s">
        <v>902</v>
      </c>
      <c r="G273" s="8" t="s">
        <v>896</v>
      </c>
      <c r="H273" s="9">
        <v>37.47</v>
      </c>
      <c r="I273" s="9">
        <v>127.04</v>
      </c>
      <c r="J273" s="8" t="s">
        <v>299</v>
      </c>
      <c r="K273" s="8" t="s">
        <v>87</v>
      </c>
      <c r="L273" s="8" t="s">
        <v>16</v>
      </c>
      <c r="M273" s="8" t="s">
        <v>30</v>
      </c>
      <c r="N273" s="8" t="s">
        <v>0</v>
      </c>
      <c r="O273" s="8" t="s">
        <v>903</v>
      </c>
      <c r="P273" s="10" t="s">
        <v>1032</v>
      </c>
    </row>
    <row r="274" spans="1:16" ht="16.5" x14ac:dyDescent="0.25">
      <c r="A274" s="7" t="s">
        <v>904</v>
      </c>
      <c r="B274" s="8" t="s">
        <v>905</v>
      </c>
      <c r="C274" s="8" t="s">
        <v>906</v>
      </c>
      <c r="D274" s="8" t="s">
        <v>907</v>
      </c>
      <c r="E274" s="8" t="s">
        <v>0</v>
      </c>
      <c r="F274" s="8" t="s">
        <v>331</v>
      </c>
      <c r="G274" s="8" t="s">
        <v>78</v>
      </c>
      <c r="H274" s="9">
        <v>-75.540000000000006</v>
      </c>
      <c r="I274" s="9">
        <v>10.42</v>
      </c>
      <c r="J274" s="8" t="s">
        <v>299</v>
      </c>
      <c r="K274" s="8" t="s">
        <v>87</v>
      </c>
      <c r="L274" s="8" t="s">
        <v>16</v>
      </c>
      <c r="M274" s="8" t="s">
        <v>17</v>
      </c>
      <c r="N274" s="8" t="s">
        <v>2374</v>
      </c>
      <c r="O274" s="8" t="s">
        <v>0</v>
      </c>
      <c r="P274" s="10" t="s">
        <v>1086</v>
      </c>
    </row>
    <row r="275" spans="1:16" ht="17.25" x14ac:dyDescent="0.25">
      <c r="A275" s="7" t="s">
        <v>908</v>
      </c>
      <c r="B275" s="8" t="s">
        <v>905</v>
      </c>
      <c r="C275" s="8" t="s">
        <v>906</v>
      </c>
      <c r="D275" s="8" t="s">
        <v>907</v>
      </c>
      <c r="E275" s="8" t="s">
        <v>0</v>
      </c>
      <c r="F275" s="8" t="s">
        <v>335</v>
      </c>
      <c r="G275" s="8" t="s">
        <v>78</v>
      </c>
      <c r="H275" s="9">
        <v>-75.540000000000006</v>
      </c>
      <c r="I275" s="9">
        <v>10.42</v>
      </c>
      <c r="J275" s="8" t="s">
        <v>299</v>
      </c>
      <c r="K275" s="8" t="s">
        <v>87</v>
      </c>
      <c r="L275" s="8" t="s">
        <v>16</v>
      </c>
      <c r="M275" s="8" t="s">
        <v>17</v>
      </c>
      <c r="N275" s="8" t="s">
        <v>2375</v>
      </c>
      <c r="O275" s="8" t="s">
        <v>0</v>
      </c>
      <c r="P275" s="10" t="s">
        <v>1086</v>
      </c>
    </row>
    <row r="276" spans="1:16" ht="17.25" x14ac:dyDescent="0.25">
      <c r="A276" s="7" t="s">
        <v>909</v>
      </c>
      <c r="B276" s="8" t="s">
        <v>905</v>
      </c>
      <c r="C276" s="8" t="s">
        <v>906</v>
      </c>
      <c r="D276" s="8" t="s">
        <v>907</v>
      </c>
      <c r="E276" s="8" t="s">
        <v>0</v>
      </c>
      <c r="F276" s="8" t="s">
        <v>910</v>
      </c>
      <c r="G276" s="8" t="s">
        <v>78</v>
      </c>
      <c r="H276" s="9">
        <v>-75.540000000000006</v>
      </c>
      <c r="I276" s="9">
        <v>10.42</v>
      </c>
      <c r="J276" s="8" t="s">
        <v>299</v>
      </c>
      <c r="K276" s="8" t="s">
        <v>87</v>
      </c>
      <c r="L276" s="8" t="s">
        <v>16</v>
      </c>
      <c r="M276" s="8" t="s">
        <v>17</v>
      </c>
      <c r="N276" s="8" t="s">
        <v>2376</v>
      </c>
      <c r="O276" s="8" t="s">
        <v>0</v>
      </c>
      <c r="P276" s="10" t="s">
        <v>1086</v>
      </c>
    </row>
    <row r="277" spans="1:16" x14ac:dyDescent="0.25">
      <c r="A277" s="7" t="s">
        <v>911</v>
      </c>
      <c r="B277" s="8" t="s">
        <v>912</v>
      </c>
      <c r="C277" s="8" t="s">
        <v>43</v>
      </c>
      <c r="D277" s="8" t="s">
        <v>913</v>
      </c>
      <c r="E277" s="8" t="s">
        <v>0</v>
      </c>
      <c r="F277" s="8" t="s">
        <v>60</v>
      </c>
      <c r="G277" s="8" t="s">
        <v>674</v>
      </c>
      <c r="H277" s="9">
        <v>23.08</v>
      </c>
      <c r="I277" s="9">
        <v>114.32</v>
      </c>
      <c r="J277" s="8" t="s">
        <v>299</v>
      </c>
      <c r="K277" s="8" t="s">
        <v>87</v>
      </c>
      <c r="L277" s="8" t="s">
        <v>16</v>
      </c>
      <c r="M277" s="8" t="s">
        <v>17</v>
      </c>
      <c r="N277" s="8" t="s">
        <v>914</v>
      </c>
      <c r="O277" s="8" t="s">
        <v>0</v>
      </c>
      <c r="P277" s="10" t="s">
        <v>0</v>
      </c>
    </row>
    <row r="278" spans="1:16" x14ac:dyDescent="0.25">
      <c r="A278" s="7" t="s">
        <v>915</v>
      </c>
      <c r="B278" s="8" t="s">
        <v>912</v>
      </c>
      <c r="C278" s="8" t="s">
        <v>43</v>
      </c>
      <c r="D278" s="8" t="s">
        <v>913</v>
      </c>
      <c r="E278" s="8" t="s">
        <v>0</v>
      </c>
      <c r="F278" s="8" t="s">
        <v>64</v>
      </c>
      <c r="G278" s="8" t="s">
        <v>674</v>
      </c>
      <c r="H278" s="9">
        <v>23.1</v>
      </c>
      <c r="I278" s="9">
        <v>114.27</v>
      </c>
      <c r="J278" s="8" t="s">
        <v>299</v>
      </c>
      <c r="K278" s="8" t="s">
        <v>87</v>
      </c>
      <c r="L278" s="8" t="s">
        <v>16</v>
      </c>
      <c r="M278" s="8" t="s">
        <v>17</v>
      </c>
      <c r="N278" s="8" t="s">
        <v>916</v>
      </c>
      <c r="O278" s="8" t="s">
        <v>0</v>
      </c>
      <c r="P278" s="10" t="s">
        <v>0</v>
      </c>
    </row>
    <row r="279" spans="1:16" x14ac:dyDescent="0.25">
      <c r="A279" s="7" t="s">
        <v>917</v>
      </c>
      <c r="B279" s="8" t="s">
        <v>912</v>
      </c>
      <c r="C279" s="8" t="s">
        <v>43</v>
      </c>
      <c r="D279" s="8" t="s">
        <v>913</v>
      </c>
      <c r="E279" s="8" t="s">
        <v>0</v>
      </c>
      <c r="F279" s="8" t="s">
        <v>66</v>
      </c>
      <c r="G279" s="8" t="s">
        <v>674</v>
      </c>
      <c r="H279" s="9">
        <v>23.05</v>
      </c>
      <c r="I279" s="9">
        <v>114.25</v>
      </c>
      <c r="J279" s="8" t="s">
        <v>299</v>
      </c>
      <c r="K279" s="8" t="s">
        <v>87</v>
      </c>
      <c r="L279" s="8" t="s">
        <v>16</v>
      </c>
      <c r="M279" s="8" t="s">
        <v>17</v>
      </c>
      <c r="N279" s="8" t="s">
        <v>918</v>
      </c>
      <c r="O279" s="8" t="s">
        <v>0</v>
      </c>
      <c r="P279" s="10" t="s">
        <v>0</v>
      </c>
    </row>
    <row r="280" spans="1:16" x14ac:dyDescent="0.25">
      <c r="A280" s="7" t="s">
        <v>56</v>
      </c>
      <c r="B280" s="8" t="s">
        <v>57</v>
      </c>
      <c r="C280" s="8" t="s">
        <v>58</v>
      </c>
      <c r="D280" s="8" t="s">
        <v>59</v>
      </c>
      <c r="E280" s="8" t="s">
        <v>0</v>
      </c>
      <c r="F280" s="8" t="s">
        <v>60</v>
      </c>
      <c r="G280" s="8" t="s">
        <v>61</v>
      </c>
      <c r="H280" s="9">
        <v>10.039999999999999</v>
      </c>
      <c r="I280" s="9">
        <v>76.400000000000006</v>
      </c>
      <c r="J280" s="8" t="s">
        <v>1088</v>
      </c>
      <c r="K280" s="8" t="s">
        <v>0</v>
      </c>
      <c r="L280" s="8" t="s">
        <v>16</v>
      </c>
      <c r="M280" s="8" t="s">
        <v>17</v>
      </c>
      <c r="N280" s="8">
        <v>21.27</v>
      </c>
      <c r="O280" s="8" t="s">
        <v>0</v>
      </c>
      <c r="P280" s="10" t="s">
        <v>1181</v>
      </c>
    </row>
    <row r="281" spans="1:16" x14ac:dyDescent="0.25">
      <c r="A281" s="7" t="s">
        <v>63</v>
      </c>
      <c r="B281" s="8" t="s">
        <v>57</v>
      </c>
      <c r="C281" s="8" t="s">
        <v>58</v>
      </c>
      <c r="D281" s="8" t="s">
        <v>59</v>
      </c>
      <c r="E281" s="8" t="s">
        <v>0</v>
      </c>
      <c r="F281" s="8" t="s">
        <v>64</v>
      </c>
      <c r="G281" s="8" t="s">
        <v>61</v>
      </c>
      <c r="H281" s="9">
        <v>9.99</v>
      </c>
      <c r="I281" s="9">
        <v>76.36</v>
      </c>
      <c r="J281" s="8" t="s">
        <v>1088</v>
      </c>
      <c r="K281" s="8" t="s">
        <v>0</v>
      </c>
      <c r="L281" s="8" t="s">
        <v>16</v>
      </c>
      <c r="M281" s="8" t="s">
        <v>17</v>
      </c>
      <c r="N281" s="8">
        <v>21.27</v>
      </c>
      <c r="O281" s="8" t="s">
        <v>0</v>
      </c>
      <c r="P281" s="10" t="s">
        <v>1181</v>
      </c>
    </row>
    <row r="282" spans="1:16" x14ac:dyDescent="0.25">
      <c r="A282" s="7" t="s">
        <v>65</v>
      </c>
      <c r="B282" s="8" t="s">
        <v>57</v>
      </c>
      <c r="C282" s="8" t="s">
        <v>58</v>
      </c>
      <c r="D282" s="8" t="s">
        <v>59</v>
      </c>
      <c r="E282" s="8" t="s">
        <v>0</v>
      </c>
      <c r="F282" s="8" t="s">
        <v>66</v>
      </c>
      <c r="G282" s="8" t="s">
        <v>61</v>
      </c>
      <c r="H282" s="9">
        <v>9.9600000000000009</v>
      </c>
      <c r="I282" s="9">
        <v>76.36</v>
      </c>
      <c r="J282" s="8" t="s">
        <v>1088</v>
      </c>
      <c r="K282" s="8" t="s">
        <v>0</v>
      </c>
      <c r="L282" s="8" t="s">
        <v>16</v>
      </c>
      <c r="M282" s="8" t="s">
        <v>17</v>
      </c>
      <c r="N282" s="8">
        <v>21.27</v>
      </c>
      <c r="O282" s="8" t="s">
        <v>0</v>
      </c>
      <c r="P282" s="10" t="s">
        <v>1181</v>
      </c>
    </row>
    <row r="283" spans="1:16" x14ac:dyDescent="0.25">
      <c r="A283" s="7" t="s">
        <v>919</v>
      </c>
      <c r="B283" s="8" t="s">
        <v>920</v>
      </c>
      <c r="C283" s="8" t="s">
        <v>683</v>
      </c>
      <c r="D283" s="8" t="s">
        <v>823</v>
      </c>
      <c r="E283" s="8" t="s">
        <v>0</v>
      </c>
      <c r="F283" s="8" t="s">
        <v>1147</v>
      </c>
      <c r="G283" s="8" t="s">
        <v>921</v>
      </c>
      <c r="H283" s="9">
        <v>0.37</v>
      </c>
      <c r="I283" s="9">
        <v>53.77</v>
      </c>
      <c r="J283" s="8" t="s">
        <v>299</v>
      </c>
      <c r="K283" s="8" t="s">
        <v>87</v>
      </c>
      <c r="L283" s="8" t="s">
        <v>16</v>
      </c>
      <c r="M283" s="8" t="s">
        <v>17</v>
      </c>
      <c r="N283" s="8">
        <v>603</v>
      </c>
      <c r="O283" s="8" t="s">
        <v>0</v>
      </c>
      <c r="P283" s="10" t="s">
        <v>1039</v>
      </c>
    </row>
    <row r="284" spans="1:16" x14ac:dyDescent="0.25">
      <c r="A284" s="7" t="s">
        <v>922</v>
      </c>
      <c r="B284" s="8" t="s">
        <v>920</v>
      </c>
      <c r="C284" s="8" t="s">
        <v>683</v>
      </c>
      <c r="D284" s="8" t="s">
        <v>823</v>
      </c>
      <c r="E284" s="8" t="s">
        <v>0</v>
      </c>
      <c r="F284" s="8" t="s">
        <v>1148</v>
      </c>
      <c r="G284" s="8" t="s">
        <v>921</v>
      </c>
      <c r="H284" s="9">
        <v>0.37</v>
      </c>
      <c r="I284" s="9">
        <v>53.77</v>
      </c>
      <c r="J284" s="8" t="s">
        <v>299</v>
      </c>
      <c r="K284" s="8" t="s">
        <v>87</v>
      </c>
      <c r="L284" s="8" t="s">
        <v>16</v>
      </c>
      <c r="M284" s="8" t="s">
        <v>17</v>
      </c>
      <c r="N284" s="8">
        <v>3617</v>
      </c>
      <c r="O284" s="8" t="s">
        <v>0</v>
      </c>
      <c r="P284" s="10" t="s">
        <v>1039</v>
      </c>
    </row>
    <row r="285" spans="1:16" x14ac:dyDescent="0.25">
      <c r="A285" s="7" t="s">
        <v>923</v>
      </c>
      <c r="B285" s="8" t="s">
        <v>920</v>
      </c>
      <c r="C285" s="8" t="s">
        <v>683</v>
      </c>
      <c r="D285" s="8" t="s">
        <v>823</v>
      </c>
      <c r="E285" s="8" t="s">
        <v>0</v>
      </c>
      <c r="F285" s="8" t="s">
        <v>1124</v>
      </c>
      <c r="G285" s="8" t="s">
        <v>921</v>
      </c>
      <c r="H285" s="9">
        <v>0.37</v>
      </c>
      <c r="I285" s="9">
        <v>53.77</v>
      </c>
      <c r="J285" s="8" t="s">
        <v>299</v>
      </c>
      <c r="K285" s="8" t="s">
        <v>87</v>
      </c>
      <c r="L285" s="8" t="s">
        <v>16</v>
      </c>
      <c r="M285" s="8" t="s">
        <v>17</v>
      </c>
      <c r="N285" s="8">
        <v>1746</v>
      </c>
      <c r="O285" s="8" t="s">
        <v>0</v>
      </c>
      <c r="P285" s="10" t="s">
        <v>1039</v>
      </c>
    </row>
    <row r="286" spans="1:16" x14ac:dyDescent="0.25">
      <c r="A286" s="7" t="s">
        <v>924</v>
      </c>
      <c r="B286" s="8" t="s">
        <v>920</v>
      </c>
      <c r="C286" s="8" t="s">
        <v>683</v>
      </c>
      <c r="D286" s="8" t="s">
        <v>823</v>
      </c>
      <c r="E286" s="8" t="s">
        <v>0</v>
      </c>
      <c r="F286" s="8" t="s">
        <v>1149</v>
      </c>
      <c r="G286" s="8" t="s">
        <v>921</v>
      </c>
      <c r="H286" s="9">
        <v>0.37</v>
      </c>
      <c r="I286" s="9">
        <v>53.77</v>
      </c>
      <c r="J286" s="8" t="s">
        <v>299</v>
      </c>
      <c r="K286" s="8" t="s">
        <v>87</v>
      </c>
      <c r="L286" s="8" t="s">
        <v>16</v>
      </c>
      <c r="M286" s="8" t="s">
        <v>17</v>
      </c>
      <c r="N286" s="8">
        <v>1012</v>
      </c>
      <c r="O286" s="8" t="s">
        <v>0</v>
      </c>
      <c r="P286" s="10" t="s">
        <v>1039</v>
      </c>
    </row>
    <row r="287" spans="1:16" x14ac:dyDescent="0.25">
      <c r="A287" s="7" t="s">
        <v>925</v>
      </c>
      <c r="B287" s="8" t="s">
        <v>920</v>
      </c>
      <c r="C287" s="8" t="s">
        <v>683</v>
      </c>
      <c r="D287" s="8" t="s">
        <v>823</v>
      </c>
      <c r="E287" s="8" t="s">
        <v>0</v>
      </c>
      <c r="F287" s="8" t="s">
        <v>481</v>
      </c>
      <c r="G287" s="8" t="s">
        <v>921</v>
      </c>
      <c r="H287" s="9">
        <v>0.37</v>
      </c>
      <c r="I287" s="9">
        <v>53.77</v>
      </c>
      <c r="J287" s="8" t="s">
        <v>299</v>
      </c>
      <c r="K287" s="8" t="s">
        <v>87</v>
      </c>
      <c r="L287" s="8" t="s">
        <v>16</v>
      </c>
      <c r="M287" s="8" t="s">
        <v>17</v>
      </c>
      <c r="N287" s="8">
        <v>522</v>
      </c>
      <c r="O287" s="8" t="s">
        <v>0</v>
      </c>
      <c r="P287" s="10" t="s">
        <v>1039</v>
      </c>
    </row>
    <row r="288" spans="1:16" x14ac:dyDescent="0.25">
      <c r="A288" s="7" t="s">
        <v>926</v>
      </c>
      <c r="B288" s="8" t="s">
        <v>927</v>
      </c>
      <c r="C288" s="8" t="s">
        <v>43</v>
      </c>
      <c r="D288" s="8" t="s">
        <v>314</v>
      </c>
      <c r="E288" s="8" t="s">
        <v>0</v>
      </c>
      <c r="F288" s="8" t="s">
        <v>1122</v>
      </c>
      <c r="G288" s="8" t="s">
        <v>19</v>
      </c>
      <c r="H288" s="9">
        <v>39.97</v>
      </c>
      <c r="I288" s="9">
        <v>115.43</v>
      </c>
      <c r="J288" s="8" t="s">
        <v>299</v>
      </c>
      <c r="K288" s="8" t="s">
        <v>87</v>
      </c>
      <c r="L288" s="8" t="s">
        <v>16</v>
      </c>
      <c r="M288" s="8" t="s">
        <v>17</v>
      </c>
      <c r="N288" s="8" t="s">
        <v>928</v>
      </c>
      <c r="O288" s="8" t="s">
        <v>0</v>
      </c>
      <c r="P288" s="10" t="s">
        <v>1033</v>
      </c>
    </row>
    <row r="289" spans="1:16" x14ac:dyDescent="0.25">
      <c r="A289" s="7" t="s">
        <v>929</v>
      </c>
      <c r="B289" s="8" t="s">
        <v>927</v>
      </c>
      <c r="C289" s="8" t="s">
        <v>43</v>
      </c>
      <c r="D289" s="8" t="s">
        <v>314</v>
      </c>
      <c r="E289" s="8" t="s">
        <v>0</v>
      </c>
      <c r="F289" s="8" t="s">
        <v>1150</v>
      </c>
      <c r="G289" s="8" t="s">
        <v>19</v>
      </c>
      <c r="H289" s="9">
        <v>40.18</v>
      </c>
      <c r="I289" s="9">
        <v>116.43</v>
      </c>
      <c r="J289" s="8" t="s">
        <v>299</v>
      </c>
      <c r="K289" s="8" t="s">
        <v>87</v>
      </c>
      <c r="L289" s="8" t="s">
        <v>16</v>
      </c>
      <c r="M289" s="8" t="s">
        <v>17</v>
      </c>
      <c r="N289" s="8" t="s">
        <v>930</v>
      </c>
      <c r="O289" s="8" t="s">
        <v>0</v>
      </c>
      <c r="P289" s="10" t="s">
        <v>1033</v>
      </c>
    </row>
    <row r="290" spans="1:16" x14ac:dyDescent="0.25">
      <c r="A290" s="7" t="s">
        <v>931</v>
      </c>
      <c r="B290" s="8" t="s">
        <v>927</v>
      </c>
      <c r="C290" s="8" t="s">
        <v>43</v>
      </c>
      <c r="D290" s="8" t="s">
        <v>314</v>
      </c>
      <c r="E290" s="8" t="s">
        <v>0</v>
      </c>
      <c r="F290" s="8" t="s">
        <v>1116</v>
      </c>
      <c r="G290" s="8" t="s">
        <v>19</v>
      </c>
      <c r="H290" s="9">
        <v>40.020000000000003</v>
      </c>
      <c r="I290" s="9">
        <v>116.57</v>
      </c>
      <c r="J290" s="8" t="s">
        <v>299</v>
      </c>
      <c r="K290" s="8" t="s">
        <v>87</v>
      </c>
      <c r="L290" s="8" t="s">
        <v>16</v>
      </c>
      <c r="M290" s="8" t="s">
        <v>17</v>
      </c>
      <c r="N290" s="8" t="s">
        <v>932</v>
      </c>
      <c r="O290" s="8" t="s">
        <v>0</v>
      </c>
      <c r="P290" s="10" t="s">
        <v>1033</v>
      </c>
    </row>
    <row r="291" spans="1:16" x14ac:dyDescent="0.25">
      <c r="A291" s="7" t="s">
        <v>933</v>
      </c>
      <c r="B291" s="8" t="s">
        <v>934</v>
      </c>
      <c r="C291" s="8" t="s">
        <v>43</v>
      </c>
      <c r="D291" s="8" t="s">
        <v>693</v>
      </c>
      <c r="E291" s="8" t="s">
        <v>0</v>
      </c>
      <c r="F291" s="8" t="s">
        <v>0</v>
      </c>
      <c r="G291" s="8" t="s">
        <v>0</v>
      </c>
      <c r="H291" s="9">
        <v>22.43</v>
      </c>
      <c r="I291" s="9">
        <v>112.95</v>
      </c>
      <c r="J291" s="8" t="s">
        <v>1088</v>
      </c>
      <c r="K291" s="8" t="s">
        <v>87</v>
      </c>
      <c r="L291" s="8" t="s">
        <v>16</v>
      </c>
      <c r="M291" s="8" t="s">
        <v>30</v>
      </c>
      <c r="N291" s="8" t="s">
        <v>1089</v>
      </c>
      <c r="O291" s="8" t="s">
        <v>935</v>
      </c>
      <c r="P291" s="10" t="s">
        <v>1052</v>
      </c>
    </row>
    <row r="292" spans="1:16" x14ac:dyDescent="0.25">
      <c r="A292" s="7" t="s">
        <v>936</v>
      </c>
      <c r="B292" s="8" t="s">
        <v>937</v>
      </c>
      <c r="C292" s="8" t="s">
        <v>43</v>
      </c>
      <c r="D292" s="8" t="s">
        <v>314</v>
      </c>
      <c r="E292" s="8" t="s">
        <v>0</v>
      </c>
      <c r="F292" s="8" t="s">
        <v>1090</v>
      </c>
      <c r="G292" s="8" t="s">
        <v>938</v>
      </c>
      <c r="H292" s="9">
        <v>40</v>
      </c>
      <c r="I292" s="9">
        <v>116.32</v>
      </c>
      <c r="J292" s="8" t="s">
        <v>299</v>
      </c>
      <c r="K292" s="8" t="s">
        <v>87</v>
      </c>
      <c r="L292" s="8" t="s">
        <v>16</v>
      </c>
      <c r="M292" s="8" t="s">
        <v>17</v>
      </c>
      <c r="N292" s="8" t="s">
        <v>1092</v>
      </c>
      <c r="O292" s="8" t="s">
        <v>0</v>
      </c>
      <c r="P292" s="10" t="s">
        <v>1052</v>
      </c>
    </row>
    <row r="293" spans="1:16" x14ac:dyDescent="0.25">
      <c r="A293" s="7" t="s">
        <v>939</v>
      </c>
      <c r="B293" s="8" t="s">
        <v>937</v>
      </c>
      <c r="C293" s="8" t="s">
        <v>43</v>
      </c>
      <c r="D293" s="8" t="s">
        <v>314</v>
      </c>
      <c r="E293" s="8" t="s">
        <v>0</v>
      </c>
      <c r="F293" s="8" t="s">
        <v>1087</v>
      </c>
      <c r="G293" s="8" t="s">
        <v>938</v>
      </c>
      <c r="H293" s="9">
        <v>40.17</v>
      </c>
      <c r="I293" s="9">
        <v>116.27</v>
      </c>
      <c r="J293" s="8" t="s">
        <v>299</v>
      </c>
      <c r="K293" s="8" t="s">
        <v>87</v>
      </c>
      <c r="L293" s="8" t="s">
        <v>16</v>
      </c>
      <c r="M293" s="8" t="s">
        <v>17</v>
      </c>
      <c r="N293" s="8" t="s">
        <v>1093</v>
      </c>
      <c r="O293" s="8" t="s">
        <v>0</v>
      </c>
      <c r="P293" s="10" t="s">
        <v>1052</v>
      </c>
    </row>
    <row r="294" spans="1:16" x14ac:dyDescent="0.25">
      <c r="A294" s="7" t="s">
        <v>940</v>
      </c>
      <c r="B294" s="8" t="s">
        <v>937</v>
      </c>
      <c r="C294" s="8" t="s">
        <v>43</v>
      </c>
      <c r="D294" s="8" t="s">
        <v>314</v>
      </c>
      <c r="E294" s="8" t="s">
        <v>0</v>
      </c>
      <c r="F294" s="8" t="s">
        <v>1091</v>
      </c>
      <c r="G294" s="8" t="s">
        <v>938</v>
      </c>
      <c r="H294" s="9">
        <v>39.96</v>
      </c>
      <c r="I294" s="9">
        <v>116.88</v>
      </c>
      <c r="J294" s="8" t="s">
        <v>299</v>
      </c>
      <c r="K294" s="8" t="s">
        <v>87</v>
      </c>
      <c r="L294" s="8" t="s">
        <v>16</v>
      </c>
      <c r="M294" s="8" t="s">
        <v>17</v>
      </c>
      <c r="N294" s="8" t="s">
        <v>1094</v>
      </c>
      <c r="O294" s="8" t="s">
        <v>0</v>
      </c>
      <c r="P294" s="10" t="s">
        <v>1052</v>
      </c>
    </row>
    <row r="295" spans="1:16" x14ac:dyDescent="0.25">
      <c r="A295" s="7" t="s">
        <v>67</v>
      </c>
      <c r="B295" s="8" t="s">
        <v>68</v>
      </c>
      <c r="C295" s="8" t="s">
        <v>69</v>
      </c>
      <c r="D295" s="8" t="s">
        <v>0</v>
      </c>
      <c r="E295" s="8" t="s">
        <v>0</v>
      </c>
      <c r="F295" s="8" t="s">
        <v>1106</v>
      </c>
      <c r="G295" s="8" t="s">
        <v>29</v>
      </c>
      <c r="H295" s="9">
        <v>6.73</v>
      </c>
      <c r="I295" s="9">
        <v>79.900000000000006</v>
      </c>
      <c r="J295" s="8" t="s">
        <v>1088</v>
      </c>
      <c r="K295" s="8" t="s">
        <v>0</v>
      </c>
      <c r="L295" s="8" t="s">
        <v>16</v>
      </c>
      <c r="M295" s="8" t="s">
        <v>30</v>
      </c>
      <c r="N295" s="8" t="s">
        <v>0</v>
      </c>
      <c r="O295" s="8" t="s">
        <v>70</v>
      </c>
      <c r="P295" s="10" t="s">
        <v>1031</v>
      </c>
    </row>
    <row r="296" spans="1:16" x14ac:dyDescent="0.25">
      <c r="A296" s="7" t="s">
        <v>72</v>
      </c>
      <c r="B296" s="8" t="s">
        <v>68</v>
      </c>
      <c r="C296" s="8" t="s">
        <v>69</v>
      </c>
      <c r="D296" s="8" t="s">
        <v>0</v>
      </c>
      <c r="E296" s="8" t="s">
        <v>0</v>
      </c>
      <c r="F296" s="8" t="s">
        <v>1105</v>
      </c>
      <c r="G296" s="8" t="s">
        <v>29</v>
      </c>
      <c r="H296" s="9">
        <v>6.67</v>
      </c>
      <c r="I296" s="9">
        <v>79.92</v>
      </c>
      <c r="J296" s="8" t="s">
        <v>1088</v>
      </c>
      <c r="K296" s="8" t="s">
        <v>0</v>
      </c>
      <c r="L296" s="8" t="s">
        <v>16</v>
      </c>
      <c r="M296" s="8" t="s">
        <v>30</v>
      </c>
      <c r="N296" s="8" t="s">
        <v>0</v>
      </c>
      <c r="O296" s="8" t="s">
        <v>73</v>
      </c>
      <c r="P296" s="10" t="s">
        <v>1031</v>
      </c>
    </row>
    <row r="297" spans="1:16" x14ac:dyDescent="0.25">
      <c r="A297" s="7" t="s">
        <v>302</v>
      </c>
      <c r="B297" s="8" t="s">
        <v>68</v>
      </c>
      <c r="C297" s="8" t="s">
        <v>69</v>
      </c>
      <c r="D297" s="8" t="s">
        <v>0</v>
      </c>
      <c r="E297" s="8" t="s">
        <v>0</v>
      </c>
      <c r="F297" s="8" t="s">
        <v>1101</v>
      </c>
      <c r="G297" s="8" t="s">
        <v>29</v>
      </c>
      <c r="H297" s="9">
        <v>6.95</v>
      </c>
      <c r="I297" s="9">
        <v>80.010000000000005</v>
      </c>
      <c r="J297" s="8" t="s">
        <v>299</v>
      </c>
      <c r="K297" s="8" t="s">
        <v>300</v>
      </c>
      <c r="L297" s="8" t="s">
        <v>16</v>
      </c>
      <c r="M297" s="8" t="s">
        <v>30</v>
      </c>
      <c r="N297" s="8" t="s">
        <v>0</v>
      </c>
      <c r="O297" s="8" t="s">
        <v>303</v>
      </c>
      <c r="P297" s="10" t="s">
        <v>1031</v>
      </c>
    </row>
    <row r="298" spans="1:16" x14ac:dyDescent="0.25">
      <c r="A298" s="7" t="s">
        <v>304</v>
      </c>
      <c r="B298" s="8" t="s">
        <v>68</v>
      </c>
      <c r="C298" s="8" t="s">
        <v>69</v>
      </c>
      <c r="D298" s="8" t="s">
        <v>0</v>
      </c>
      <c r="E298" s="8" t="s">
        <v>0</v>
      </c>
      <c r="F298" s="8" t="s">
        <v>1102</v>
      </c>
      <c r="G298" s="8" t="s">
        <v>29</v>
      </c>
      <c r="H298" s="9">
        <v>7.27</v>
      </c>
      <c r="I298" s="9">
        <v>80.22</v>
      </c>
      <c r="J298" s="8" t="s">
        <v>299</v>
      </c>
      <c r="K298" s="8" t="s">
        <v>300</v>
      </c>
      <c r="L298" s="8" t="s">
        <v>16</v>
      </c>
      <c r="M298" s="8" t="s">
        <v>30</v>
      </c>
      <c r="N298" s="8" t="s">
        <v>0</v>
      </c>
      <c r="O298" s="8" t="s">
        <v>305</v>
      </c>
      <c r="P298" s="10" t="s">
        <v>1031</v>
      </c>
    </row>
    <row r="299" spans="1:16" x14ac:dyDescent="0.25">
      <c r="A299" s="7" t="s">
        <v>306</v>
      </c>
      <c r="B299" s="8" t="s">
        <v>68</v>
      </c>
      <c r="C299" s="8" t="s">
        <v>69</v>
      </c>
      <c r="D299" s="8" t="s">
        <v>0</v>
      </c>
      <c r="E299" s="8" t="s">
        <v>0</v>
      </c>
      <c r="F299" s="8" t="s">
        <v>1103</v>
      </c>
      <c r="G299" s="8" t="s">
        <v>29</v>
      </c>
      <c r="H299" s="9">
        <v>7.27</v>
      </c>
      <c r="I299" s="9">
        <v>80.61</v>
      </c>
      <c r="J299" s="8" t="s">
        <v>299</v>
      </c>
      <c r="K299" s="8" t="s">
        <v>307</v>
      </c>
      <c r="L299" s="8" t="s">
        <v>16</v>
      </c>
      <c r="M299" s="8" t="s">
        <v>30</v>
      </c>
      <c r="N299" s="8" t="s">
        <v>0</v>
      </c>
      <c r="O299" s="8" t="s">
        <v>308</v>
      </c>
      <c r="P299" s="10" t="s">
        <v>1031</v>
      </c>
    </row>
    <row r="300" spans="1:16" x14ac:dyDescent="0.25">
      <c r="A300" s="7" t="s">
        <v>309</v>
      </c>
      <c r="B300" s="8" t="s">
        <v>68</v>
      </c>
      <c r="C300" s="8" t="s">
        <v>69</v>
      </c>
      <c r="D300" s="8" t="s">
        <v>0</v>
      </c>
      <c r="E300" s="8" t="s">
        <v>0</v>
      </c>
      <c r="F300" s="8" t="s">
        <v>1104</v>
      </c>
      <c r="G300" s="8" t="s">
        <v>29</v>
      </c>
      <c r="H300" s="9">
        <v>7.3</v>
      </c>
      <c r="I300" s="9">
        <v>80.239999999999995</v>
      </c>
      <c r="J300" s="8" t="s">
        <v>310</v>
      </c>
      <c r="K300" s="8" t="s">
        <v>307</v>
      </c>
      <c r="L300" s="8" t="s">
        <v>16</v>
      </c>
      <c r="M300" s="8" t="s">
        <v>30</v>
      </c>
      <c r="N300" s="8" t="s">
        <v>0</v>
      </c>
      <c r="O300" s="8" t="s">
        <v>311</v>
      </c>
      <c r="P300" s="10" t="s">
        <v>1031</v>
      </c>
    </row>
    <row r="301" spans="1:16" x14ac:dyDescent="0.25">
      <c r="A301" s="7" t="s">
        <v>330</v>
      </c>
      <c r="B301" s="8" t="s">
        <v>68</v>
      </c>
      <c r="C301" s="8" t="s">
        <v>69</v>
      </c>
      <c r="D301" s="8" t="s">
        <v>0</v>
      </c>
      <c r="E301" s="8" t="s">
        <v>0</v>
      </c>
      <c r="F301" s="8" t="s">
        <v>1100</v>
      </c>
      <c r="G301" s="8" t="s">
        <v>29</v>
      </c>
      <c r="H301" s="9">
        <v>6.88</v>
      </c>
      <c r="I301" s="9">
        <v>79.91</v>
      </c>
      <c r="J301" s="8" t="s">
        <v>299</v>
      </c>
      <c r="K301" s="8" t="s">
        <v>332</v>
      </c>
      <c r="L301" s="8" t="s">
        <v>16</v>
      </c>
      <c r="M301" s="8" t="s">
        <v>30</v>
      </c>
      <c r="N301" s="8" t="s">
        <v>0</v>
      </c>
      <c r="O301" s="8" t="s">
        <v>333</v>
      </c>
      <c r="P301" s="10" t="s">
        <v>1031</v>
      </c>
    </row>
    <row r="302" spans="1:16" x14ac:dyDescent="0.25">
      <c r="A302" s="7" t="s">
        <v>334</v>
      </c>
      <c r="B302" s="8" t="s">
        <v>68</v>
      </c>
      <c r="C302" s="8" t="s">
        <v>69</v>
      </c>
      <c r="D302" s="8" t="s">
        <v>0</v>
      </c>
      <c r="E302" s="8" t="s">
        <v>0</v>
      </c>
      <c r="F302" s="8" t="s">
        <v>1099</v>
      </c>
      <c r="G302" s="8" t="s">
        <v>29</v>
      </c>
      <c r="H302" s="9">
        <v>8.4</v>
      </c>
      <c r="I302" s="9">
        <v>79.989999999999995</v>
      </c>
      <c r="J302" s="8" t="s">
        <v>299</v>
      </c>
      <c r="K302" s="8" t="s">
        <v>332</v>
      </c>
      <c r="L302" s="8" t="s">
        <v>16</v>
      </c>
      <c r="M302" s="8" t="s">
        <v>30</v>
      </c>
      <c r="N302" s="8" t="s">
        <v>0</v>
      </c>
      <c r="O302" s="8" t="s">
        <v>73</v>
      </c>
      <c r="P302" s="10" t="s">
        <v>1031</v>
      </c>
    </row>
    <row r="303" spans="1:16" x14ac:dyDescent="0.25">
      <c r="A303" s="7" t="s">
        <v>422</v>
      </c>
      <c r="B303" s="8" t="s">
        <v>68</v>
      </c>
      <c r="C303" s="8" t="s">
        <v>69</v>
      </c>
      <c r="D303" s="8" t="s">
        <v>0</v>
      </c>
      <c r="E303" s="8" t="s">
        <v>0</v>
      </c>
      <c r="F303" s="8" t="s">
        <v>1098</v>
      </c>
      <c r="G303" s="8" t="s">
        <v>29</v>
      </c>
      <c r="H303" s="9">
        <v>6.95</v>
      </c>
      <c r="I303" s="9">
        <v>79.91</v>
      </c>
      <c r="J303" s="8" t="s">
        <v>299</v>
      </c>
      <c r="K303" s="8" t="s">
        <v>332</v>
      </c>
      <c r="L303" s="8" t="s">
        <v>16</v>
      </c>
      <c r="M303" s="8" t="s">
        <v>30</v>
      </c>
      <c r="N303" s="8" t="s">
        <v>0</v>
      </c>
      <c r="O303" s="8" t="s">
        <v>423</v>
      </c>
      <c r="P303" s="10" t="s">
        <v>1031</v>
      </c>
    </row>
    <row r="304" spans="1:16" x14ac:dyDescent="0.25">
      <c r="A304" s="7" t="s">
        <v>424</v>
      </c>
      <c r="B304" s="8" t="s">
        <v>68</v>
      </c>
      <c r="C304" s="8" t="s">
        <v>69</v>
      </c>
      <c r="D304" s="8" t="s">
        <v>0</v>
      </c>
      <c r="E304" s="8" t="s">
        <v>0</v>
      </c>
      <c r="F304" s="8" t="s">
        <v>1097</v>
      </c>
      <c r="G304" s="8" t="s">
        <v>29</v>
      </c>
      <c r="H304" s="9">
        <v>7.3</v>
      </c>
      <c r="I304" s="9">
        <v>80.239999999999995</v>
      </c>
      <c r="J304" s="8" t="s">
        <v>299</v>
      </c>
      <c r="K304" s="8" t="s">
        <v>332</v>
      </c>
      <c r="L304" s="8" t="s">
        <v>16</v>
      </c>
      <c r="M304" s="8" t="s">
        <v>30</v>
      </c>
      <c r="N304" s="8" t="s">
        <v>0</v>
      </c>
      <c r="O304" s="8" t="s">
        <v>311</v>
      </c>
      <c r="P304" s="10" t="s">
        <v>1031</v>
      </c>
    </row>
    <row r="305" spans="1:16" x14ac:dyDescent="0.25">
      <c r="A305" s="7" t="s">
        <v>486</v>
      </c>
      <c r="B305" s="8" t="s">
        <v>68</v>
      </c>
      <c r="C305" s="8" t="s">
        <v>69</v>
      </c>
      <c r="D305" s="8" t="s">
        <v>1154</v>
      </c>
      <c r="E305" s="8" t="s">
        <v>0</v>
      </c>
      <c r="F305" s="8" t="s">
        <v>1096</v>
      </c>
      <c r="G305" s="8" t="s">
        <v>29</v>
      </c>
      <c r="H305" s="9">
        <v>6.73</v>
      </c>
      <c r="I305" s="9">
        <v>80.05</v>
      </c>
      <c r="J305" s="8" t="s">
        <v>299</v>
      </c>
      <c r="K305" s="8" t="s">
        <v>478</v>
      </c>
      <c r="L305" s="8" t="s">
        <v>16</v>
      </c>
      <c r="M305" s="8" t="s">
        <v>30</v>
      </c>
      <c r="N305" s="8" t="s">
        <v>0</v>
      </c>
      <c r="O305" s="8" t="s">
        <v>487</v>
      </c>
      <c r="P305" s="10" t="s">
        <v>1031</v>
      </c>
    </row>
    <row r="306" spans="1:16" x14ac:dyDescent="0.25">
      <c r="A306" s="7" t="s">
        <v>941</v>
      </c>
      <c r="B306" s="8" t="s">
        <v>68</v>
      </c>
      <c r="C306" s="8" t="s">
        <v>69</v>
      </c>
      <c r="D306" s="8" t="s">
        <v>1155</v>
      </c>
      <c r="E306" s="8" t="s">
        <v>0</v>
      </c>
      <c r="F306" s="8" t="s">
        <v>1095</v>
      </c>
      <c r="G306" s="8" t="s">
        <v>29</v>
      </c>
      <c r="H306" s="9">
        <v>6.9</v>
      </c>
      <c r="I306" s="9">
        <v>79.86</v>
      </c>
      <c r="J306" s="8" t="s">
        <v>299</v>
      </c>
      <c r="K306" s="8" t="s">
        <v>87</v>
      </c>
      <c r="L306" s="8" t="s">
        <v>16</v>
      </c>
      <c r="M306" s="8" t="s">
        <v>30</v>
      </c>
      <c r="N306" s="8" t="s">
        <v>0</v>
      </c>
      <c r="O306" s="8" t="s">
        <v>942</v>
      </c>
      <c r="P306" s="10" t="s">
        <v>1031</v>
      </c>
    </row>
    <row r="307" spans="1:16" x14ac:dyDescent="0.25">
      <c r="A307" s="7" t="s">
        <v>943</v>
      </c>
      <c r="B307" s="8" t="s">
        <v>944</v>
      </c>
      <c r="C307" s="8" t="s">
        <v>43</v>
      </c>
      <c r="D307" s="8" t="s">
        <v>476</v>
      </c>
      <c r="E307" s="8" t="s">
        <v>0</v>
      </c>
      <c r="F307" s="8" t="s">
        <v>945</v>
      </c>
      <c r="G307" s="8" t="s">
        <v>77</v>
      </c>
      <c r="H307" s="9">
        <v>45.61</v>
      </c>
      <c r="I307" s="9">
        <v>126.39</v>
      </c>
      <c r="J307" s="8" t="s">
        <v>299</v>
      </c>
      <c r="K307" s="8" t="s">
        <v>87</v>
      </c>
      <c r="L307" s="8" t="s">
        <v>16</v>
      </c>
      <c r="M307" s="8" t="s">
        <v>30</v>
      </c>
      <c r="N307" s="8" t="s">
        <v>0</v>
      </c>
      <c r="O307" s="8" t="s">
        <v>946</v>
      </c>
      <c r="P307" s="10" t="s">
        <v>1042</v>
      </c>
    </row>
    <row r="308" spans="1:16" x14ac:dyDescent="0.25">
      <c r="A308" s="7" t="s">
        <v>947</v>
      </c>
      <c r="B308" s="8" t="s">
        <v>944</v>
      </c>
      <c r="C308" s="8" t="s">
        <v>43</v>
      </c>
      <c r="D308" s="8" t="s">
        <v>476</v>
      </c>
      <c r="E308" s="8" t="s">
        <v>0</v>
      </c>
      <c r="F308" s="8" t="s">
        <v>945</v>
      </c>
      <c r="G308" s="8" t="s">
        <v>77</v>
      </c>
      <c r="H308" s="9">
        <v>45.66</v>
      </c>
      <c r="I308" s="9">
        <v>126.34</v>
      </c>
      <c r="J308" s="8" t="s">
        <v>299</v>
      </c>
      <c r="K308" s="8" t="s">
        <v>87</v>
      </c>
      <c r="L308" s="8" t="s">
        <v>16</v>
      </c>
      <c r="M308" s="8" t="s">
        <v>30</v>
      </c>
      <c r="N308" s="8" t="s">
        <v>0</v>
      </c>
      <c r="O308" s="8" t="s">
        <v>0</v>
      </c>
      <c r="P308" s="10" t="s">
        <v>1042</v>
      </c>
    </row>
    <row r="309" spans="1:16" x14ac:dyDescent="0.25">
      <c r="A309" s="7" t="s">
        <v>948</v>
      </c>
      <c r="B309" s="8" t="s">
        <v>944</v>
      </c>
      <c r="C309" s="8" t="s">
        <v>43</v>
      </c>
      <c r="D309" s="8" t="s">
        <v>476</v>
      </c>
      <c r="E309" s="8" t="s">
        <v>0</v>
      </c>
      <c r="F309" s="8" t="s">
        <v>945</v>
      </c>
      <c r="G309" s="8" t="s">
        <v>77</v>
      </c>
      <c r="H309" s="9">
        <v>45.6</v>
      </c>
      <c r="I309" s="9">
        <v>126.25</v>
      </c>
      <c r="J309" s="8" t="s">
        <v>299</v>
      </c>
      <c r="K309" s="8" t="s">
        <v>87</v>
      </c>
      <c r="L309" s="8" t="s">
        <v>16</v>
      </c>
      <c r="M309" s="8" t="s">
        <v>30</v>
      </c>
      <c r="N309" s="8" t="s">
        <v>0</v>
      </c>
      <c r="O309" s="8" t="s">
        <v>0</v>
      </c>
      <c r="P309" s="10" t="s">
        <v>1042</v>
      </c>
    </row>
    <row r="310" spans="1:16" x14ac:dyDescent="0.25">
      <c r="A310" s="7" t="s">
        <v>949</v>
      </c>
      <c r="B310" s="8" t="s">
        <v>944</v>
      </c>
      <c r="C310" s="8" t="s">
        <v>43</v>
      </c>
      <c r="D310" s="8" t="s">
        <v>476</v>
      </c>
      <c r="E310" s="8" t="s">
        <v>0</v>
      </c>
      <c r="F310" s="8" t="s">
        <v>945</v>
      </c>
      <c r="G310" s="8" t="s">
        <v>77</v>
      </c>
      <c r="H310" s="9">
        <v>45.69</v>
      </c>
      <c r="I310" s="9">
        <v>126.36</v>
      </c>
      <c r="J310" s="8" t="s">
        <v>299</v>
      </c>
      <c r="K310" s="8" t="s">
        <v>87</v>
      </c>
      <c r="L310" s="8" t="s">
        <v>16</v>
      </c>
      <c r="M310" s="8" t="s">
        <v>30</v>
      </c>
      <c r="N310" s="8" t="s">
        <v>0</v>
      </c>
      <c r="O310" s="8" t="s">
        <v>0</v>
      </c>
      <c r="P310" s="10" t="s">
        <v>1042</v>
      </c>
    </row>
    <row r="311" spans="1:16" x14ac:dyDescent="0.25">
      <c r="A311" s="7" t="s">
        <v>950</v>
      </c>
      <c r="B311" s="8" t="s">
        <v>944</v>
      </c>
      <c r="C311" s="8" t="s">
        <v>43</v>
      </c>
      <c r="D311" s="8" t="s">
        <v>476</v>
      </c>
      <c r="E311" s="8" t="s">
        <v>0</v>
      </c>
      <c r="F311" s="8" t="s">
        <v>945</v>
      </c>
      <c r="G311" s="8" t="s">
        <v>77</v>
      </c>
      <c r="H311" s="9">
        <v>45.71</v>
      </c>
      <c r="I311" s="9">
        <v>126.54</v>
      </c>
      <c r="J311" s="8" t="s">
        <v>299</v>
      </c>
      <c r="K311" s="8" t="s">
        <v>87</v>
      </c>
      <c r="L311" s="8" t="s">
        <v>16</v>
      </c>
      <c r="M311" s="8" t="s">
        <v>30</v>
      </c>
      <c r="N311" s="8" t="s">
        <v>0</v>
      </c>
      <c r="O311" s="8" t="s">
        <v>0</v>
      </c>
      <c r="P311" s="10" t="s">
        <v>1042</v>
      </c>
    </row>
    <row r="312" spans="1:16" x14ac:dyDescent="0.25">
      <c r="A312" s="7" t="s">
        <v>951</v>
      </c>
      <c r="B312" s="8" t="s">
        <v>944</v>
      </c>
      <c r="C312" s="8" t="s">
        <v>43</v>
      </c>
      <c r="D312" s="8" t="s">
        <v>476</v>
      </c>
      <c r="E312" s="8" t="s">
        <v>0</v>
      </c>
      <c r="F312" s="8" t="s">
        <v>952</v>
      </c>
      <c r="G312" s="8" t="s">
        <v>77</v>
      </c>
      <c r="H312" s="9">
        <v>45.83</v>
      </c>
      <c r="I312" s="9">
        <v>126.96</v>
      </c>
      <c r="J312" s="8" t="s">
        <v>299</v>
      </c>
      <c r="K312" s="8" t="s">
        <v>87</v>
      </c>
      <c r="L312" s="8" t="s">
        <v>16</v>
      </c>
      <c r="M312" s="8" t="s">
        <v>30</v>
      </c>
      <c r="N312" s="8" t="s">
        <v>0</v>
      </c>
      <c r="O312" s="8" t="s">
        <v>953</v>
      </c>
      <c r="P312" s="10" t="s">
        <v>1042</v>
      </c>
    </row>
    <row r="313" spans="1:16" x14ac:dyDescent="0.25">
      <c r="A313" s="7" t="s">
        <v>954</v>
      </c>
      <c r="B313" s="8" t="s">
        <v>944</v>
      </c>
      <c r="C313" s="8" t="s">
        <v>43</v>
      </c>
      <c r="D313" s="8" t="s">
        <v>476</v>
      </c>
      <c r="E313" s="8" t="s">
        <v>0</v>
      </c>
      <c r="F313" s="8" t="s">
        <v>952</v>
      </c>
      <c r="G313" s="8" t="s">
        <v>77</v>
      </c>
      <c r="H313" s="9">
        <v>45.91</v>
      </c>
      <c r="I313" s="9">
        <v>126.93</v>
      </c>
      <c r="J313" s="8" t="s">
        <v>299</v>
      </c>
      <c r="K313" s="8" t="s">
        <v>87</v>
      </c>
      <c r="L313" s="8" t="s">
        <v>16</v>
      </c>
      <c r="M313" s="8" t="s">
        <v>30</v>
      </c>
      <c r="N313" s="8" t="s">
        <v>0</v>
      </c>
      <c r="O313" s="8" t="s">
        <v>0</v>
      </c>
      <c r="P313" s="10" t="s">
        <v>1042</v>
      </c>
    </row>
    <row r="314" spans="1:16" x14ac:dyDescent="0.25">
      <c r="A314" s="7" t="s">
        <v>955</v>
      </c>
      <c r="B314" s="8" t="s">
        <v>944</v>
      </c>
      <c r="C314" s="8" t="s">
        <v>43</v>
      </c>
      <c r="D314" s="8" t="s">
        <v>476</v>
      </c>
      <c r="E314" s="8" t="s">
        <v>0</v>
      </c>
      <c r="F314" s="8" t="s">
        <v>952</v>
      </c>
      <c r="G314" s="8" t="s">
        <v>77</v>
      </c>
      <c r="H314" s="9">
        <v>45.87</v>
      </c>
      <c r="I314" s="9">
        <v>126.71</v>
      </c>
      <c r="J314" s="8" t="s">
        <v>299</v>
      </c>
      <c r="K314" s="8" t="s">
        <v>87</v>
      </c>
      <c r="L314" s="8" t="s">
        <v>16</v>
      </c>
      <c r="M314" s="8" t="s">
        <v>30</v>
      </c>
      <c r="N314" s="8" t="s">
        <v>0</v>
      </c>
      <c r="O314" s="8" t="s">
        <v>0</v>
      </c>
      <c r="P314" s="10" t="s">
        <v>1042</v>
      </c>
    </row>
    <row r="315" spans="1:16" x14ac:dyDescent="0.25">
      <c r="A315" s="7" t="s">
        <v>956</v>
      </c>
      <c r="B315" s="8" t="s">
        <v>944</v>
      </c>
      <c r="C315" s="8" t="s">
        <v>43</v>
      </c>
      <c r="D315" s="8" t="s">
        <v>476</v>
      </c>
      <c r="E315" s="8" t="s">
        <v>0</v>
      </c>
      <c r="F315" s="8" t="s">
        <v>952</v>
      </c>
      <c r="G315" s="8" t="s">
        <v>77</v>
      </c>
      <c r="H315" s="9">
        <v>45.94</v>
      </c>
      <c r="I315" s="9">
        <v>126.88</v>
      </c>
      <c r="J315" s="8" t="s">
        <v>299</v>
      </c>
      <c r="K315" s="8" t="s">
        <v>87</v>
      </c>
      <c r="L315" s="8" t="s">
        <v>16</v>
      </c>
      <c r="M315" s="8" t="s">
        <v>30</v>
      </c>
      <c r="N315" s="8" t="s">
        <v>0</v>
      </c>
      <c r="O315" s="8" t="s">
        <v>0</v>
      </c>
      <c r="P315" s="10" t="s">
        <v>1042</v>
      </c>
    </row>
    <row r="316" spans="1:16" x14ac:dyDescent="0.25">
      <c r="A316" s="7" t="s">
        <v>957</v>
      </c>
      <c r="B316" s="8" t="s">
        <v>944</v>
      </c>
      <c r="C316" s="8" t="s">
        <v>43</v>
      </c>
      <c r="D316" s="8" t="s">
        <v>476</v>
      </c>
      <c r="E316" s="8" t="s">
        <v>0</v>
      </c>
      <c r="F316" s="8" t="s">
        <v>952</v>
      </c>
      <c r="G316" s="8" t="s">
        <v>77</v>
      </c>
      <c r="H316" s="9">
        <v>45.78</v>
      </c>
      <c r="I316" s="9">
        <v>126.7</v>
      </c>
      <c r="J316" s="8" t="s">
        <v>299</v>
      </c>
      <c r="K316" s="8" t="s">
        <v>87</v>
      </c>
      <c r="L316" s="8" t="s">
        <v>16</v>
      </c>
      <c r="M316" s="8" t="s">
        <v>30</v>
      </c>
      <c r="N316" s="8" t="s">
        <v>0</v>
      </c>
      <c r="O316" s="8" t="s">
        <v>0</v>
      </c>
      <c r="P316" s="10" t="s">
        <v>1042</v>
      </c>
    </row>
    <row r="317" spans="1:16" x14ac:dyDescent="0.25">
      <c r="A317" s="7" t="s">
        <v>958</v>
      </c>
      <c r="B317" s="8" t="s">
        <v>944</v>
      </c>
      <c r="C317" s="8" t="s">
        <v>43</v>
      </c>
      <c r="D317" s="8" t="s">
        <v>476</v>
      </c>
      <c r="E317" s="8" t="s">
        <v>0</v>
      </c>
      <c r="F317" s="8" t="s">
        <v>959</v>
      </c>
      <c r="G317" s="8" t="s">
        <v>77</v>
      </c>
      <c r="H317" s="9">
        <v>46.03</v>
      </c>
      <c r="I317" s="9">
        <v>126.24</v>
      </c>
      <c r="J317" s="8" t="s">
        <v>299</v>
      </c>
      <c r="K317" s="8" t="s">
        <v>87</v>
      </c>
      <c r="L317" s="8" t="s">
        <v>16</v>
      </c>
      <c r="M317" s="8" t="s">
        <v>30</v>
      </c>
      <c r="N317" s="8" t="s">
        <v>0</v>
      </c>
      <c r="O317" s="8" t="s">
        <v>960</v>
      </c>
      <c r="P317" s="10" t="s">
        <v>1042</v>
      </c>
    </row>
    <row r="318" spans="1:16" x14ac:dyDescent="0.25">
      <c r="A318" s="7" t="s">
        <v>961</v>
      </c>
      <c r="B318" s="8" t="s">
        <v>944</v>
      </c>
      <c r="C318" s="8" t="s">
        <v>43</v>
      </c>
      <c r="D318" s="8" t="s">
        <v>476</v>
      </c>
      <c r="E318" s="8" t="s">
        <v>0</v>
      </c>
      <c r="F318" s="8" t="s">
        <v>962</v>
      </c>
      <c r="G318" s="8" t="s">
        <v>77</v>
      </c>
      <c r="H318" s="9">
        <v>46.35</v>
      </c>
      <c r="I318" s="9">
        <v>126.7</v>
      </c>
      <c r="J318" s="8" t="s">
        <v>299</v>
      </c>
      <c r="K318" s="8" t="s">
        <v>87</v>
      </c>
      <c r="L318" s="8" t="s">
        <v>16</v>
      </c>
      <c r="M318" s="8" t="s">
        <v>30</v>
      </c>
      <c r="N318" s="8" t="s">
        <v>0</v>
      </c>
      <c r="O318" s="8" t="s">
        <v>963</v>
      </c>
      <c r="P318" s="10" t="s">
        <v>1042</v>
      </c>
    </row>
    <row r="319" spans="1:16" x14ac:dyDescent="0.25">
      <c r="A319" s="7" t="s">
        <v>964</v>
      </c>
      <c r="B319" s="8" t="s">
        <v>944</v>
      </c>
      <c r="C319" s="8" t="s">
        <v>43</v>
      </c>
      <c r="D319" s="8" t="s">
        <v>476</v>
      </c>
      <c r="E319" s="8" t="s">
        <v>0</v>
      </c>
      <c r="F319" s="8" t="s">
        <v>965</v>
      </c>
      <c r="G319" s="8" t="s">
        <v>77</v>
      </c>
      <c r="H319" s="9">
        <v>45.6</v>
      </c>
      <c r="I319" s="9">
        <v>126.56</v>
      </c>
      <c r="J319" s="8" t="s">
        <v>299</v>
      </c>
      <c r="K319" s="8" t="s">
        <v>87</v>
      </c>
      <c r="L319" s="8" t="s">
        <v>16</v>
      </c>
      <c r="M319" s="8" t="s">
        <v>30</v>
      </c>
      <c r="N319" s="8" t="s">
        <v>0</v>
      </c>
      <c r="O319" s="8" t="s">
        <v>966</v>
      </c>
      <c r="P319" s="10" t="s">
        <v>1042</v>
      </c>
    </row>
    <row r="320" spans="1:16" x14ac:dyDescent="0.25">
      <c r="A320" s="7" t="s">
        <v>967</v>
      </c>
      <c r="B320" s="8" t="s">
        <v>944</v>
      </c>
      <c r="C320" s="8" t="s">
        <v>43</v>
      </c>
      <c r="D320" s="8" t="s">
        <v>476</v>
      </c>
      <c r="E320" s="8" t="s">
        <v>0</v>
      </c>
      <c r="F320" s="8" t="s">
        <v>968</v>
      </c>
      <c r="G320" s="8" t="s">
        <v>77</v>
      </c>
      <c r="H320" s="9">
        <v>45.76</v>
      </c>
      <c r="I320" s="9">
        <v>126.9</v>
      </c>
      <c r="J320" s="8" t="s">
        <v>299</v>
      </c>
      <c r="K320" s="8" t="s">
        <v>87</v>
      </c>
      <c r="L320" s="8" t="s">
        <v>16</v>
      </c>
      <c r="M320" s="8" t="s">
        <v>30</v>
      </c>
      <c r="N320" s="8" t="s">
        <v>0</v>
      </c>
      <c r="O320" s="8" t="s">
        <v>969</v>
      </c>
      <c r="P320" s="10" t="s">
        <v>1042</v>
      </c>
    </row>
    <row r="321" spans="1:16" x14ac:dyDescent="0.25">
      <c r="A321" s="7" t="s">
        <v>970</v>
      </c>
      <c r="B321" s="8" t="s">
        <v>944</v>
      </c>
      <c r="C321" s="8" t="s">
        <v>43</v>
      </c>
      <c r="D321" s="8" t="s">
        <v>476</v>
      </c>
      <c r="E321" s="8" t="s">
        <v>0</v>
      </c>
      <c r="F321" s="8" t="s">
        <v>971</v>
      </c>
      <c r="G321" s="8" t="s">
        <v>77</v>
      </c>
      <c r="H321" s="9">
        <v>45.54</v>
      </c>
      <c r="I321" s="9">
        <v>126.6</v>
      </c>
      <c r="J321" s="8" t="s">
        <v>299</v>
      </c>
      <c r="K321" s="8" t="s">
        <v>87</v>
      </c>
      <c r="L321" s="8" t="s">
        <v>16</v>
      </c>
      <c r="M321" s="8" t="s">
        <v>30</v>
      </c>
      <c r="N321" s="8" t="s">
        <v>0</v>
      </c>
      <c r="O321" s="8" t="s">
        <v>972</v>
      </c>
      <c r="P321" s="10" t="s">
        <v>1042</v>
      </c>
    </row>
    <row r="322" spans="1:16" x14ac:dyDescent="0.25">
      <c r="A322" s="7" t="s">
        <v>973</v>
      </c>
      <c r="B322" s="8" t="s">
        <v>944</v>
      </c>
      <c r="C322" s="8" t="s">
        <v>43</v>
      </c>
      <c r="D322" s="8" t="s">
        <v>476</v>
      </c>
      <c r="E322" s="8" t="s">
        <v>0</v>
      </c>
      <c r="F322" s="8" t="s">
        <v>1107</v>
      </c>
      <c r="G322" s="8" t="s">
        <v>77</v>
      </c>
      <c r="H322" s="9">
        <v>45.55</v>
      </c>
      <c r="I322" s="9">
        <v>126.97</v>
      </c>
      <c r="J322" s="8" t="s">
        <v>299</v>
      </c>
      <c r="K322" s="8" t="s">
        <v>87</v>
      </c>
      <c r="L322" s="8" t="s">
        <v>16</v>
      </c>
      <c r="M322" s="8" t="s">
        <v>30</v>
      </c>
      <c r="N322" s="8" t="s">
        <v>0</v>
      </c>
      <c r="O322" s="8" t="s">
        <v>974</v>
      </c>
      <c r="P322" s="10" t="s">
        <v>1042</v>
      </c>
    </row>
    <row r="323" spans="1:16" x14ac:dyDescent="0.25">
      <c r="A323" s="7" t="s">
        <v>975</v>
      </c>
      <c r="B323" s="8" t="s">
        <v>976</v>
      </c>
      <c r="C323" s="8" t="s">
        <v>43</v>
      </c>
      <c r="D323" s="8" t="s">
        <v>448</v>
      </c>
      <c r="E323" s="8" t="s">
        <v>0</v>
      </c>
      <c r="F323" s="8" t="s">
        <v>1111</v>
      </c>
      <c r="G323" s="8" t="s">
        <v>977</v>
      </c>
      <c r="H323" s="9">
        <v>32.119999999999997</v>
      </c>
      <c r="I323" s="9">
        <v>118.96</v>
      </c>
      <c r="J323" s="8" t="s">
        <v>299</v>
      </c>
      <c r="K323" s="8" t="s">
        <v>87</v>
      </c>
      <c r="L323" s="8" t="s">
        <v>16</v>
      </c>
      <c r="M323" s="8" t="s">
        <v>1109</v>
      </c>
      <c r="N323" s="8" t="s">
        <v>1110</v>
      </c>
      <c r="O323" s="8" t="s">
        <v>1108</v>
      </c>
      <c r="P323" s="10" t="s">
        <v>1032</v>
      </c>
    </row>
    <row r="324" spans="1:16" x14ac:dyDescent="0.25">
      <c r="A324" s="7" t="s">
        <v>978</v>
      </c>
      <c r="B324" s="8" t="s">
        <v>979</v>
      </c>
      <c r="C324" s="8" t="s">
        <v>58</v>
      </c>
      <c r="D324" s="8" t="s">
        <v>980</v>
      </c>
      <c r="E324" s="8" t="s">
        <v>0</v>
      </c>
      <c r="F324" s="8" t="s">
        <v>0</v>
      </c>
      <c r="G324" s="8" t="s">
        <v>97</v>
      </c>
      <c r="H324" s="9">
        <v>23.42</v>
      </c>
      <c r="I324" s="9">
        <v>85.43</v>
      </c>
      <c r="J324" s="8" t="s">
        <v>299</v>
      </c>
      <c r="K324" s="8" t="s">
        <v>87</v>
      </c>
      <c r="L324" s="8" t="s">
        <v>16</v>
      </c>
      <c r="M324" s="8" t="s">
        <v>30</v>
      </c>
      <c r="N324" s="8" t="s">
        <v>1112</v>
      </c>
      <c r="O324" s="8" t="s">
        <v>0</v>
      </c>
      <c r="P324" s="10" t="s">
        <v>1113</v>
      </c>
    </row>
    <row r="325" spans="1:16" x14ac:dyDescent="0.25">
      <c r="A325" s="7" t="s">
        <v>114</v>
      </c>
      <c r="B325" s="8" t="s">
        <v>115</v>
      </c>
      <c r="C325" s="8" t="s">
        <v>58</v>
      </c>
      <c r="D325" s="8" t="s">
        <v>116</v>
      </c>
      <c r="E325" s="8" t="s">
        <v>0</v>
      </c>
      <c r="F325" s="8" t="s">
        <v>0</v>
      </c>
      <c r="G325" s="8" t="s">
        <v>117</v>
      </c>
      <c r="H325" s="9" t="s">
        <v>2389</v>
      </c>
      <c r="I325" s="9" t="s">
        <v>2390</v>
      </c>
      <c r="J325" s="8" t="s">
        <v>118</v>
      </c>
      <c r="K325" s="8" t="s">
        <v>119</v>
      </c>
      <c r="L325" s="8" t="s">
        <v>16</v>
      </c>
      <c r="M325" s="8" t="s">
        <v>17</v>
      </c>
      <c r="N325" s="8" t="s">
        <v>120</v>
      </c>
      <c r="O325" s="8" t="s">
        <v>0</v>
      </c>
      <c r="P325" s="10" t="s">
        <v>97</v>
      </c>
    </row>
    <row r="326" spans="1:16" x14ac:dyDescent="0.25">
      <c r="A326" s="7" t="s">
        <v>144</v>
      </c>
      <c r="B326" s="8" t="s">
        <v>145</v>
      </c>
      <c r="C326" s="8" t="s">
        <v>146</v>
      </c>
      <c r="D326" s="8" t="s">
        <v>147</v>
      </c>
      <c r="E326" s="8" t="s">
        <v>0</v>
      </c>
      <c r="F326" s="8" t="s">
        <v>0</v>
      </c>
      <c r="G326" s="8" t="s">
        <v>148</v>
      </c>
      <c r="H326" s="9">
        <v>28.29</v>
      </c>
      <c r="I326" s="9">
        <v>-16.149999999999999</v>
      </c>
      <c r="J326" s="8" t="s">
        <v>1152</v>
      </c>
      <c r="K326" s="8" t="s">
        <v>0</v>
      </c>
      <c r="L326" s="8" t="s">
        <v>16</v>
      </c>
      <c r="M326" s="8" t="s">
        <v>17</v>
      </c>
      <c r="N326" s="8">
        <v>10.775</v>
      </c>
      <c r="O326" s="8" t="s">
        <v>0</v>
      </c>
      <c r="P326" s="10" t="s">
        <v>1114</v>
      </c>
    </row>
    <row r="327" spans="1:16" x14ac:dyDescent="0.25">
      <c r="A327" s="7" t="s">
        <v>149</v>
      </c>
      <c r="B327" s="8" t="s">
        <v>145</v>
      </c>
      <c r="C327" s="8" t="s">
        <v>146</v>
      </c>
      <c r="D327" s="8" t="s">
        <v>150</v>
      </c>
      <c r="E327" s="8" t="s">
        <v>0</v>
      </c>
      <c r="F327" s="8" t="s">
        <v>0</v>
      </c>
      <c r="G327" s="8" t="s">
        <v>148</v>
      </c>
      <c r="H327" s="9">
        <v>28.28</v>
      </c>
      <c r="I327" s="9">
        <v>-15.46</v>
      </c>
      <c r="J327" s="8" t="s">
        <v>1152</v>
      </c>
      <c r="K327" s="8" t="s">
        <v>0</v>
      </c>
      <c r="L327" s="8" t="s">
        <v>16</v>
      </c>
      <c r="M327" s="8" t="s">
        <v>17</v>
      </c>
      <c r="N327" s="8">
        <v>18.649999999999999</v>
      </c>
      <c r="O327" s="8" t="s">
        <v>0</v>
      </c>
      <c r="P327" s="10" t="s">
        <v>1114</v>
      </c>
    </row>
    <row r="328" spans="1:16" x14ac:dyDescent="0.25">
      <c r="A328" s="7" t="s">
        <v>543</v>
      </c>
      <c r="B328" s="8" t="s">
        <v>145</v>
      </c>
      <c r="C328" s="8" t="s">
        <v>146</v>
      </c>
      <c r="D328" s="8" t="s">
        <v>544</v>
      </c>
      <c r="E328" s="8" t="s">
        <v>0</v>
      </c>
      <c r="F328" s="8" t="s">
        <v>0</v>
      </c>
      <c r="G328" s="8" t="s">
        <v>148</v>
      </c>
      <c r="H328" s="9">
        <v>42.19</v>
      </c>
      <c r="I328" s="9">
        <v>-8.82</v>
      </c>
      <c r="J328" s="8" t="s">
        <v>299</v>
      </c>
      <c r="K328" s="8" t="s">
        <v>87</v>
      </c>
      <c r="L328" s="8" t="s">
        <v>16</v>
      </c>
      <c r="M328" s="8" t="s">
        <v>17</v>
      </c>
      <c r="N328" s="8">
        <v>42.524999999999999</v>
      </c>
      <c r="O328" s="8" t="s">
        <v>0</v>
      </c>
      <c r="P328" s="10" t="s">
        <v>1114</v>
      </c>
    </row>
    <row r="329" spans="1:16" x14ac:dyDescent="0.25">
      <c r="A329" s="7" t="s">
        <v>545</v>
      </c>
      <c r="B329" s="8" t="s">
        <v>145</v>
      </c>
      <c r="C329" s="8" t="s">
        <v>146</v>
      </c>
      <c r="D329" s="8" t="s">
        <v>546</v>
      </c>
      <c r="E329" s="8" t="s">
        <v>0</v>
      </c>
      <c r="F329" s="8" t="s">
        <v>0</v>
      </c>
      <c r="G329" s="8" t="s">
        <v>148</v>
      </c>
      <c r="H329" s="9">
        <v>40.6</v>
      </c>
      <c r="I329" s="9">
        <v>-3.71</v>
      </c>
      <c r="J329" s="8" t="s">
        <v>299</v>
      </c>
      <c r="K329" s="8" t="s">
        <v>87</v>
      </c>
      <c r="L329" s="8" t="s">
        <v>16</v>
      </c>
      <c r="M329" s="8" t="s">
        <v>17</v>
      </c>
      <c r="N329" s="8">
        <v>5.7</v>
      </c>
      <c r="O329" s="8" t="s">
        <v>0</v>
      </c>
      <c r="P329" s="10" t="s">
        <v>1114</v>
      </c>
    </row>
    <row r="330" spans="1:16" x14ac:dyDescent="0.25">
      <c r="A330" s="7" t="s">
        <v>547</v>
      </c>
      <c r="B330" s="8" t="s">
        <v>145</v>
      </c>
      <c r="C330" s="8" t="s">
        <v>146</v>
      </c>
      <c r="D330" s="8" t="s">
        <v>548</v>
      </c>
      <c r="E330" s="8" t="s">
        <v>0</v>
      </c>
      <c r="F330" s="8" t="s">
        <v>0</v>
      </c>
      <c r="G330" s="8" t="s">
        <v>148</v>
      </c>
      <c r="H330" s="9">
        <v>42.46</v>
      </c>
      <c r="I330" s="9">
        <v>-3.74</v>
      </c>
      <c r="J330" s="8" t="s">
        <v>299</v>
      </c>
      <c r="K330" s="8" t="s">
        <v>87</v>
      </c>
      <c r="L330" s="8" t="s">
        <v>16</v>
      </c>
      <c r="M330" s="8" t="s">
        <v>17</v>
      </c>
      <c r="N330" s="8">
        <v>20.875</v>
      </c>
      <c r="O330" s="8" t="s">
        <v>0</v>
      </c>
      <c r="P330" s="10" t="s">
        <v>1114</v>
      </c>
    </row>
    <row r="331" spans="1:16" x14ac:dyDescent="0.25">
      <c r="A331" s="7" t="s">
        <v>549</v>
      </c>
      <c r="B331" s="8" t="s">
        <v>145</v>
      </c>
      <c r="C331" s="8" t="s">
        <v>146</v>
      </c>
      <c r="D331" s="8" t="s">
        <v>550</v>
      </c>
      <c r="E331" s="8" t="s">
        <v>0</v>
      </c>
      <c r="F331" s="8" t="s">
        <v>0</v>
      </c>
      <c r="G331" s="8" t="s">
        <v>148</v>
      </c>
      <c r="H331" s="9">
        <v>42.46</v>
      </c>
      <c r="I331" s="9">
        <v>-3.34</v>
      </c>
      <c r="J331" s="8" t="s">
        <v>299</v>
      </c>
      <c r="K331" s="8" t="s">
        <v>87</v>
      </c>
      <c r="L331" s="8" t="s">
        <v>16</v>
      </c>
      <c r="M331" s="8" t="s">
        <v>17</v>
      </c>
      <c r="N331" s="8">
        <v>75.8</v>
      </c>
      <c r="O331" s="8" t="s">
        <v>0</v>
      </c>
      <c r="P331" s="10" t="s">
        <v>1114</v>
      </c>
    </row>
    <row r="332" spans="1:16" x14ac:dyDescent="0.25">
      <c r="A332" s="7" t="s">
        <v>551</v>
      </c>
      <c r="B332" s="8" t="s">
        <v>145</v>
      </c>
      <c r="C332" s="8" t="s">
        <v>146</v>
      </c>
      <c r="D332" s="8" t="s">
        <v>552</v>
      </c>
      <c r="E332" s="8" t="s">
        <v>0</v>
      </c>
      <c r="F332" s="8" t="s">
        <v>0</v>
      </c>
      <c r="G332" s="8" t="s">
        <v>148</v>
      </c>
      <c r="H332" s="9">
        <v>40.51</v>
      </c>
      <c r="I332" s="9">
        <v>-3.34</v>
      </c>
      <c r="J332" s="8" t="s">
        <v>299</v>
      </c>
      <c r="K332" s="8" t="s">
        <v>87</v>
      </c>
      <c r="L332" s="8" t="s">
        <v>16</v>
      </c>
      <c r="M332" s="8" t="s">
        <v>17</v>
      </c>
      <c r="N332" s="8">
        <v>7.7750000000000004</v>
      </c>
      <c r="O332" s="8" t="s">
        <v>0</v>
      </c>
      <c r="P332" s="10" t="s">
        <v>1114</v>
      </c>
    </row>
    <row r="333" spans="1:16" x14ac:dyDescent="0.25">
      <c r="A333" s="7" t="s">
        <v>553</v>
      </c>
      <c r="B333" s="8" t="s">
        <v>145</v>
      </c>
      <c r="C333" s="8" t="s">
        <v>146</v>
      </c>
      <c r="D333" s="8" t="s">
        <v>554</v>
      </c>
      <c r="E333" s="8" t="s">
        <v>0</v>
      </c>
      <c r="F333" s="8" t="s">
        <v>0</v>
      </c>
      <c r="G333" s="8" t="s">
        <v>148</v>
      </c>
      <c r="H333" s="9">
        <v>42.65</v>
      </c>
      <c r="I333" s="9">
        <v>-1.63</v>
      </c>
      <c r="J333" s="8" t="s">
        <v>299</v>
      </c>
      <c r="K333" s="8" t="s">
        <v>87</v>
      </c>
      <c r="L333" s="8" t="s">
        <v>16</v>
      </c>
      <c r="M333" s="8" t="s">
        <v>17</v>
      </c>
      <c r="N333" s="8">
        <v>7.95</v>
      </c>
      <c r="O333" s="8" t="s">
        <v>0</v>
      </c>
      <c r="P333" s="10" t="s">
        <v>1114</v>
      </c>
    </row>
    <row r="334" spans="1:16" x14ac:dyDescent="0.25">
      <c r="A334" s="7" t="s">
        <v>555</v>
      </c>
      <c r="B334" s="8" t="s">
        <v>145</v>
      </c>
      <c r="C334" s="8" t="s">
        <v>146</v>
      </c>
      <c r="D334" s="8" t="s">
        <v>556</v>
      </c>
      <c r="E334" s="8" t="s">
        <v>0</v>
      </c>
      <c r="F334" s="8" t="s">
        <v>0</v>
      </c>
      <c r="G334" s="8" t="s">
        <v>148</v>
      </c>
      <c r="H334" s="9">
        <v>41.44</v>
      </c>
      <c r="I334" s="9">
        <v>-1.17</v>
      </c>
      <c r="J334" s="8" t="s">
        <v>299</v>
      </c>
      <c r="K334" s="8" t="s">
        <v>87</v>
      </c>
      <c r="L334" s="8" t="s">
        <v>16</v>
      </c>
      <c r="M334" s="8" t="s">
        <v>17</v>
      </c>
      <c r="N334" s="8">
        <v>58.975000000000001</v>
      </c>
      <c r="O334" s="8" t="s">
        <v>0</v>
      </c>
      <c r="P334" s="10" t="s">
        <v>1114</v>
      </c>
    </row>
    <row r="335" spans="1:16" x14ac:dyDescent="0.25">
      <c r="A335" s="7" t="s">
        <v>557</v>
      </c>
      <c r="B335" s="8" t="s">
        <v>145</v>
      </c>
      <c r="C335" s="8" t="s">
        <v>146</v>
      </c>
      <c r="D335" s="8" t="s">
        <v>558</v>
      </c>
      <c r="E335" s="8" t="s">
        <v>0</v>
      </c>
      <c r="F335" s="8" t="s">
        <v>0</v>
      </c>
      <c r="G335" s="8" t="s">
        <v>148</v>
      </c>
      <c r="H335" s="9">
        <v>38.11</v>
      </c>
      <c r="I335" s="9">
        <v>-2.14</v>
      </c>
      <c r="J335" s="8" t="s">
        <v>299</v>
      </c>
      <c r="K335" s="8" t="s">
        <v>87</v>
      </c>
      <c r="L335" s="8" t="s">
        <v>16</v>
      </c>
      <c r="M335" s="8" t="s">
        <v>17</v>
      </c>
      <c r="N335" s="8">
        <v>21.15</v>
      </c>
      <c r="O335" s="8" t="s">
        <v>0</v>
      </c>
      <c r="P335" s="10" t="s">
        <v>1114</v>
      </c>
    </row>
    <row r="336" spans="1:16" x14ac:dyDescent="0.25">
      <c r="A336" s="7" t="s">
        <v>981</v>
      </c>
      <c r="B336" s="8" t="s">
        <v>982</v>
      </c>
      <c r="C336" s="8" t="s">
        <v>43</v>
      </c>
      <c r="D336" s="8" t="s">
        <v>983</v>
      </c>
      <c r="E336" s="8" t="s">
        <v>0</v>
      </c>
      <c r="F336" s="8" t="s">
        <v>984</v>
      </c>
      <c r="G336" s="8" t="s">
        <v>97</v>
      </c>
      <c r="H336" s="9">
        <v>30.91</v>
      </c>
      <c r="I336" s="9">
        <v>114.36</v>
      </c>
      <c r="J336" s="8" t="s">
        <v>299</v>
      </c>
      <c r="K336" s="8" t="s">
        <v>87</v>
      </c>
      <c r="L336" s="8" t="s">
        <v>16</v>
      </c>
      <c r="M336" s="8" t="s">
        <v>17</v>
      </c>
      <c r="N336" s="8" t="s">
        <v>985</v>
      </c>
      <c r="O336" s="8" t="s">
        <v>0</v>
      </c>
      <c r="P336" s="10" t="s">
        <v>1031</v>
      </c>
    </row>
    <row r="337" spans="1:16" x14ac:dyDescent="0.25">
      <c r="A337" s="7" t="s">
        <v>986</v>
      </c>
      <c r="B337" s="8" t="s">
        <v>987</v>
      </c>
      <c r="C337" s="8" t="s">
        <v>390</v>
      </c>
      <c r="D337" s="8" t="s">
        <v>988</v>
      </c>
      <c r="E337" s="8" t="s">
        <v>0</v>
      </c>
      <c r="F337" s="8" t="s">
        <v>1115</v>
      </c>
      <c r="G337" s="8" t="s">
        <v>81</v>
      </c>
      <c r="H337" s="9">
        <v>53.55</v>
      </c>
      <c r="I337" s="9">
        <v>-9.99</v>
      </c>
      <c r="J337" s="8" t="s">
        <v>299</v>
      </c>
      <c r="K337" s="8" t="s">
        <v>87</v>
      </c>
      <c r="L337" s="8" t="s">
        <v>16</v>
      </c>
      <c r="M337" s="8" t="s">
        <v>17</v>
      </c>
      <c r="N337" s="8" t="s">
        <v>989</v>
      </c>
      <c r="O337" s="8" t="s">
        <v>0</v>
      </c>
      <c r="P337" s="10" t="s">
        <v>1086</v>
      </c>
    </row>
    <row r="338" spans="1:16" x14ac:dyDescent="0.25">
      <c r="A338" s="7" t="s">
        <v>990</v>
      </c>
      <c r="B338" s="8" t="s">
        <v>987</v>
      </c>
      <c r="C338" s="8" t="s">
        <v>390</v>
      </c>
      <c r="D338" s="8" t="s">
        <v>988</v>
      </c>
      <c r="E338" s="8" t="s">
        <v>0</v>
      </c>
      <c r="F338" s="8" t="s">
        <v>1121</v>
      </c>
      <c r="G338" s="8" t="s">
        <v>81</v>
      </c>
      <c r="H338" s="9">
        <v>53.55</v>
      </c>
      <c r="I338" s="9">
        <v>-9.99</v>
      </c>
      <c r="J338" s="8" t="s">
        <v>299</v>
      </c>
      <c r="K338" s="8" t="s">
        <v>87</v>
      </c>
      <c r="L338" s="8" t="s">
        <v>16</v>
      </c>
      <c r="M338" s="8" t="s">
        <v>17</v>
      </c>
      <c r="N338" s="8" t="s">
        <v>786</v>
      </c>
      <c r="O338" s="8" t="s">
        <v>0</v>
      </c>
      <c r="P338" s="10" t="s">
        <v>1086</v>
      </c>
    </row>
    <row r="339" spans="1:16" x14ac:dyDescent="0.25">
      <c r="A339" s="7" t="s">
        <v>991</v>
      </c>
      <c r="B339" s="8" t="s">
        <v>987</v>
      </c>
      <c r="C339" s="8" t="s">
        <v>390</v>
      </c>
      <c r="D339" s="8" t="s">
        <v>988</v>
      </c>
      <c r="E339" s="8" t="s">
        <v>0</v>
      </c>
      <c r="F339" s="8" t="s">
        <v>1116</v>
      </c>
      <c r="G339" s="8" t="s">
        <v>81</v>
      </c>
      <c r="H339" s="9">
        <v>53.55</v>
      </c>
      <c r="I339" s="9">
        <v>-9.99</v>
      </c>
      <c r="J339" s="8" t="s">
        <v>299</v>
      </c>
      <c r="K339" s="8" t="s">
        <v>87</v>
      </c>
      <c r="L339" s="8" t="s">
        <v>16</v>
      </c>
      <c r="M339" s="8" t="s">
        <v>17</v>
      </c>
      <c r="N339" s="8" t="s">
        <v>992</v>
      </c>
      <c r="O339" s="8" t="s">
        <v>0</v>
      </c>
      <c r="P339" s="10" t="s">
        <v>1086</v>
      </c>
    </row>
    <row r="340" spans="1:16" x14ac:dyDescent="0.25">
      <c r="A340" s="7" t="s">
        <v>993</v>
      </c>
      <c r="B340" s="8" t="s">
        <v>987</v>
      </c>
      <c r="C340" s="8" t="s">
        <v>390</v>
      </c>
      <c r="D340" s="8" t="s">
        <v>988</v>
      </c>
      <c r="E340" s="8" t="s">
        <v>0</v>
      </c>
      <c r="F340" s="8" t="s">
        <v>1116</v>
      </c>
      <c r="G340" s="8" t="s">
        <v>81</v>
      </c>
      <c r="H340" s="9">
        <v>53.55</v>
      </c>
      <c r="I340" s="9">
        <v>-9.99</v>
      </c>
      <c r="J340" s="8" t="s">
        <v>299</v>
      </c>
      <c r="K340" s="8" t="s">
        <v>87</v>
      </c>
      <c r="L340" s="8" t="s">
        <v>16</v>
      </c>
      <c r="M340" s="8" t="s">
        <v>17</v>
      </c>
      <c r="N340" s="8" t="s">
        <v>71</v>
      </c>
      <c r="O340" s="8" t="s">
        <v>0</v>
      </c>
      <c r="P340" s="10" t="s">
        <v>1086</v>
      </c>
    </row>
    <row r="341" spans="1:16" x14ac:dyDescent="0.25">
      <c r="A341" s="7" t="s">
        <v>994</v>
      </c>
      <c r="B341" s="8" t="s">
        <v>987</v>
      </c>
      <c r="C341" s="8" t="s">
        <v>390</v>
      </c>
      <c r="D341" s="8" t="s">
        <v>988</v>
      </c>
      <c r="E341" s="8" t="s">
        <v>0</v>
      </c>
      <c r="F341" s="8" t="s">
        <v>1122</v>
      </c>
      <c r="G341" s="8" t="s">
        <v>81</v>
      </c>
      <c r="H341" s="9">
        <v>53.55</v>
      </c>
      <c r="I341" s="9">
        <v>-9.99</v>
      </c>
      <c r="J341" s="8" t="s">
        <v>299</v>
      </c>
      <c r="K341" s="8" t="s">
        <v>87</v>
      </c>
      <c r="L341" s="8" t="s">
        <v>16</v>
      </c>
      <c r="M341" s="8" t="s">
        <v>17</v>
      </c>
      <c r="N341" s="8" t="s">
        <v>995</v>
      </c>
      <c r="O341" s="8" t="s">
        <v>0</v>
      </c>
      <c r="P341" s="10" t="s">
        <v>1086</v>
      </c>
    </row>
    <row r="342" spans="1:16" x14ac:dyDescent="0.25">
      <c r="A342" s="7" t="s">
        <v>996</v>
      </c>
      <c r="B342" s="8" t="s">
        <v>987</v>
      </c>
      <c r="C342" s="8" t="s">
        <v>390</v>
      </c>
      <c r="D342" s="8" t="s">
        <v>988</v>
      </c>
      <c r="E342" s="8" t="s">
        <v>0</v>
      </c>
      <c r="F342" s="8" t="s">
        <v>1122</v>
      </c>
      <c r="G342" s="8" t="s">
        <v>81</v>
      </c>
      <c r="H342" s="9">
        <v>53.55</v>
      </c>
      <c r="I342" s="9">
        <v>-9.99</v>
      </c>
      <c r="J342" s="8" t="s">
        <v>299</v>
      </c>
      <c r="K342" s="8" t="s">
        <v>87</v>
      </c>
      <c r="L342" s="8" t="s">
        <v>16</v>
      </c>
      <c r="M342" s="8" t="s">
        <v>17</v>
      </c>
      <c r="N342" s="8" t="s">
        <v>997</v>
      </c>
      <c r="O342" s="8" t="s">
        <v>0</v>
      </c>
      <c r="P342" s="10" t="s">
        <v>1086</v>
      </c>
    </row>
    <row r="343" spans="1:16" x14ac:dyDescent="0.25">
      <c r="A343" s="7" t="s">
        <v>998</v>
      </c>
      <c r="B343" s="8" t="s">
        <v>987</v>
      </c>
      <c r="C343" s="8" t="s">
        <v>390</v>
      </c>
      <c r="D343" s="8" t="s">
        <v>988</v>
      </c>
      <c r="E343" s="8" t="s">
        <v>0</v>
      </c>
      <c r="F343" s="8" t="s">
        <v>1117</v>
      </c>
      <c r="G343" s="8" t="s">
        <v>81</v>
      </c>
      <c r="H343" s="9">
        <v>53.55</v>
      </c>
      <c r="I343" s="9">
        <v>-9.99</v>
      </c>
      <c r="J343" s="8" t="s">
        <v>299</v>
      </c>
      <c r="K343" s="8" t="s">
        <v>87</v>
      </c>
      <c r="L343" s="8" t="s">
        <v>16</v>
      </c>
      <c r="M343" s="8" t="s">
        <v>17</v>
      </c>
      <c r="N343" s="8" t="s">
        <v>999</v>
      </c>
      <c r="O343" s="8" t="s">
        <v>0</v>
      </c>
      <c r="P343" s="10" t="s">
        <v>1086</v>
      </c>
    </row>
    <row r="344" spans="1:16" x14ac:dyDescent="0.25">
      <c r="A344" s="7" t="s">
        <v>1000</v>
      </c>
      <c r="B344" s="8" t="s">
        <v>987</v>
      </c>
      <c r="C344" s="8" t="s">
        <v>390</v>
      </c>
      <c r="D344" s="8" t="s">
        <v>1001</v>
      </c>
      <c r="E344" s="8" t="s">
        <v>0</v>
      </c>
      <c r="F344" s="8" t="s">
        <v>1118</v>
      </c>
      <c r="G344" s="8" t="s">
        <v>81</v>
      </c>
      <c r="H344" s="9">
        <v>53.55</v>
      </c>
      <c r="I344" s="9">
        <v>-9.99</v>
      </c>
      <c r="J344" s="8" t="s">
        <v>299</v>
      </c>
      <c r="K344" s="8" t="s">
        <v>87</v>
      </c>
      <c r="L344" s="8" t="s">
        <v>16</v>
      </c>
      <c r="M344" s="8" t="s">
        <v>17</v>
      </c>
      <c r="N344" s="8" t="s">
        <v>1002</v>
      </c>
      <c r="O344" s="8" t="s">
        <v>0</v>
      </c>
      <c r="P344" s="10" t="s">
        <v>1086</v>
      </c>
    </row>
    <row r="345" spans="1:16" x14ac:dyDescent="0.25">
      <c r="A345" s="7" t="s">
        <v>1003</v>
      </c>
      <c r="B345" s="8" t="s">
        <v>987</v>
      </c>
      <c r="C345" s="8" t="s">
        <v>390</v>
      </c>
      <c r="D345" s="8" t="s">
        <v>1001</v>
      </c>
      <c r="E345" s="8" t="s">
        <v>0</v>
      </c>
      <c r="F345" s="8" t="s">
        <v>1119</v>
      </c>
      <c r="G345" s="8" t="s">
        <v>81</v>
      </c>
      <c r="H345" s="9">
        <v>53.55</v>
      </c>
      <c r="I345" s="9">
        <v>-9.99</v>
      </c>
      <c r="J345" s="8" t="s">
        <v>299</v>
      </c>
      <c r="K345" s="8" t="s">
        <v>87</v>
      </c>
      <c r="L345" s="8" t="s">
        <v>16</v>
      </c>
      <c r="M345" s="8" t="s">
        <v>17</v>
      </c>
      <c r="N345" s="8" t="s">
        <v>1004</v>
      </c>
      <c r="O345" s="8" t="s">
        <v>0</v>
      </c>
      <c r="P345" s="10" t="s">
        <v>1086</v>
      </c>
    </row>
    <row r="346" spans="1:16" x14ac:dyDescent="0.25">
      <c r="A346" s="7" t="s">
        <v>1005</v>
      </c>
      <c r="B346" s="8" t="s">
        <v>987</v>
      </c>
      <c r="C346" s="8" t="s">
        <v>390</v>
      </c>
      <c r="D346" s="8" t="s">
        <v>1001</v>
      </c>
      <c r="E346" s="8" t="s">
        <v>0</v>
      </c>
      <c r="F346" s="8" t="s">
        <v>1118</v>
      </c>
      <c r="G346" s="8" t="s">
        <v>81</v>
      </c>
      <c r="H346" s="9">
        <v>53.55</v>
      </c>
      <c r="I346" s="9">
        <v>-9.99</v>
      </c>
      <c r="J346" s="8" t="s">
        <v>299</v>
      </c>
      <c r="K346" s="8" t="s">
        <v>87</v>
      </c>
      <c r="L346" s="8" t="s">
        <v>16</v>
      </c>
      <c r="M346" s="8" t="s">
        <v>17</v>
      </c>
      <c r="N346" s="8" t="s">
        <v>995</v>
      </c>
      <c r="O346" s="8" t="s">
        <v>0</v>
      </c>
      <c r="P346" s="10" t="s">
        <v>1086</v>
      </c>
    </row>
    <row r="347" spans="1:16" x14ac:dyDescent="0.25">
      <c r="A347" s="7" t="s">
        <v>1006</v>
      </c>
      <c r="B347" s="8" t="s">
        <v>987</v>
      </c>
      <c r="C347" s="8" t="s">
        <v>390</v>
      </c>
      <c r="D347" s="8" t="s">
        <v>1001</v>
      </c>
      <c r="E347" s="8" t="s">
        <v>0</v>
      </c>
      <c r="F347" s="8" t="s">
        <v>1120</v>
      </c>
      <c r="G347" s="8" t="s">
        <v>81</v>
      </c>
      <c r="H347" s="9">
        <v>53.55</v>
      </c>
      <c r="I347" s="9">
        <v>-9.99</v>
      </c>
      <c r="J347" s="8" t="s">
        <v>299</v>
      </c>
      <c r="K347" s="8" t="s">
        <v>87</v>
      </c>
      <c r="L347" s="8" t="s">
        <v>16</v>
      </c>
      <c r="M347" s="8" t="s">
        <v>17</v>
      </c>
      <c r="N347" s="8" t="s">
        <v>1004</v>
      </c>
      <c r="O347" s="8" t="s">
        <v>0</v>
      </c>
      <c r="P347" s="10" t="s">
        <v>1086</v>
      </c>
    </row>
    <row r="348" spans="1:16" x14ac:dyDescent="0.25">
      <c r="A348" s="7" t="s">
        <v>74</v>
      </c>
      <c r="B348" s="8" t="s">
        <v>75</v>
      </c>
      <c r="C348" s="8" t="s">
        <v>43</v>
      </c>
      <c r="D348" s="8" t="s">
        <v>76</v>
      </c>
      <c r="E348" s="8" t="s">
        <v>0</v>
      </c>
      <c r="F348" s="8" t="s">
        <v>0</v>
      </c>
      <c r="G348" s="8" t="s">
        <v>62</v>
      </c>
      <c r="H348" s="9">
        <v>31.2</v>
      </c>
      <c r="I348" s="9">
        <v>121.3</v>
      </c>
      <c r="J348" s="8" t="s">
        <v>1088</v>
      </c>
      <c r="K348" s="8" t="s">
        <v>0</v>
      </c>
      <c r="L348" s="8" t="s">
        <v>16</v>
      </c>
      <c r="M348" s="8" t="s">
        <v>30</v>
      </c>
      <c r="N348" s="8" t="s">
        <v>0</v>
      </c>
      <c r="O348" s="8" t="s">
        <v>77</v>
      </c>
      <c r="P348" s="10" t="s">
        <v>1131</v>
      </c>
    </row>
    <row r="349" spans="1:16" x14ac:dyDescent="0.25">
      <c r="A349" s="7" t="s">
        <v>1007</v>
      </c>
      <c r="B349" s="8" t="s">
        <v>75</v>
      </c>
      <c r="C349" s="8" t="s">
        <v>43</v>
      </c>
      <c r="D349" s="8" t="s">
        <v>314</v>
      </c>
      <c r="E349" s="8" t="s">
        <v>0</v>
      </c>
      <c r="F349" s="8" t="s">
        <v>0</v>
      </c>
      <c r="G349" s="8" t="s">
        <v>62</v>
      </c>
      <c r="H349" s="9">
        <v>40</v>
      </c>
      <c r="I349" s="9">
        <v>116.4</v>
      </c>
      <c r="J349" s="8" t="s">
        <v>299</v>
      </c>
      <c r="K349" s="8" t="s">
        <v>87</v>
      </c>
      <c r="L349" s="8" t="s">
        <v>16</v>
      </c>
      <c r="M349" s="8" t="s">
        <v>30</v>
      </c>
      <c r="N349" s="8" t="s">
        <v>0</v>
      </c>
      <c r="O349" s="8" t="s">
        <v>1008</v>
      </c>
      <c r="P349" s="10" t="s">
        <v>1131</v>
      </c>
    </row>
    <row r="350" spans="1:16" x14ac:dyDescent="0.25">
      <c r="A350" s="7" t="s">
        <v>1009</v>
      </c>
      <c r="B350" s="8" t="s">
        <v>1010</v>
      </c>
      <c r="C350" s="8" t="s">
        <v>1011</v>
      </c>
      <c r="D350" s="8" t="s">
        <v>1012</v>
      </c>
      <c r="E350" s="8" t="s">
        <v>0</v>
      </c>
      <c r="F350" s="8" t="s">
        <v>0</v>
      </c>
      <c r="G350" s="8" t="s">
        <v>81</v>
      </c>
      <c r="H350" s="9">
        <v>40.799999999999997</v>
      </c>
      <c r="I350" s="9">
        <v>29.36</v>
      </c>
      <c r="J350" s="8" t="s">
        <v>299</v>
      </c>
      <c r="K350" s="8" t="s">
        <v>87</v>
      </c>
      <c r="L350" s="8" t="s">
        <v>16</v>
      </c>
      <c r="M350" s="8" t="s">
        <v>30</v>
      </c>
      <c r="N350" s="8" t="s">
        <v>1013</v>
      </c>
      <c r="O350" s="8" t="s">
        <v>0</v>
      </c>
      <c r="P350" s="10" t="s">
        <v>1132</v>
      </c>
    </row>
    <row r="351" spans="1:16" x14ac:dyDescent="0.25">
      <c r="A351" s="7" t="s">
        <v>1014</v>
      </c>
      <c r="B351" s="8" t="s">
        <v>1015</v>
      </c>
      <c r="C351" s="8" t="s">
        <v>297</v>
      </c>
      <c r="D351" s="8" t="s">
        <v>1016</v>
      </c>
      <c r="E351" s="8" t="s">
        <v>0</v>
      </c>
      <c r="F351" s="8" t="s">
        <v>0</v>
      </c>
      <c r="G351" s="8" t="s">
        <v>421</v>
      </c>
      <c r="H351" s="9">
        <v>28.98</v>
      </c>
      <c r="I351" s="9">
        <v>50.83</v>
      </c>
      <c r="J351" s="8" t="s">
        <v>299</v>
      </c>
      <c r="K351" s="8" t="s">
        <v>87</v>
      </c>
      <c r="L351" s="8" t="s">
        <v>16</v>
      </c>
      <c r="M351" s="8" t="s">
        <v>30</v>
      </c>
      <c r="N351" s="8" t="s">
        <v>0</v>
      </c>
      <c r="O351" s="8" t="s">
        <v>1130</v>
      </c>
      <c r="P351" s="10" t="s">
        <v>1129</v>
      </c>
    </row>
    <row r="352" spans="1:16" x14ac:dyDescent="0.25">
      <c r="A352" s="7" t="s">
        <v>559</v>
      </c>
      <c r="B352" s="8" t="s">
        <v>560</v>
      </c>
      <c r="C352" s="8" t="s">
        <v>43</v>
      </c>
      <c r="D352" s="8" t="s">
        <v>76</v>
      </c>
      <c r="E352" s="8" t="s">
        <v>0</v>
      </c>
      <c r="F352" s="8" t="s">
        <v>0</v>
      </c>
      <c r="G352" s="8" t="s">
        <v>561</v>
      </c>
      <c r="H352" s="9">
        <v>31.34</v>
      </c>
      <c r="I352" s="9">
        <v>121.52</v>
      </c>
      <c r="J352" s="8" t="s">
        <v>299</v>
      </c>
      <c r="K352" s="8" t="s">
        <v>87</v>
      </c>
      <c r="L352" s="8" t="s">
        <v>16</v>
      </c>
      <c r="M352" s="8" t="s">
        <v>30</v>
      </c>
      <c r="N352" s="8" t="s">
        <v>0</v>
      </c>
      <c r="O352" s="8" t="s">
        <v>562</v>
      </c>
      <c r="P352" s="10" t="s">
        <v>1128</v>
      </c>
    </row>
    <row r="353" spans="1:16" x14ac:dyDescent="0.25">
      <c r="A353" s="7" t="s">
        <v>388</v>
      </c>
      <c r="B353" s="8" t="s">
        <v>389</v>
      </c>
      <c r="C353" s="8" t="s">
        <v>390</v>
      </c>
      <c r="D353" s="8" t="s">
        <v>391</v>
      </c>
      <c r="E353" s="8" t="s">
        <v>0</v>
      </c>
      <c r="F353" s="8" t="s">
        <v>0</v>
      </c>
      <c r="G353" s="8" t="s">
        <v>392</v>
      </c>
      <c r="H353" s="9">
        <v>50.49</v>
      </c>
      <c r="I353" s="9">
        <v>9.94</v>
      </c>
      <c r="J353" s="8" t="s">
        <v>299</v>
      </c>
      <c r="K353" s="8" t="s">
        <v>332</v>
      </c>
      <c r="L353" s="8" t="s">
        <v>16</v>
      </c>
      <c r="M353" s="8" t="s">
        <v>30</v>
      </c>
      <c r="N353" s="8" t="s">
        <v>393</v>
      </c>
      <c r="O353" s="8" t="s">
        <v>0</v>
      </c>
      <c r="P353" s="10" t="s">
        <v>1127</v>
      </c>
    </row>
    <row r="354" spans="1:16" x14ac:dyDescent="0.25">
      <c r="A354" s="7" t="s">
        <v>394</v>
      </c>
      <c r="B354" s="8" t="s">
        <v>389</v>
      </c>
      <c r="C354" s="8" t="s">
        <v>390</v>
      </c>
      <c r="D354" s="8" t="s">
        <v>395</v>
      </c>
      <c r="E354" s="8" t="s">
        <v>0</v>
      </c>
      <c r="F354" s="8" t="s">
        <v>0</v>
      </c>
      <c r="G354" s="8" t="s">
        <v>392</v>
      </c>
      <c r="H354" s="9">
        <v>51.71</v>
      </c>
      <c r="I354" s="9">
        <v>9.5500000000000007</v>
      </c>
      <c r="J354" s="8" t="s">
        <v>299</v>
      </c>
      <c r="K354" s="8" t="s">
        <v>332</v>
      </c>
      <c r="L354" s="8" t="s">
        <v>16</v>
      </c>
      <c r="M354" s="8" t="s">
        <v>30</v>
      </c>
      <c r="N354" s="8" t="s">
        <v>396</v>
      </c>
      <c r="O354" s="8" t="s">
        <v>0</v>
      </c>
      <c r="P354" s="10" t="s">
        <v>1127</v>
      </c>
    </row>
    <row r="355" spans="1:16" x14ac:dyDescent="0.25">
      <c r="A355" s="7" t="s">
        <v>435</v>
      </c>
      <c r="B355" s="8" t="s">
        <v>389</v>
      </c>
      <c r="C355" s="8" t="s">
        <v>390</v>
      </c>
      <c r="D355" s="8" t="s">
        <v>436</v>
      </c>
      <c r="E355" s="8" t="s">
        <v>0</v>
      </c>
      <c r="F355" s="8" t="s">
        <v>0</v>
      </c>
      <c r="G355" s="8" t="s">
        <v>392</v>
      </c>
      <c r="H355" s="9">
        <v>52.17</v>
      </c>
      <c r="I355" s="9">
        <v>9.06</v>
      </c>
      <c r="J355" s="8" t="s">
        <v>299</v>
      </c>
      <c r="K355" s="8" t="s">
        <v>82</v>
      </c>
      <c r="L355" s="8" t="s">
        <v>16</v>
      </c>
      <c r="M355" s="8" t="s">
        <v>30</v>
      </c>
      <c r="N355" s="8" t="s">
        <v>437</v>
      </c>
      <c r="O355" s="8" t="s">
        <v>0</v>
      </c>
      <c r="P355" s="10" t="s">
        <v>1127</v>
      </c>
    </row>
    <row r="356" spans="1:16" x14ac:dyDescent="0.25">
      <c r="A356" s="7" t="s">
        <v>563</v>
      </c>
      <c r="B356" s="8" t="s">
        <v>389</v>
      </c>
      <c r="C356" s="8" t="s">
        <v>390</v>
      </c>
      <c r="D356" s="8" t="s">
        <v>564</v>
      </c>
      <c r="E356" s="8" t="s">
        <v>0</v>
      </c>
      <c r="F356" s="8" t="s">
        <v>0</v>
      </c>
      <c r="G356" s="8" t="s">
        <v>392</v>
      </c>
      <c r="H356" s="9">
        <v>51.33</v>
      </c>
      <c r="I356" s="9">
        <v>9.52</v>
      </c>
      <c r="J356" s="8" t="s">
        <v>299</v>
      </c>
      <c r="K356" s="8" t="s">
        <v>87</v>
      </c>
      <c r="L356" s="8" t="s">
        <v>16</v>
      </c>
      <c r="M356" s="8" t="s">
        <v>30</v>
      </c>
      <c r="N356" s="8" t="s">
        <v>565</v>
      </c>
      <c r="O356" s="8" t="s">
        <v>0</v>
      </c>
      <c r="P356" s="10" t="s">
        <v>1127</v>
      </c>
    </row>
    <row r="357" spans="1:16" x14ac:dyDescent="0.25">
      <c r="A357" s="7" t="s">
        <v>566</v>
      </c>
      <c r="B357" s="8" t="s">
        <v>389</v>
      </c>
      <c r="C357" s="8" t="s">
        <v>390</v>
      </c>
      <c r="D357" s="8" t="s">
        <v>567</v>
      </c>
      <c r="E357" s="8" t="s">
        <v>0</v>
      </c>
      <c r="F357" s="8" t="s">
        <v>0</v>
      </c>
      <c r="G357" s="8" t="s">
        <v>392</v>
      </c>
      <c r="H357" s="9">
        <v>53.12</v>
      </c>
      <c r="I357" s="9">
        <v>8.7100000000000009</v>
      </c>
      <c r="J357" s="8" t="s">
        <v>299</v>
      </c>
      <c r="K357" s="8" t="s">
        <v>87</v>
      </c>
      <c r="L357" s="8" t="s">
        <v>16</v>
      </c>
      <c r="M357" s="8" t="s">
        <v>30</v>
      </c>
      <c r="N357" s="8" t="s">
        <v>568</v>
      </c>
      <c r="O357" s="8" t="s">
        <v>0</v>
      </c>
      <c r="P357" s="10" t="s">
        <v>1127</v>
      </c>
    </row>
    <row r="358" spans="1:16" x14ac:dyDescent="0.25">
      <c r="A358" s="7" t="s">
        <v>569</v>
      </c>
      <c r="B358" s="8" t="s">
        <v>389</v>
      </c>
      <c r="C358" s="8" t="s">
        <v>390</v>
      </c>
      <c r="D358" s="8" t="s">
        <v>570</v>
      </c>
      <c r="E358" s="8" t="s">
        <v>0</v>
      </c>
      <c r="F358" s="8" t="s">
        <v>0</v>
      </c>
      <c r="G358" s="8" t="s">
        <v>392</v>
      </c>
      <c r="H358" s="9">
        <v>53.57</v>
      </c>
      <c r="I358" s="9">
        <v>8.57</v>
      </c>
      <c r="J358" s="8" t="s">
        <v>299</v>
      </c>
      <c r="K358" s="8" t="s">
        <v>87</v>
      </c>
      <c r="L358" s="8" t="s">
        <v>16</v>
      </c>
      <c r="M358" s="8" t="s">
        <v>30</v>
      </c>
      <c r="N358" s="8" t="s">
        <v>571</v>
      </c>
      <c r="O358" s="8" t="s">
        <v>0</v>
      </c>
      <c r="P358" s="10" t="s">
        <v>1127</v>
      </c>
    </row>
    <row r="359" spans="1:16" x14ac:dyDescent="0.25">
      <c r="A359" s="7" t="s">
        <v>344</v>
      </c>
      <c r="B359" s="8" t="s">
        <v>345</v>
      </c>
      <c r="C359" s="8" t="s">
        <v>297</v>
      </c>
      <c r="D359" s="8" t="s">
        <v>346</v>
      </c>
      <c r="E359" s="8" t="s">
        <v>0</v>
      </c>
      <c r="F359" s="8" t="s">
        <v>0</v>
      </c>
      <c r="G359" s="8" t="s">
        <v>31</v>
      </c>
      <c r="H359" s="9">
        <v>29.85</v>
      </c>
      <c r="I359" s="9">
        <v>52.55</v>
      </c>
      <c r="J359" s="8" t="s">
        <v>299</v>
      </c>
      <c r="K359" s="8" t="s">
        <v>332</v>
      </c>
      <c r="L359" s="8" t="s">
        <v>16</v>
      </c>
      <c r="M359" s="8" t="s">
        <v>17</v>
      </c>
      <c r="N359" s="8">
        <v>324.3428571428571</v>
      </c>
      <c r="O359" s="8" t="s">
        <v>0</v>
      </c>
      <c r="P359" s="10" t="s">
        <v>1125</v>
      </c>
    </row>
    <row r="360" spans="1:16" x14ac:dyDescent="0.25">
      <c r="A360" s="7" t="s">
        <v>572</v>
      </c>
      <c r="B360" s="8" t="s">
        <v>345</v>
      </c>
      <c r="C360" s="8" t="s">
        <v>297</v>
      </c>
      <c r="D360" s="8" t="s">
        <v>573</v>
      </c>
      <c r="E360" s="8" t="s">
        <v>0</v>
      </c>
      <c r="F360" s="8" t="s">
        <v>0</v>
      </c>
      <c r="G360" s="8" t="s">
        <v>31</v>
      </c>
      <c r="H360" s="9">
        <v>29.6</v>
      </c>
      <c r="I360" s="9">
        <v>52.5</v>
      </c>
      <c r="J360" s="8" t="s">
        <v>299</v>
      </c>
      <c r="K360" s="8" t="s">
        <v>87</v>
      </c>
      <c r="L360" s="8" t="s">
        <v>16</v>
      </c>
      <c r="M360" s="8" t="s">
        <v>17</v>
      </c>
      <c r="N360" s="8">
        <v>472.66666666666663</v>
      </c>
      <c r="O360" s="8" t="s">
        <v>0</v>
      </c>
      <c r="P360" s="10" t="s">
        <v>1125</v>
      </c>
    </row>
    <row r="361" spans="1:16" x14ac:dyDescent="0.25">
      <c r="A361" s="7" t="s">
        <v>574</v>
      </c>
      <c r="B361" s="8" t="s">
        <v>345</v>
      </c>
      <c r="C361" s="8" t="s">
        <v>297</v>
      </c>
      <c r="D361" s="8" t="s">
        <v>575</v>
      </c>
      <c r="E361" s="8" t="s">
        <v>0</v>
      </c>
      <c r="F361" s="8" t="s">
        <v>0</v>
      </c>
      <c r="G361" s="8" t="s">
        <v>31</v>
      </c>
      <c r="H361" s="9">
        <v>29.63</v>
      </c>
      <c r="I361" s="9">
        <v>52.5</v>
      </c>
      <c r="J361" s="8" t="s">
        <v>299</v>
      </c>
      <c r="K361" s="8" t="s">
        <v>87</v>
      </c>
      <c r="L361" s="8" t="s">
        <v>16</v>
      </c>
      <c r="M361" s="8" t="s">
        <v>17</v>
      </c>
      <c r="N361" s="8">
        <v>240</v>
      </c>
      <c r="O361" s="8" t="s">
        <v>0</v>
      </c>
      <c r="P361" s="10" t="s">
        <v>1125</v>
      </c>
    </row>
    <row r="362" spans="1:16" x14ac:dyDescent="0.25">
      <c r="A362" s="7" t="s">
        <v>576</v>
      </c>
      <c r="B362" s="8" t="s">
        <v>345</v>
      </c>
      <c r="C362" s="8" t="s">
        <v>297</v>
      </c>
      <c r="D362" s="8" t="s">
        <v>577</v>
      </c>
      <c r="E362" s="8" t="s">
        <v>0</v>
      </c>
      <c r="F362" s="8" t="s">
        <v>0</v>
      </c>
      <c r="G362" s="8" t="s">
        <v>31</v>
      </c>
      <c r="H362" s="9">
        <v>29.6</v>
      </c>
      <c r="I362" s="9">
        <v>52.52</v>
      </c>
      <c r="J362" s="8" t="s">
        <v>299</v>
      </c>
      <c r="K362" s="8" t="s">
        <v>87</v>
      </c>
      <c r="L362" s="8" t="s">
        <v>16</v>
      </c>
      <c r="M362" s="8" t="s">
        <v>17</v>
      </c>
      <c r="N362" s="8">
        <v>248</v>
      </c>
      <c r="O362" s="8" t="s">
        <v>0</v>
      </c>
      <c r="P362" s="10" t="s">
        <v>1125</v>
      </c>
    </row>
    <row r="363" spans="1:16" x14ac:dyDescent="0.25">
      <c r="A363" s="7" t="s">
        <v>578</v>
      </c>
      <c r="B363" s="8" t="s">
        <v>345</v>
      </c>
      <c r="C363" s="8" t="s">
        <v>297</v>
      </c>
      <c r="D363" s="8" t="s">
        <v>579</v>
      </c>
      <c r="E363" s="8" t="s">
        <v>0</v>
      </c>
      <c r="F363" s="8" t="s">
        <v>0</v>
      </c>
      <c r="G363" s="8" t="s">
        <v>31</v>
      </c>
      <c r="H363" s="9">
        <v>29.7</v>
      </c>
      <c r="I363" s="9">
        <v>52.5</v>
      </c>
      <c r="J363" s="8" t="s">
        <v>299</v>
      </c>
      <c r="K363" s="8" t="s">
        <v>87</v>
      </c>
      <c r="L363" s="8" t="s">
        <v>16</v>
      </c>
      <c r="M363" s="8" t="s">
        <v>17</v>
      </c>
      <c r="N363" s="8">
        <v>448.47272727272718</v>
      </c>
      <c r="O363" s="8" t="s">
        <v>0</v>
      </c>
      <c r="P363" s="10" t="s">
        <v>1125</v>
      </c>
    </row>
    <row r="364" spans="1:16" x14ac:dyDescent="0.25">
      <c r="A364" s="7" t="s">
        <v>580</v>
      </c>
      <c r="B364" s="8" t="s">
        <v>345</v>
      </c>
      <c r="C364" s="8" t="s">
        <v>297</v>
      </c>
      <c r="D364" s="8" t="s">
        <v>581</v>
      </c>
      <c r="E364" s="8" t="s">
        <v>0</v>
      </c>
      <c r="F364" s="8" t="s">
        <v>0</v>
      </c>
      <c r="G364" s="8" t="s">
        <v>31</v>
      </c>
      <c r="H364" s="9">
        <v>29.62</v>
      </c>
      <c r="I364" s="9">
        <v>52.48</v>
      </c>
      <c r="J364" s="8" t="s">
        <v>299</v>
      </c>
      <c r="K364" s="8" t="s">
        <v>87</v>
      </c>
      <c r="L364" s="8" t="s">
        <v>16</v>
      </c>
      <c r="M364" s="8" t="s">
        <v>17</v>
      </c>
      <c r="N364" s="8">
        <v>215.37391304347835</v>
      </c>
      <c r="O364" s="8" t="s">
        <v>0</v>
      </c>
      <c r="P364" s="10" t="s">
        <v>1125</v>
      </c>
    </row>
    <row r="365" spans="1:16" x14ac:dyDescent="0.25">
      <c r="A365" s="7" t="s">
        <v>295</v>
      </c>
      <c r="B365" s="8" t="s">
        <v>296</v>
      </c>
      <c r="C365" s="8" t="s">
        <v>297</v>
      </c>
      <c r="D365" s="8" t="s">
        <v>298</v>
      </c>
      <c r="E365" s="8" t="s">
        <v>0</v>
      </c>
      <c r="F365" s="8" t="s">
        <v>0</v>
      </c>
      <c r="G365" s="8" t="s">
        <v>1124</v>
      </c>
      <c r="H365" s="9">
        <v>31.29</v>
      </c>
      <c r="I365" s="9">
        <v>48.71</v>
      </c>
      <c r="J365" s="8" t="s">
        <v>299</v>
      </c>
      <c r="K365" s="8" t="s">
        <v>300</v>
      </c>
      <c r="L365" s="8" t="s">
        <v>16</v>
      </c>
      <c r="M365" s="8" t="s">
        <v>30</v>
      </c>
      <c r="N365" s="8" t="s">
        <v>0</v>
      </c>
      <c r="O365" s="8" t="s">
        <v>301</v>
      </c>
      <c r="P365" s="10" t="s">
        <v>1123</v>
      </c>
    </row>
    <row r="366" spans="1:16" x14ac:dyDescent="0.25">
      <c r="A366" s="7" t="s">
        <v>582</v>
      </c>
      <c r="B366" s="8" t="s">
        <v>296</v>
      </c>
      <c r="C366" s="8" t="s">
        <v>297</v>
      </c>
      <c r="D366" s="8" t="s">
        <v>583</v>
      </c>
      <c r="E366" s="8" t="s">
        <v>0</v>
      </c>
      <c r="F366" s="8" t="s">
        <v>0</v>
      </c>
      <c r="G366" s="8" t="s">
        <v>1116</v>
      </c>
      <c r="H366" s="9">
        <v>31.31</v>
      </c>
      <c r="I366" s="9">
        <v>48.65</v>
      </c>
      <c r="J366" s="8" t="s">
        <v>299</v>
      </c>
      <c r="K366" s="8" t="s">
        <v>87</v>
      </c>
      <c r="L366" s="8" t="s">
        <v>16</v>
      </c>
      <c r="M366" s="8" t="s">
        <v>30</v>
      </c>
      <c r="N366" s="8" t="s">
        <v>0</v>
      </c>
      <c r="O366" s="8" t="s">
        <v>584</v>
      </c>
      <c r="P366" s="10" t="s">
        <v>1123</v>
      </c>
    </row>
    <row r="367" spans="1:16" x14ac:dyDescent="0.25">
      <c r="A367" s="7" t="s">
        <v>438</v>
      </c>
      <c r="B367" s="8" t="s">
        <v>439</v>
      </c>
      <c r="C367" s="8" t="s">
        <v>359</v>
      </c>
      <c r="D367" s="8" t="s">
        <v>440</v>
      </c>
      <c r="E367" s="8" t="s">
        <v>0</v>
      </c>
      <c r="F367" s="8" t="s">
        <v>0</v>
      </c>
      <c r="G367" s="8" t="s">
        <v>31</v>
      </c>
      <c r="H367" s="8">
        <v>48.84</v>
      </c>
      <c r="I367" s="8">
        <v>2.59</v>
      </c>
      <c r="J367" s="8" t="s">
        <v>299</v>
      </c>
      <c r="K367" s="8" t="s">
        <v>82</v>
      </c>
      <c r="L367" s="8" t="s">
        <v>16</v>
      </c>
      <c r="M367" s="8" t="s">
        <v>17</v>
      </c>
      <c r="N367" s="8" t="s">
        <v>441</v>
      </c>
      <c r="O367" s="8" t="s">
        <v>0</v>
      </c>
      <c r="P367" s="10" t="s">
        <v>1126</v>
      </c>
    </row>
    <row r="368" spans="1:16" x14ac:dyDescent="0.25">
      <c r="A368" s="7" t="s">
        <v>442</v>
      </c>
      <c r="B368" s="8" t="s">
        <v>443</v>
      </c>
      <c r="C368" s="8" t="s">
        <v>43</v>
      </c>
      <c r="D368" s="8" t="s">
        <v>314</v>
      </c>
      <c r="E368" s="8" t="s">
        <v>0</v>
      </c>
      <c r="F368" s="8" t="s">
        <v>253</v>
      </c>
      <c r="G368" s="8" t="s">
        <v>392</v>
      </c>
      <c r="H368" s="9">
        <v>40.119999999999997</v>
      </c>
      <c r="I368" s="9">
        <v>116.57</v>
      </c>
      <c r="J368" s="8" t="s">
        <v>299</v>
      </c>
      <c r="K368" s="8" t="s">
        <v>82</v>
      </c>
      <c r="L368" s="8" t="s">
        <v>16</v>
      </c>
      <c r="M368" s="8" t="s">
        <v>30</v>
      </c>
      <c r="N368" s="8" t="s">
        <v>0</v>
      </c>
      <c r="O368" s="8" t="s">
        <v>0</v>
      </c>
      <c r="P368" s="10" t="s">
        <v>1043</v>
      </c>
    </row>
    <row r="369" spans="1:16" x14ac:dyDescent="0.25">
      <c r="A369" s="7" t="s">
        <v>444</v>
      </c>
      <c r="B369" s="8" t="s">
        <v>443</v>
      </c>
      <c r="C369" s="8" t="s">
        <v>43</v>
      </c>
      <c r="D369" s="8" t="s">
        <v>445</v>
      </c>
      <c r="E369" s="8" t="s">
        <v>0</v>
      </c>
      <c r="F369" s="8" t="s">
        <v>241</v>
      </c>
      <c r="G369" s="8" t="s">
        <v>392</v>
      </c>
      <c r="H369" s="9">
        <v>39.08</v>
      </c>
      <c r="I369" s="9">
        <v>117.33</v>
      </c>
      <c r="J369" s="8" t="s">
        <v>299</v>
      </c>
      <c r="K369" s="8" t="s">
        <v>82</v>
      </c>
      <c r="L369" s="8" t="s">
        <v>16</v>
      </c>
      <c r="M369" s="8" t="s">
        <v>30</v>
      </c>
      <c r="N369" s="8" t="s">
        <v>0</v>
      </c>
      <c r="O369" s="8" t="s">
        <v>0</v>
      </c>
      <c r="P369" s="10" t="s">
        <v>1043</v>
      </c>
    </row>
    <row r="370" spans="1:16" x14ac:dyDescent="0.25">
      <c r="A370" s="7" t="s">
        <v>446</v>
      </c>
      <c r="B370" s="8" t="s">
        <v>443</v>
      </c>
      <c r="C370" s="8" t="s">
        <v>43</v>
      </c>
      <c r="D370" s="8" t="s">
        <v>76</v>
      </c>
      <c r="E370" s="8" t="s">
        <v>0</v>
      </c>
      <c r="F370" s="8" t="s">
        <v>66</v>
      </c>
      <c r="G370" s="8" t="s">
        <v>392</v>
      </c>
      <c r="H370" s="9">
        <v>31.1</v>
      </c>
      <c r="I370" s="9">
        <v>121.23</v>
      </c>
      <c r="J370" s="8" t="s">
        <v>299</v>
      </c>
      <c r="K370" s="8" t="s">
        <v>82</v>
      </c>
      <c r="L370" s="8" t="s">
        <v>16</v>
      </c>
      <c r="M370" s="8" t="s">
        <v>30</v>
      </c>
      <c r="N370" s="8" t="s">
        <v>0</v>
      </c>
      <c r="O370" s="8" t="s">
        <v>0</v>
      </c>
      <c r="P370" s="10" t="s">
        <v>1043</v>
      </c>
    </row>
    <row r="371" spans="1:16" x14ac:dyDescent="0.25">
      <c r="A371" s="7" t="s">
        <v>447</v>
      </c>
      <c r="B371" s="8" t="s">
        <v>443</v>
      </c>
      <c r="C371" s="8" t="s">
        <v>43</v>
      </c>
      <c r="D371" s="8" t="s">
        <v>448</v>
      </c>
      <c r="E371" s="8" t="s">
        <v>0</v>
      </c>
      <c r="F371" s="8" t="s">
        <v>449</v>
      </c>
      <c r="G371" s="8" t="s">
        <v>392</v>
      </c>
      <c r="H371" s="9">
        <v>32.119999999999997</v>
      </c>
      <c r="I371" s="9">
        <v>118.98</v>
      </c>
      <c r="J371" s="8" t="s">
        <v>299</v>
      </c>
      <c r="K371" s="8" t="s">
        <v>82</v>
      </c>
      <c r="L371" s="8" t="s">
        <v>16</v>
      </c>
      <c r="M371" s="8" t="s">
        <v>30</v>
      </c>
      <c r="N371" s="8" t="s">
        <v>0</v>
      </c>
      <c r="O371" s="8" t="s">
        <v>0</v>
      </c>
      <c r="P371" s="10" t="s">
        <v>1043</v>
      </c>
    </row>
    <row r="372" spans="1:16" x14ac:dyDescent="0.25">
      <c r="A372" s="7" t="s">
        <v>450</v>
      </c>
      <c r="B372" s="8" t="s">
        <v>443</v>
      </c>
      <c r="C372" s="8" t="s">
        <v>43</v>
      </c>
      <c r="D372" s="8" t="s">
        <v>451</v>
      </c>
      <c r="E372" s="8" t="s">
        <v>0</v>
      </c>
      <c r="F372" s="8" t="s">
        <v>452</v>
      </c>
      <c r="G372" s="8" t="s">
        <v>392</v>
      </c>
      <c r="H372" s="9">
        <v>30.2</v>
      </c>
      <c r="I372" s="9">
        <v>120.15</v>
      </c>
      <c r="J372" s="8" t="s">
        <v>299</v>
      </c>
      <c r="K372" s="8" t="s">
        <v>82</v>
      </c>
      <c r="L372" s="8" t="s">
        <v>16</v>
      </c>
      <c r="M372" s="8" t="s">
        <v>30</v>
      </c>
      <c r="N372" s="8" t="s">
        <v>0</v>
      </c>
      <c r="O372" s="8" t="s">
        <v>0</v>
      </c>
      <c r="P372" s="10" t="s">
        <v>1043</v>
      </c>
    </row>
    <row r="373" spans="1:16" x14ac:dyDescent="0.25">
      <c r="A373" s="7" t="s">
        <v>585</v>
      </c>
      <c r="B373" s="8" t="s">
        <v>443</v>
      </c>
      <c r="C373" s="8" t="s">
        <v>43</v>
      </c>
      <c r="D373" s="8" t="s">
        <v>314</v>
      </c>
      <c r="E373" s="8" t="s">
        <v>0</v>
      </c>
      <c r="F373" s="8" t="s">
        <v>237</v>
      </c>
      <c r="G373" s="8" t="s">
        <v>392</v>
      </c>
      <c r="H373" s="9">
        <v>40</v>
      </c>
      <c r="I373" s="9">
        <v>116.33</v>
      </c>
      <c r="J373" s="8" t="s">
        <v>299</v>
      </c>
      <c r="K373" s="8" t="s">
        <v>87</v>
      </c>
      <c r="L373" s="8" t="s">
        <v>16</v>
      </c>
      <c r="M373" s="8" t="s">
        <v>30</v>
      </c>
      <c r="N373" s="8" t="s">
        <v>0</v>
      </c>
      <c r="O373" s="8" t="s">
        <v>586</v>
      </c>
      <c r="P373" s="10" t="s">
        <v>1043</v>
      </c>
    </row>
    <row r="374" spans="1:16" x14ac:dyDescent="0.25">
      <c r="A374" s="7" t="s">
        <v>587</v>
      </c>
      <c r="B374" s="8" t="s">
        <v>443</v>
      </c>
      <c r="C374" s="8" t="s">
        <v>43</v>
      </c>
      <c r="D374" s="8" t="s">
        <v>314</v>
      </c>
      <c r="E374" s="8" t="s">
        <v>0</v>
      </c>
      <c r="F374" s="8" t="s">
        <v>245</v>
      </c>
      <c r="G374" s="8" t="s">
        <v>392</v>
      </c>
      <c r="H374" s="9">
        <v>39.869999999999997</v>
      </c>
      <c r="I374" s="9">
        <v>116.35</v>
      </c>
      <c r="J374" s="8" t="s">
        <v>299</v>
      </c>
      <c r="K374" s="8" t="s">
        <v>87</v>
      </c>
      <c r="L374" s="8" t="s">
        <v>16</v>
      </c>
      <c r="M374" s="8" t="s">
        <v>30</v>
      </c>
      <c r="N374" s="8" t="s">
        <v>0</v>
      </c>
      <c r="O374" s="8" t="s">
        <v>0</v>
      </c>
      <c r="P374" s="10" t="s">
        <v>1043</v>
      </c>
    </row>
    <row r="375" spans="1:16" x14ac:dyDescent="0.25">
      <c r="A375" s="7" t="s">
        <v>588</v>
      </c>
      <c r="B375" s="8" t="s">
        <v>443</v>
      </c>
      <c r="C375" s="8" t="s">
        <v>43</v>
      </c>
      <c r="D375" s="8" t="s">
        <v>445</v>
      </c>
      <c r="E375" s="8" t="s">
        <v>0</v>
      </c>
      <c r="F375" s="8" t="s">
        <v>234</v>
      </c>
      <c r="G375" s="8" t="s">
        <v>392</v>
      </c>
      <c r="H375" s="9">
        <v>39.979999999999997</v>
      </c>
      <c r="I375" s="9">
        <v>117.2</v>
      </c>
      <c r="J375" s="8" t="s">
        <v>299</v>
      </c>
      <c r="K375" s="8" t="s">
        <v>87</v>
      </c>
      <c r="L375" s="8" t="s">
        <v>16</v>
      </c>
      <c r="M375" s="8" t="s">
        <v>30</v>
      </c>
      <c r="N375" s="8" t="s">
        <v>0</v>
      </c>
      <c r="O375" s="8" t="s">
        <v>589</v>
      </c>
      <c r="P375" s="10" t="s">
        <v>1043</v>
      </c>
    </row>
    <row r="376" spans="1:16" x14ac:dyDescent="0.25">
      <c r="A376" s="7" t="s">
        <v>590</v>
      </c>
      <c r="B376" s="8" t="s">
        <v>443</v>
      </c>
      <c r="C376" s="8" t="s">
        <v>43</v>
      </c>
      <c r="D376" s="8" t="s">
        <v>445</v>
      </c>
      <c r="E376" s="8" t="s">
        <v>0</v>
      </c>
      <c r="F376" s="8" t="s">
        <v>239</v>
      </c>
      <c r="G376" s="8" t="s">
        <v>392</v>
      </c>
      <c r="H376" s="9">
        <v>39.1</v>
      </c>
      <c r="I376" s="9">
        <v>117.18</v>
      </c>
      <c r="J376" s="8" t="s">
        <v>299</v>
      </c>
      <c r="K376" s="8" t="s">
        <v>87</v>
      </c>
      <c r="L376" s="8" t="s">
        <v>16</v>
      </c>
      <c r="M376" s="8" t="s">
        <v>30</v>
      </c>
      <c r="N376" s="8" t="s">
        <v>0</v>
      </c>
      <c r="O376" s="8" t="s">
        <v>0</v>
      </c>
      <c r="P376" s="10" t="s">
        <v>1043</v>
      </c>
    </row>
    <row r="377" spans="1:16" x14ac:dyDescent="0.25">
      <c r="A377" s="7" t="s">
        <v>591</v>
      </c>
      <c r="B377" s="8" t="s">
        <v>443</v>
      </c>
      <c r="C377" s="8" t="s">
        <v>43</v>
      </c>
      <c r="D377" s="8" t="s">
        <v>76</v>
      </c>
      <c r="E377" s="8" t="s">
        <v>0</v>
      </c>
      <c r="F377" s="8" t="s">
        <v>60</v>
      </c>
      <c r="G377" s="8" t="s">
        <v>392</v>
      </c>
      <c r="H377" s="9">
        <v>31.23</v>
      </c>
      <c r="I377" s="9">
        <v>121.43</v>
      </c>
      <c r="J377" s="8" t="s">
        <v>299</v>
      </c>
      <c r="K377" s="8" t="s">
        <v>87</v>
      </c>
      <c r="L377" s="8" t="s">
        <v>16</v>
      </c>
      <c r="M377" s="8" t="s">
        <v>30</v>
      </c>
      <c r="N377" s="8" t="s">
        <v>0</v>
      </c>
      <c r="O377" s="8" t="s">
        <v>592</v>
      </c>
      <c r="P377" s="10" t="s">
        <v>1043</v>
      </c>
    </row>
    <row r="378" spans="1:16" x14ac:dyDescent="0.25">
      <c r="A378" s="7" t="s">
        <v>593</v>
      </c>
      <c r="B378" s="8" t="s">
        <v>443</v>
      </c>
      <c r="C378" s="8" t="s">
        <v>43</v>
      </c>
      <c r="D378" s="8" t="s">
        <v>76</v>
      </c>
      <c r="E378" s="8" t="s">
        <v>0</v>
      </c>
      <c r="F378" s="8" t="s">
        <v>64</v>
      </c>
      <c r="G378" s="8" t="s">
        <v>392</v>
      </c>
      <c r="H378" s="9">
        <v>31.2</v>
      </c>
      <c r="I378" s="9">
        <v>121.38</v>
      </c>
      <c r="J378" s="8" t="s">
        <v>299</v>
      </c>
      <c r="K378" s="8" t="s">
        <v>87</v>
      </c>
      <c r="L378" s="8" t="s">
        <v>16</v>
      </c>
      <c r="M378" s="8" t="s">
        <v>30</v>
      </c>
      <c r="N378" s="8" t="s">
        <v>0</v>
      </c>
      <c r="O378" s="8" t="s">
        <v>0</v>
      </c>
      <c r="P378" s="10" t="s">
        <v>1043</v>
      </c>
    </row>
    <row r="379" spans="1:16" x14ac:dyDescent="0.25">
      <c r="A379" s="7" t="s">
        <v>594</v>
      </c>
      <c r="B379" s="8" t="s">
        <v>443</v>
      </c>
      <c r="C379" s="8" t="s">
        <v>43</v>
      </c>
      <c r="D379" s="8" t="s">
        <v>448</v>
      </c>
      <c r="E379" s="8" t="s">
        <v>0</v>
      </c>
      <c r="F379" s="8" t="s">
        <v>595</v>
      </c>
      <c r="G379" s="8" t="s">
        <v>392</v>
      </c>
      <c r="H379" s="9">
        <v>32.020000000000003</v>
      </c>
      <c r="I379" s="9">
        <v>118.78</v>
      </c>
      <c r="J379" s="8" t="s">
        <v>299</v>
      </c>
      <c r="K379" s="8" t="s">
        <v>87</v>
      </c>
      <c r="L379" s="8" t="s">
        <v>16</v>
      </c>
      <c r="M379" s="8" t="s">
        <v>30</v>
      </c>
      <c r="N379" s="8" t="s">
        <v>0</v>
      </c>
      <c r="O379" s="8" t="s">
        <v>596</v>
      </c>
      <c r="P379" s="10" t="s">
        <v>1043</v>
      </c>
    </row>
    <row r="380" spans="1:16" x14ac:dyDescent="0.25">
      <c r="A380" s="7" t="s">
        <v>597</v>
      </c>
      <c r="B380" s="8" t="s">
        <v>443</v>
      </c>
      <c r="C380" s="8" t="s">
        <v>43</v>
      </c>
      <c r="D380" s="8" t="s">
        <v>448</v>
      </c>
      <c r="E380" s="8" t="s">
        <v>0</v>
      </c>
      <c r="F380" s="8" t="s">
        <v>598</v>
      </c>
      <c r="G380" s="8" t="s">
        <v>392</v>
      </c>
      <c r="H380" s="9">
        <v>32.049999999999997</v>
      </c>
      <c r="I380" s="9">
        <v>118.8</v>
      </c>
      <c r="J380" s="8" t="s">
        <v>299</v>
      </c>
      <c r="K380" s="8" t="s">
        <v>87</v>
      </c>
      <c r="L380" s="8" t="s">
        <v>16</v>
      </c>
      <c r="M380" s="8" t="s">
        <v>30</v>
      </c>
      <c r="N380" s="8" t="s">
        <v>0</v>
      </c>
      <c r="O380" s="8" t="s">
        <v>0</v>
      </c>
      <c r="P380" s="10" t="s">
        <v>1043</v>
      </c>
    </row>
    <row r="381" spans="1:16" x14ac:dyDescent="0.25">
      <c r="A381" s="7" t="s">
        <v>599</v>
      </c>
      <c r="B381" s="8" t="s">
        <v>443</v>
      </c>
      <c r="C381" s="8" t="s">
        <v>43</v>
      </c>
      <c r="D381" s="8" t="s">
        <v>451</v>
      </c>
      <c r="E381" s="8" t="s">
        <v>0</v>
      </c>
      <c r="F381" s="8" t="s">
        <v>600</v>
      </c>
      <c r="G381" s="8" t="s">
        <v>392</v>
      </c>
      <c r="H381" s="9">
        <v>30.27</v>
      </c>
      <c r="I381" s="9">
        <v>120.15</v>
      </c>
      <c r="J381" s="8" t="s">
        <v>299</v>
      </c>
      <c r="K381" s="8" t="s">
        <v>87</v>
      </c>
      <c r="L381" s="8" t="s">
        <v>16</v>
      </c>
      <c r="M381" s="8" t="s">
        <v>30</v>
      </c>
      <c r="N381" s="8" t="s">
        <v>0</v>
      </c>
      <c r="O381" s="8" t="s">
        <v>601</v>
      </c>
      <c r="P381" s="10" t="s">
        <v>1043</v>
      </c>
    </row>
    <row r="382" spans="1:16" x14ac:dyDescent="0.25">
      <c r="A382" s="7" t="s">
        <v>602</v>
      </c>
      <c r="B382" s="8" t="s">
        <v>443</v>
      </c>
      <c r="C382" s="8" t="s">
        <v>43</v>
      </c>
      <c r="D382" s="8" t="s">
        <v>451</v>
      </c>
      <c r="E382" s="8" t="s">
        <v>0</v>
      </c>
      <c r="F382" s="8" t="s">
        <v>603</v>
      </c>
      <c r="G382" s="8" t="s">
        <v>392</v>
      </c>
      <c r="H382" s="9">
        <v>30.29</v>
      </c>
      <c r="I382" s="9">
        <v>120.22</v>
      </c>
      <c r="J382" s="8" t="s">
        <v>299</v>
      </c>
      <c r="K382" s="8" t="s">
        <v>87</v>
      </c>
      <c r="L382" s="8" t="s">
        <v>16</v>
      </c>
      <c r="M382" s="8" t="s">
        <v>30</v>
      </c>
      <c r="N382" s="8" t="s">
        <v>0</v>
      </c>
      <c r="O382" s="8" t="s">
        <v>0</v>
      </c>
      <c r="P382" s="10" t="s">
        <v>1043</v>
      </c>
    </row>
    <row r="383" spans="1:16" x14ac:dyDescent="0.25">
      <c r="A383" s="7" t="s">
        <v>151</v>
      </c>
      <c r="B383" s="8" t="s">
        <v>152</v>
      </c>
      <c r="C383" s="8" t="s">
        <v>1156</v>
      </c>
      <c r="D383" s="8" t="s">
        <v>153</v>
      </c>
      <c r="E383" s="8" t="s">
        <v>154</v>
      </c>
      <c r="F383" s="8" t="s">
        <v>0</v>
      </c>
      <c r="G383" s="8" t="s">
        <v>31</v>
      </c>
      <c r="H383" s="9">
        <v>54.5</v>
      </c>
      <c r="I383" s="9">
        <v>18.600000000000001</v>
      </c>
      <c r="J383" s="8" t="s">
        <v>1088</v>
      </c>
      <c r="K383" s="8" t="s">
        <v>0</v>
      </c>
      <c r="L383" s="8" t="s">
        <v>16</v>
      </c>
      <c r="M383" s="8" t="s">
        <v>1109</v>
      </c>
      <c r="N383" s="8" t="s">
        <v>0</v>
      </c>
      <c r="O383" s="8">
        <v>451</v>
      </c>
      <c r="P383" s="10" t="s">
        <v>1133</v>
      </c>
    </row>
    <row r="384" spans="1:16" x14ac:dyDescent="0.25">
      <c r="A384" s="7" t="s">
        <v>155</v>
      </c>
      <c r="B384" s="8" t="s">
        <v>152</v>
      </c>
      <c r="C384" s="8" t="s">
        <v>1156</v>
      </c>
      <c r="D384" s="8" t="s">
        <v>156</v>
      </c>
      <c r="E384" s="8" t="s">
        <v>154</v>
      </c>
      <c r="F384" s="8" t="s">
        <v>0</v>
      </c>
      <c r="G384" s="8" t="s">
        <v>31</v>
      </c>
      <c r="H384" s="9">
        <v>56</v>
      </c>
      <c r="I384" s="9">
        <v>19</v>
      </c>
      <c r="J384" s="8" t="s">
        <v>1088</v>
      </c>
      <c r="K384" s="8" t="s">
        <v>0</v>
      </c>
      <c r="L384" s="8" t="s">
        <v>16</v>
      </c>
      <c r="M384" s="8" t="s">
        <v>1109</v>
      </c>
      <c r="N384" s="8" t="s">
        <v>0</v>
      </c>
      <c r="O384" s="8">
        <v>41.5</v>
      </c>
      <c r="P384" s="10" t="s">
        <v>1133</v>
      </c>
    </row>
    <row r="385" spans="1:16" x14ac:dyDescent="0.25">
      <c r="A385" s="7" t="s">
        <v>157</v>
      </c>
      <c r="B385" s="8" t="s">
        <v>152</v>
      </c>
      <c r="C385" s="8" t="s">
        <v>1156</v>
      </c>
      <c r="D385" s="8" t="s">
        <v>158</v>
      </c>
      <c r="E385" s="8" t="s">
        <v>154</v>
      </c>
      <c r="F385" s="8" t="s">
        <v>0</v>
      </c>
      <c r="G385" s="8" t="s">
        <v>31</v>
      </c>
      <c r="H385" s="9">
        <v>56.5</v>
      </c>
      <c r="I385" s="9">
        <v>17.5</v>
      </c>
      <c r="J385" s="8" t="s">
        <v>1088</v>
      </c>
      <c r="K385" s="8" t="s">
        <v>0</v>
      </c>
      <c r="L385" s="8" t="s">
        <v>16</v>
      </c>
      <c r="M385" s="8" t="s">
        <v>1109</v>
      </c>
      <c r="N385" s="8" t="s">
        <v>0</v>
      </c>
      <c r="O385" s="8">
        <v>21</v>
      </c>
      <c r="P385" s="10" t="s">
        <v>1133</v>
      </c>
    </row>
    <row r="386" spans="1:16" x14ac:dyDescent="0.25">
      <c r="A386" s="7" t="s">
        <v>159</v>
      </c>
      <c r="B386" s="8" t="s">
        <v>152</v>
      </c>
      <c r="C386" s="8" t="s">
        <v>1156</v>
      </c>
      <c r="D386" s="8" t="s">
        <v>160</v>
      </c>
      <c r="E386" s="8" t="s">
        <v>154</v>
      </c>
      <c r="F386" s="8" t="s">
        <v>0</v>
      </c>
      <c r="G386" s="8" t="s">
        <v>31</v>
      </c>
      <c r="H386" s="9">
        <v>57.5</v>
      </c>
      <c r="I386" s="9">
        <v>19</v>
      </c>
      <c r="J386" s="8" t="s">
        <v>1088</v>
      </c>
      <c r="K386" s="8" t="s">
        <v>0</v>
      </c>
      <c r="L386" s="8" t="s">
        <v>16</v>
      </c>
      <c r="M386" s="8" t="s">
        <v>1109</v>
      </c>
      <c r="N386" s="8" t="s">
        <v>0</v>
      </c>
      <c r="O386" s="8">
        <v>65</v>
      </c>
      <c r="P386" s="10" t="s">
        <v>1133</v>
      </c>
    </row>
    <row r="387" spans="1:16" x14ac:dyDescent="0.25">
      <c r="A387" s="7" t="s">
        <v>604</v>
      </c>
      <c r="B387" s="8" t="s">
        <v>605</v>
      </c>
      <c r="C387" s="8" t="s">
        <v>390</v>
      </c>
      <c r="D387" s="8" t="s">
        <v>606</v>
      </c>
      <c r="E387" s="8" t="s">
        <v>0</v>
      </c>
      <c r="F387" s="8" t="s">
        <v>0</v>
      </c>
      <c r="G387" s="8" t="s">
        <v>97</v>
      </c>
      <c r="H387" s="9">
        <v>51.32</v>
      </c>
      <c r="I387" s="9">
        <v>9.52</v>
      </c>
      <c r="J387" s="8" t="s">
        <v>299</v>
      </c>
      <c r="K387" s="8" t="s">
        <v>87</v>
      </c>
      <c r="L387" s="8" t="s">
        <v>16</v>
      </c>
      <c r="M387" s="8" t="s">
        <v>17</v>
      </c>
      <c r="N387" s="8" t="s">
        <v>1160</v>
      </c>
      <c r="O387" s="8" t="s">
        <v>81</v>
      </c>
      <c r="P387" s="10" t="s">
        <v>1159</v>
      </c>
    </row>
    <row r="388" spans="1:16" x14ac:dyDescent="0.25">
      <c r="A388" s="7" t="s">
        <v>607</v>
      </c>
      <c r="B388" s="8" t="s">
        <v>608</v>
      </c>
      <c r="C388" s="8" t="s">
        <v>43</v>
      </c>
      <c r="D388" s="8" t="s">
        <v>609</v>
      </c>
      <c r="E388" s="8" t="s">
        <v>0</v>
      </c>
      <c r="F388" s="8" t="s">
        <v>0</v>
      </c>
      <c r="G388" s="8" t="s">
        <v>610</v>
      </c>
      <c r="H388" s="9">
        <v>36.07</v>
      </c>
      <c r="I388" s="9">
        <v>114.36</v>
      </c>
      <c r="J388" s="8" t="s">
        <v>299</v>
      </c>
      <c r="K388" s="8" t="s">
        <v>87</v>
      </c>
      <c r="L388" s="8" t="s">
        <v>16</v>
      </c>
      <c r="M388" s="8" t="s">
        <v>30</v>
      </c>
      <c r="N388" s="8" t="s">
        <v>0</v>
      </c>
      <c r="O388" s="8">
        <v>0.42</v>
      </c>
      <c r="P388" s="10" t="s">
        <v>1135</v>
      </c>
    </row>
    <row r="389" spans="1:16" ht="18" x14ac:dyDescent="0.35">
      <c r="A389" s="7" t="s">
        <v>607</v>
      </c>
      <c r="B389" s="8" t="s">
        <v>608</v>
      </c>
      <c r="C389" s="8" t="s">
        <v>43</v>
      </c>
      <c r="D389" s="8" t="s">
        <v>609</v>
      </c>
      <c r="E389" s="8" t="s">
        <v>0</v>
      </c>
      <c r="F389" s="8" t="s">
        <v>0</v>
      </c>
      <c r="G389" s="8" t="s">
        <v>610</v>
      </c>
      <c r="H389" s="9">
        <v>36.07</v>
      </c>
      <c r="I389" s="9">
        <v>114.36</v>
      </c>
      <c r="J389" s="8" t="s">
        <v>299</v>
      </c>
      <c r="K389" s="8" t="s">
        <v>87</v>
      </c>
      <c r="L389" s="8" t="s">
        <v>16</v>
      </c>
      <c r="M389" s="8" t="s">
        <v>30</v>
      </c>
      <c r="N389" s="8" t="s">
        <v>0</v>
      </c>
      <c r="O389" s="8">
        <v>0.38</v>
      </c>
      <c r="P389" s="10" t="s">
        <v>2377</v>
      </c>
    </row>
    <row r="390" spans="1:16" ht="18" x14ac:dyDescent="0.35">
      <c r="A390" s="7" t="s">
        <v>607</v>
      </c>
      <c r="B390" s="8" t="s">
        <v>608</v>
      </c>
      <c r="C390" s="8" t="s">
        <v>43</v>
      </c>
      <c r="D390" s="8" t="s">
        <v>609</v>
      </c>
      <c r="E390" s="8" t="s">
        <v>0</v>
      </c>
      <c r="F390" s="8" t="s">
        <v>0</v>
      </c>
      <c r="G390" s="8" t="s">
        <v>610</v>
      </c>
      <c r="H390" s="9">
        <v>36.07</v>
      </c>
      <c r="I390" s="9">
        <v>114.36</v>
      </c>
      <c r="J390" s="8" t="s">
        <v>299</v>
      </c>
      <c r="K390" s="8" t="s">
        <v>87</v>
      </c>
      <c r="L390" s="8" t="s">
        <v>16</v>
      </c>
      <c r="M390" s="8" t="s">
        <v>30</v>
      </c>
      <c r="N390" s="8" t="s">
        <v>0</v>
      </c>
      <c r="O390" s="8">
        <v>0.42</v>
      </c>
      <c r="P390" s="10" t="s">
        <v>2378</v>
      </c>
    </row>
    <row r="391" spans="1:16" x14ac:dyDescent="0.25">
      <c r="A391" s="7" t="s">
        <v>161</v>
      </c>
      <c r="B391" s="8" t="s">
        <v>162</v>
      </c>
      <c r="C391" s="8" t="s">
        <v>43</v>
      </c>
      <c r="D391" s="8" t="s">
        <v>0</v>
      </c>
      <c r="E391" s="8" t="s">
        <v>163</v>
      </c>
      <c r="F391" s="8" t="s">
        <v>60</v>
      </c>
      <c r="G391" s="8" t="s">
        <v>164</v>
      </c>
      <c r="H391" s="9">
        <v>12.68</v>
      </c>
      <c r="I391" s="9">
        <v>128.56</v>
      </c>
      <c r="J391" s="8" t="s">
        <v>1151</v>
      </c>
      <c r="K391" s="8" t="s">
        <v>0</v>
      </c>
      <c r="L391" s="8" t="s">
        <v>16</v>
      </c>
      <c r="M391" s="8" t="s">
        <v>30</v>
      </c>
      <c r="N391" s="8" t="s">
        <v>0</v>
      </c>
      <c r="O391" s="8">
        <v>6.9399999999999991E-3</v>
      </c>
      <c r="P391" s="10" t="s">
        <v>1134</v>
      </c>
    </row>
    <row r="392" spans="1:16" x14ac:dyDescent="0.25">
      <c r="A392" s="7" t="s">
        <v>165</v>
      </c>
      <c r="B392" s="8" t="s">
        <v>162</v>
      </c>
      <c r="C392" s="8" t="s">
        <v>43</v>
      </c>
      <c r="D392" s="8" t="s">
        <v>0</v>
      </c>
      <c r="E392" s="8" t="s">
        <v>0</v>
      </c>
      <c r="F392" s="8" t="s">
        <v>64</v>
      </c>
      <c r="G392" s="8" t="s">
        <v>164</v>
      </c>
      <c r="H392" s="9">
        <v>12.57</v>
      </c>
      <c r="I392" s="9">
        <v>130.69999999999999</v>
      </c>
      <c r="J392" s="8" t="s">
        <v>1151</v>
      </c>
      <c r="K392" s="8" t="s">
        <v>0</v>
      </c>
      <c r="L392" s="8" t="s">
        <v>16</v>
      </c>
      <c r="M392" s="8" t="s">
        <v>30</v>
      </c>
      <c r="N392" s="8" t="s">
        <v>0</v>
      </c>
      <c r="O392" s="8">
        <v>1.389E-2</v>
      </c>
      <c r="P392" s="10" t="s">
        <v>1134</v>
      </c>
    </row>
    <row r="393" spans="1:16" x14ac:dyDescent="0.25">
      <c r="A393" s="7" t="s">
        <v>166</v>
      </c>
      <c r="B393" s="8" t="s">
        <v>162</v>
      </c>
      <c r="C393" s="8" t="s">
        <v>43</v>
      </c>
      <c r="D393" s="8" t="s">
        <v>0</v>
      </c>
      <c r="E393" s="8" t="s">
        <v>0</v>
      </c>
      <c r="F393" s="8" t="s">
        <v>66</v>
      </c>
      <c r="G393" s="8" t="s">
        <v>164</v>
      </c>
      <c r="H393" s="9">
        <v>13.01</v>
      </c>
      <c r="I393" s="9">
        <v>129.96</v>
      </c>
      <c r="J393" s="8" t="s">
        <v>1151</v>
      </c>
      <c r="K393" s="8" t="s">
        <v>0</v>
      </c>
      <c r="L393" s="8" t="s">
        <v>16</v>
      </c>
      <c r="M393" s="8" t="s">
        <v>30</v>
      </c>
      <c r="N393" s="8" t="s">
        <v>0</v>
      </c>
      <c r="O393" s="8">
        <v>8.3299999999999989E-3</v>
      </c>
      <c r="P393" s="10" t="s">
        <v>1134</v>
      </c>
    </row>
    <row r="394" spans="1:16" x14ac:dyDescent="0.25">
      <c r="A394" s="7" t="s">
        <v>167</v>
      </c>
      <c r="B394" s="8" t="s">
        <v>162</v>
      </c>
      <c r="C394" s="8" t="s">
        <v>43</v>
      </c>
      <c r="D394" s="8" t="s">
        <v>0</v>
      </c>
      <c r="E394" s="8" t="s">
        <v>0</v>
      </c>
      <c r="F394" s="8" t="s">
        <v>104</v>
      </c>
      <c r="G394" s="8" t="s">
        <v>164</v>
      </c>
      <c r="H394" s="9">
        <v>15.75</v>
      </c>
      <c r="I394" s="9">
        <v>129.94999999999999</v>
      </c>
      <c r="J394" s="8" t="s">
        <v>1151</v>
      </c>
      <c r="K394" s="8" t="s">
        <v>0</v>
      </c>
      <c r="L394" s="8" t="s">
        <v>16</v>
      </c>
      <c r="M394" s="8" t="s">
        <v>30</v>
      </c>
      <c r="N394" s="8" t="s">
        <v>0</v>
      </c>
      <c r="O394" s="8">
        <v>1.389E-2</v>
      </c>
      <c r="P394" s="10" t="s">
        <v>1134</v>
      </c>
    </row>
    <row r="395" spans="1:16" x14ac:dyDescent="0.25">
      <c r="A395" s="7" t="s">
        <v>168</v>
      </c>
      <c r="B395" s="8" t="s">
        <v>162</v>
      </c>
      <c r="C395" s="8" t="s">
        <v>43</v>
      </c>
      <c r="D395" s="8" t="s">
        <v>0</v>
      </c>
      <c r="E395" s="8" t="s">
        <v>0</v>
      </c>
      <c r="F395" s="8" t="s">
        <v>107</v>
      </c>
      <c r="G395" s="8" t="s">
        <v>164</v>
      </c>
      <c r="H395" s="9">
        <v>18.010000000000002</v>
      </c>
      <c r="I395" s="9">
        <v>129.97999999999999</v>
      </c>
      <c r="J395" s="8" t="s">
        <v>1151</v>
      </c>
      <c r="K395" s="8" t="s">
        <v>0</v>
      </c>
      <c r="L395" s="8" t="s">
        <v>16</v>
      </c>
      <c r="M395" s="8" t="s">
        <v>30</v>
      </c>
      <c r="N395" s="8" t="s">
        <v>0</v>
      </c>
      <c r="O395" s="8">
        <v>5.2100000000000002E-3</v>
      </c>
      <c r="P395" s="10" t="s">
        <v>1134</v>
      </c>
    </row>
    <row r="396" spans="1:16" x14ac:dyDescent="0.25">
      <c r="A396" s="7" t="s">
        <v>169</v>
      </c>
      <c r="B396" s="8" t="s">
        <v>162</v>
      </c>
      <c r="C396" s="8" t="s">
        <v>43</v>
      </c>
      <c r="D396" s="8" t="s">
        <v>0</v>
      </c>
      <c r="E396" s="8" t="s">
        <v>0</v>
      </c>
      <c r="F396" s="8" t="s">
        <v>170</v>
      </c>
      <c r="G396" s="8" t="s">
        <v>164</v>
      </c>
      <c r="H396" s="9">
        <v>20</v>
      </c>
      <c r="I396" s="9">
        <v>126.99</v>
      </c>
      <c r="J396" s="8" t="s">
        <v>1151</v>
      </c>
      <c r="K396" s="8" t="s">
        <v>0</v>
      </c>
      <c r="L396" s="8" t="s">
        <v>16</v>
      </c>
      <c r="M396" s="8" t="s">
        <v>30</v>
      </c>
      <c r="N396" s="8" t="s">
        <v>0</v>
      </c>
      <c r="O396" s="8">
        <v>1.389E-2</v>
      </c>
      <c r="P396" s="10" t="s">
        <v>1134</v>
      </c>
    </row>
    <row r="397" spans="1:16" x14ac:dyDescent="0.25">
      <c r="A397" s="7" t="s">
        <v>171</v>
      </c>
      <c r="B397" s="8" t="s">
        <v>162</v>
      </c>
      <c r="C397" s="8" t="s">
        <v>43</v>
      </c>
      <c r="D397" s="8" t="s">
        <v>0</v>
      </c>
      <c r="E397" s="8" t="s">
        <v>0</v>
      </c>
      <c r="F397" s="8" t="s">
        <v>172</v>
      </c>
      <c r="G397" s="8" t="s">
        <v>164</v>
      </c>
      <c r="H397" s="9">
        <v>16.02</v>
      </c>
      <c r="I397" s="9">
        <v>128.88</v>
      </c>
      <c r="J397" s="8" t="s">
        <v>1151</v>
      </c>
      <c r="K397" s="8" t="s">
        <v>0</v>
      </c>
      <c r="L397" s="8" t="s">
        <v>16</v>
      </c>
      <c r="M397" s="8" t="s">
        <v>30</v>
      </c>
      <c r="N397" s="8" t="s">
        <v>0</v>
      </c>
      <c r="O397" s="8">
        <v>9.2600000000000009E-3</v>
      </c>
      <c r="P397" s="10" t="s">
        <v>1134</v>
      </c>
    </row>
    <row r="398" spans="1:16" x14ac:dyDescent="0.25">
      <c r="A398" s="7" t="s">
        <v>173</v>
      </c>
      <c r="B398" s="8" t="s">
        <v>162</v>
      </c>
      <c r="C398" s="8" t="s">
        <v>43</v>
      </c>
      <c r="D398" s="8" t="s">
        <v>0</v>
      </c>
      <c r="E398" s="8" t="s">
        <v>0</v>
      </c>
      <c r="F398" s="8" t="s">
        <v>174</v>
      </c>
      <c r="G398" s="8" t="s">
        <v>164</v>
      </c>
      <c r="H398" s="9">
        <v>10.02</v>
      </c>
      <c r="I398" s="9">
        <v>129.96</v>
      </c>
      <c r="J398" s="8" t="s">
        <v>1151</v>
      </c>
      <c r="K398" s="8" t="s">
        <v>0</v>
      </c>
      <c r="L398" s="8" t="s">
        <v>16</v>
      </c>
      <c r="M398" s="8" t="s">
        <v>30</v>
      </c>
      <c r="N398" s="8" t="s">
        <v>0</v>
      </c>
      <c r="O398" s="8">
        <v>0</v>
      </c>
      <c r="P398" s="10" t="s">
        <v>1134</v>
      </c>
    </row>
    <row r="399" spans="1:16" x14ac:dyDescent="0.25">
      <c r="A399" s="7" t="s">
        <v>175</v>
      </c>
      <c r="B399" s="8" t="s">
        <v>162</v>
      </c>
      <c r="C399" s="8" t="s">
        <v>43</v>
      </c>
      <c r="D399" s="8" t="s">
        <v>0</v>
      </c>
      <c r="E399" s="8" t="s">
        <v>0</v>
      </c>
      <c r="F399" s="8" t="s">
        <v>176</v>
      </c>
      <c r="G399" s="8" t="s">
        <v>164</v>
      </c>
      <c r="H399" s="9">
        <v>11.15</v>
      </c>
      <c r="I399" s="9">
        <v>141.31</v>
      </c>
      <c r="J399" s="8" t="s">
        <v>1151</v>
      </c>
      <c r="K399" s="8" t="s">
        <v>0</v>
      </c>
      <c r="L399" s="8" t="s">
        <v>16</v>
      </c>
      <c r="M399" s="8" t="s">
        <v>30</v>
      </c>
      <c r="N399" s="8" t="s">
        <v>0</v>
      </c>
      <c r="O399" s="8">
        <v>1.389E-2</v>
      </c>
      <c r="P399" s="10" t="s">
        <v>1134</v>
      </c>
    </row>
    <row r="400" spans="1:16" x14ac:dyDescent="0.25">
      <c r="A400" s="7" t="s">
        <v>177</v>
      </c>
      <c r="B400" s="8" t="s">
        <v>162</v>
      </c>
      <c r="C400" s="8" t="s">
        <v>43</v>
      </c>
      <c r="D400" s="8" t="s">
        <v>0</v>
      </c>
      <c r="E400" s="8" t="s">
        <v>0</v>
      </c>
      <c r="F400" s="8" t="s">
        <v>178</v>
      </c>
      <c r="G400" s="8" t="s">
        <v>164</v>
      </c>
      <c r="H400" s="9">
        <v>1.92</v>
      </c>
      <c r="I400" s="9">
        <v>142.03</v>
      </c>
      <c r="J400" s="8" t="s">
        <v>1151</v>
      </c>
      <c r="K400" s="8" t="s">
        <v>0</v>
      </c>
      <c r="L400" s="8" t="s">
        <v>16</v>
      </c>
      <c r="M400" s="8" t="s">
        <v>30</v>
      </c>
      <c r="N400" s="8" t="s">
        <v>0</v>
      </c>
      <c r="O400" s="8">
        <v>1.389E-2</v>
      </c>
      <c r="P400" s="10" t="s">
        <v>1134</v>
      </c>
    </row>
    <row r="401" spans="1:16" x14ac:dyDescent="0.25">
      <c r="A401" s="7" t="s">
        <v>179</v>
      </c>
      <c r="B401" s="8" t="s">
        <v>162</v>
      </c>
      <c r="C401" s="8" t="s">
        <v>43</v>
      </c>
      <c r="D401" s="8" t="s">
        <v>0</v>
      </c>
      <c r="E401" s="8" t="s">
        <v>0</v>
      </c>
      <c r="F401" s="8" t="s">
        <v>180</v>
      </c>
      <c r="G401" s="8" t="s">
        <v>164</v>
      </c>
      <c r="H401" s="9">
        <v>-0.05</v>
      </c>
      <c r="I401" s="9">
        <v>142.03</v>
      </c>
      <c r="J401" s="8" t="s">
        <v>1151</v>
      </c>
      <c r="K401" s="8" t="s">
        <v>0</v>
      </c>
      <c r="L401" s="8" t="s">
        <v>16</v>
      </c>
      <c r="M401" s="8" t="s">
        <v>30</v>
      </c>
      <c r="N401" s="8" t="s">
        <v>0</v>
      </c>
      <c r="O401" s="8">
        <v>0</v>
      </c>
      <c r="P401" s="10" t="s">
        <v>1134</v>
      </c>
    </row>
    <row r="402" spans="1:16" x14ac:dyDescent="0.25">
      <c r="A402" s="7" t="s">
        <v>181</v>
      </c>
      <c r="B402" s="8" t="s">
        <v>162</v>
      </c>
      <c r="C402" s="8" t="s">
        <v>43</v>
      </c>
      <c r="D402" s="8" t="s">
        <v>0</v>
      </c>
      <c r="E402" s="8" t="s">
        <v>0</v>
      </c>
      <c r="F402" s="8" t="s">
        <v>182</v>
      </c>
      <c r="G402" s="8" t="s">
        <v>164</v>
      </c>
      <c r="H402" s="9">
        <v>-2.02</v>
      </c>
      <c r="I402" s="9">
        <v>163.04</v>
      </c>
      <c r="J402" s="8" t="s">
        <v>1151</v>
      </c>
      <c r="K402" s="8" t="s">
        <v>0</v>
      </c>
      <c r="L402" s="8" t="s">
        <v>16</v>
      </c>
      <c r="M402" s="8" t="s">
        <v>30</v>
      </c>
      <c r="N402" s="8" t="s">
        <v>0</v>
      </c>
      <c r="O402" s="8">
        <v>0</v>
      </c>
      <c r="P402" s="10" t="s">
        <v>1134</v>
      </c>
    </row>
    <row r="403" spans="1:16" x14ac:dyDescent="0.25">
      <c r="A403" s="7" t="s">
        <v>183</v>
      </c>
      <c r="B403" s="8" t="s">
        <v>162</v>
      </c>
      <c r="C403" s="8" t="s">
        <v>43</v>
      </c>
      <c r="D403" s="8" t="s">
        <v>0</v>
      </c>
      <c r="E403" s="8" t="s">
        <v>0</v>
      </c>
      <c r="F403" s="8" t="s">
        <v>184</v>
      </c>
      <c r="G403" s="8" t="s">
        <v>164</v>
      </c>
      <c r="H403" s="9">
        <v>0.61</v>
      </c>
      <c r="I403" s="9">
        <v>163.01</v>
      </c>
      <c r="J403" s="8" t="s">
        <v>1151</v>
      </c>
      <c r="K403" s="8" t="s">
        <v>0</v>
      </c>
      <c r="L403" s="8" t="s">
        <v>16</v>
      </c>
      <c r="M403" s="8" t="s">
        <v>30</v>
      </c>
      <c r="N403" s="8" t="s">
        <v>0</v>
      </c>
      <c r="O403" s="8">
        <v>6.9399999999999991E-3</v>
      </c>
      <c r="P403" s="10" t="s">
        <v>1134</v>
      </c>
    </row>
    <row r="404" spans="1:16" x14ac:dyDescent="0.25">
      <c r="A404" s="7" t="s">
        <v>185</v>
      </c>
      <c r="B404" s="8" t="s">
        <v>162</v>
      </c>
      <c r="C404" s="8" t="s">
        <v>43</v>
      </c>
      <c r="D404" s="8" t="s">
        <v>0</v>
      </c>
      <c r="E404" s="8" t="s">
        <v>0</v>
      </c>
      <c r="F404" s="8" t="s">
        <v>186</v>
      </c>
      <c r="G404" s="8" t="s">
        <v>164</v>
      </c>
      <c r="H404" s="9">
        <v>4.01</v>
      </c>
      <c r="I404" s="9">
        <v>163.01</v>
      </c>
      <c r="J404" s="8" t="s">
        <v>1151</v>
      </c>
      <c r="K404" s="8" t="s">
        <v>0</v>
      </c>
      <c r="L404" s="8" t="s">
        <v>16</v>
      </c>
      <c r="M404" s="8" t="s">
        <v>30</v>
      </c>
      <c r="N404" s="8" t="s">
        <v>0</v>
      </c>
      <c r="O404" s="8">
        <v>3.4699999999999996E-3</v>
      </c>
      <c r="P404" s="10" t="s">
        <v>1134</v>
      </c>
    </row>
    <row r="405" spans="1:16" x14ac:dyDescent="0.25">
      <c r="A405" s="7" t="s">
        <v>187</v>
      </c>
      <c r="B405" s="8" t="s">
        <v>162</v>
      </c>
      <c r="C405" s="8" t="s">
        <v>43</v>
      </c>
      <c r="D405" s="8" t="s">
        <v>0</v>
      </c>
      <c r="E405" s="8" t="s">
        <v>0</v>
      </c>
      <c r="F405" s="8" t="s">
        <v>188</v>
      </c>
      <c r="G405" s="8" t="s">
        <v>164</v>
      </c>
      <c r="H405" s="9">
        <v>6.16</v>
      </c>
      <c r="I405" s="9">
        <v>160.38</v>
      </c>
      <c r="J405" s="8" t="s">
        <v>1151</v>
      </c>
      <c r="K405" s="8" t="s">
        <v>0</v>
      </c>
      <c r="L405" s="8" t="s">
        <v>16</v>
      </c>
      <c r="M405" s="8" t="s">
        <v>30</v>
      </c>
      <c r="N405" s="8" t="s">
        <v>0</v>
      </c>
      <c r="O405" s="8">
        <v>6.9399999999999991E-3</v>
      </c>
      <c r="P405" s="10" t="s">
        <v>1134</v>
      </c>
    </row>
    <row r="406" spans="1:16" x14ac:dyDescent="0.25">
      <c r="A406" s="7" t="s">
        <v>189</v>
      </c>
      <c r="B406" s="8" t="s">
        <v>162</v>
      </c>
      <c r="C406" s="8" t="s">
        <v>43</v>
      </c>
      <c r="D406" s="8" t="s">
        <v>0</v>
      </c>
      <c r="E406" s="8" t="s">
        <v>0</v>
      </c>
      <c r="F406" s="8" t="s">
        <v>190</v>
      </c>
      <c r="G406" s="8" t="s">
        <v>164</v>
      </c>
      <c r="H406" s="9">
        <v>3.71</v>
      </c>
      <c r="I406" s="9">
        <v>150.56</v>
      </c>
      <c r="J406" s="8" t="s">
        <v>1151</v>
      </c>
      <c r="K406" s="8" t="s">
        <v>0</v>
      </c>
      <c r="L406" s="8" t="s">
        <v>16</v>
      </c>
      <c r="M406" s="8" t="s">
        <v>30</v>
      </c>
      <c r="N406" s="8" t="s">
        <v>0</v>
      </c>
      <c r="O406" s="8">
        <v>6.9399999999999991E-3</v>
      </c>
      <c r="P406" s="10" t="s">
        <v>1134</v>
      </c>
    </row>
    <row r="407" spans="1:16" x14ac:dyDescent="0.25">
      <c r="A407" s="7" t="s">
        <v>191</v>
      </c>
      <c r="B407" s="8" t="s">
        <v>162</v>
      </c>
      <c r="C407" s="8" t="s">
        <v>43</v>
      </c>
      <c r="D407" s="8" t="s">
        <v>0</v>
      </c>
      <c r="E407" s="8" t="s">
        <v>0</v>
      </c>
      <c r="F407" s="8" t="s">
        <v>192</v>
      </c>
      <c r="G407" s="8" t="s">
        <v>164</v>
      </c>
      <c r="H407" s="9">
        <v>2.2200000000000002</v>
      </c>
      <c r="I407" s="9">
        <v>147.02000000000001</v>
      </c>
      <c r="J407" s="8" t="s">
        <v>1151</v>
      </c>
      <c r="K407" s="8" t="s">
        <v>0</v>
      </c>
      <c r="L407" s="8" t="s">
        <v>16</v>
      </c>
      <c r="M407" s="8" t="s">
        <v>30</v>
      </c>
      <c r="N407" s="8" t="s">
        <v>0</v>
      </c>
      <c r="O407" s="8">
        <v>2.6669999999999999E-2</v>
      </c>
      <c r="P407" s="10" t="s">
        <v>1134</v>
      </c>
    </row>
    <row r="408" spans="1:16" x14ac:dyDescent="0.25">
      <c r="A408" s="7" t="s">
        <v>193</v>
      </c>
      <c r="B408" s="8" t="s">
        <v>162</v>
      </c>
      <c r="C408" s="8" t="s">
        <v>43</v>
      </c>
      <c r="D408" s="8" t="s">
        <v>0</v>
      </c>
      <c r="E408" s="8" t="s">
        <v>0</v>
      </c>
      <c r="F408" s="8" t="s">
        <v>194</v>
      </c>
      <c r="G408" s="8" t="s">
        <v>164</v>
      </c>
      <c r="H408" s="9">
        <v>1.95</v>
      </c>
      <c r="I408" s="9">
        <v>141.18</v>
      </c>
      <c r="J408" s="8" t="s">
        <v>1151</v>
      </c>
      <c r="K408" s="8" t="s">
        <v>0</v>
      </c>
      <c r="L408" s="8" t="s">
        <v>16</v>
      </c>
      <c r="M408" s="8" t="s">
        <v>30</v>
      </c>
      <c r="N408" s="8" t="s">
        <v>0</v>
      </c>
      <c r="O408" s="8">
        <v>4.6300000000000004E-3</v>
      </c>
      <c r="P408" s="10" t="s">
        <v>1134</v>
      </c>
    </row>
    <row r="409" spans="1:16" x14ac:dyDescent="0.25">
      <c r="A409" s="7" t="s">
        <v>195</v>
      </c>
      <c r="B409" s="8" t="s">
        <v>162</v>
      </c>
      <c r="C409" s="8" t="s">
        <v>43</v>
      </c>
      <c r="D409" s="8" t="s">
        <v>0</v>
      </c>
      <c r="E409" s="8" t="s">
        <v>0</v>
      </c>
      <c r="F409" s="8" t="s">
        <v>196</v>
      </c>
      <c r="G409" s="8" t="s">
        <v>164</v>
      </c>
      <c r="H409" s="9">
        <v>4.46</v>
      </c>
      <c r="I409" s="9">
        <v>142</v>
      </c>
      <c r="J409" s="8" t="s">
        <v>1151</v>
      </c>
      <c r="K409" s="8" t="s">
        <v>0</v>
      </c>
      <c r="L409" s="8" t="s">
        <v>16</v>
      </c>
      <c r="M409" s="8" t="s">
        <v>30</v>
      </c>
      <c r="N409" s="8" t="s">
        <v>0</v>
      </c>
      <c r="O409" s="8">
        <v>3.4699999999999996E-3</v>
      </c>
      <c r="P409" s="10" t="s">
        <v>1134</v>
      </c>
    </row>
    <row r="410" spans="1:16" x14ac:dyDescent="0.25">
      <c r="A410" s="7" t="s">
        <v>197</v>
      </c>
      <c r="B410" s="8" t="s">
        <v>162</v>
      </c>
      <c r="C410" s="8" t="s">
        <v>43</v>
      </c>
      <c r="D410" s="8" t="s">
        <v>0</v>
      </c>
      <c r="E410" s="8" t="s">
        <v>0</v>
      </c>
      <c r="F410" s="8" t="s">
        <v>198</v>
      </c>
      <c r="G410" s="8" t="s">
        <v>164</v>
      </c>
      <c r="H410" s="9">
        <v>4.68</v>
      </c>
      <c r="I410" s="9">
        <v>140.16</v>
      </c>
      <c r="J410" s="8" t="s">
        <v>1151</v>
      </c>
      <c r="K410" s="8" t="s">
        <v>0</v>
      </c>
      <c r="L410" s="8" t="s">
        <v>16</v>
      </c>
      <c r="M410" s="8" t="s">
        <v>30</v>
      </c>
      <c r="N410" s="8" t="s">
        <v>0</v>
      </c>
      <c r="O410" s="8">
        <v>1.389E-2</v>
      </c>
      <c r="P410" s="10" t="s">
        <v>1134</v>
      </c>
    </row>
    <row r="411" spans="1:16" x14ac:dyDescent="0.25">
      <c r="A411" s="7" t="s">
        <v>199</v>
      </c>
      <c r="B411" s="8" t="s">
        <v>162</v>
      </c>
      <c r="C411" s="8" t="s">
        <v>43</v>
      </c>
      <c r="D411" s="8" t="s">
        <v>0</v>
      </c>
      <c r="E411" s="8" t="s">
        <v>0</v>
      </c>
      <c r="F411" s="8" t="s">
        <v>200</v>
      </c>
      <c r="G411" s="8" t="s">
        <v>164</v>
      </c>
      <c r="H411" s="9">
        <v>6.97</v>
      </c>
      <c r="I411" s="9">
        <v>158.15</v>
      </c>
      <c r="J411" s="8" t="s">
        <v>1151</v>
      </c>
      <c r="K411" s="8" t="s">
        <v>0</v>
      </c>
      <c r="L411" s="8" t="s">
        <v>16</v>
      </c>
      <c r="M411" s="8" t="s">
        <v>30</v>
      </c>
      <c r="N411" s="8" t="s">
        <v>0</v>
      </c>
      <c r="O411" s="8">
        <v>6.9399999999999991E-3</v>
      </c>
      <c r="P411" s="10" t="s">
        <v>1134</v>
      </c>
    </row>
    <row r="412" spans="1:16" x14ac:dyDescent="0.25">
      <c r="A412" s="7" t="s">
        <v>201</v>
      </c>
      <c r="B412" s="8" t="s">
        <v>162</v>
      </c>
      <c r="C412" s="8" t="s">
        <v>43</v>
      </c>
      <c r="D412" s="8" t="s">
        <v>0</v>
      </c>
      <c r="E412" s="8" t="s">
        <v>0</v>
      </c>
      <c r="F412" s="8" t="s">
        <v>202</v>
      </c>
      <c r="G412" s="8" t="s">
        <v>164</v>
      </c>
      <c r="H412" s="9">
        <v>2.39</v>
      </c>
      <c r="I412" s="9">
        <v>142.03</v>
      </c>
      <c r="J412" s="8" t="s">
        <v>1151</v>
      </c>
      <c r="K412" s="8" t="s">
        <v>0</v>
      </c>
      <c r="L412" s="8" t="s">
        <v>16</v>
      </c>
      <c r="M412" s="8" t="s">
        <v>30</v>
      </c>
      <c r="N412" s="8" t="s">
        <v>0</v>
      </c>
      <c r="O412" s="8">
        <v>6.9399999999999991E-3</v>
      </c>
      <c r="P412" s="10" t="s">
        <v>1134</v>
      </c>
    </row>
    <row r="413" spans="1:16" x14ac:dyDescent="0.25">
      <c r="A413" s="7" t="s">
        <v>203</v>
      </c>
      <c r="B413" s="8" t="s">
        <v>162</v>
      </c>
      <c r="C413" s="8" t="s">
        <v>43</v>
      </c>
      <c r="D413" s="8" t="s">
        <v>0</v>
      </c>
      <c r="E413" s="8" t="s">
        <v>0</v>
      </c>
      <c r="F413" s="8" t="s">
        <v>204</v>
      </c>
      <c r="G413" s="8" t="s">
        <v>164</v>
      </c>
      <c r="H413" s="9">
        <v>6.64</v>
      </c>
      <c r="I413" s="9">
        <v>141.94</v>
      </c>
      <c r="J413" s="8" t="s">
        <v>1151</v>
      </c>
      <c r="K413" s="8" t="s">
        <v>0</v>
      </c>
      <c r="L413" s="8" t="s">
        <v>16</v>
      </c>
      <c r="M413" s="8" t="s">
        <v>30</v>
      </c>
      <c r="N413" s="8" t="s">
        <v>0</v>
      </c>
      <c r="O413" s="8">
        <v>0</v>
      </c>
      <c r="P413" s="10" t="s">
        <v>1134</v>
      </c>
    </row>
    <row r="414" spans="1:16" x14ac:dyDescent="0.25">
      <c r="A414" s="7" t="s">
        <v>205</v>
      </c>
      <c r="B414" s="8" t="s">
        <v>162</v>
      </c>
      <c r="C414" s="8" t="s">
        <v>43</v>
      </c>
      <c r="D414" s="8" t="s">
        <v>0</v>
      </c>
      <c r="E414" s="8" t="s">
        <v>0</v>
      </c>
      <c r="F414" s="8" t="s">
        <v>206</v>
      </c>
      <c r="G414" s="8" t="s">
        <v>164</v>
      </c>
      <c r="H414" s="9">
        <v>10.02</v>
      </c>
      <c r="I414" s="9">
        <v>142</v>
      </c>
      <c r="J414" s="8" t="s">
        <v>1151</v>
      </c>
      <c r="K414" s="8" t="s">
        <v>0</v>
      </c>
      <c r="L414" s="8" t="s">
        <v>16</v>
      </c>
      <c r="M414" s="8" t="s">
        <v>30</v>
      </c>
      <c r="N414" s="8" t="s">
        <v>0</v>
      </c>
      <c r="O414" s="8">
        <v>1.736E-2</v>
      </c>
      <c r="P414" s="10" t="s">
        <v>1134</v>
      </c>
    </row>
    <row r="415" spans="1:16" x14ac:dyDescent="0.25">
      <c r="A415" s="7" t="s">
        <v>207</v>
      </c>
      <c r="B415" s="8" t="s">
        <v>162</v>
      </c>
      <c r="C415" s="8" t="s">
        <v>43</v>
      </c>
      <c r="D415" s="8" t="s">
        <v>0</v>
      </c>
      <c r="E415" s="8" t="s">
        <v>0</v>
      </c>
      <c r="F415" s="8" t="s">
        <v>208</v>
      </c>
      <c r="G415" s="8" t="s">
        <v>164</v>
      </c>
      <c r="H415" s="9">
        <v>18.03</v>
      </c>
      <c r="I415" s="9">
        <v>140.32</v>
      </c>
      <c r="J415" s="8" t="s">
        <v>1151</v>
      </c>
      <c r="K415" s="8" t="s">
        <v>0</v>
      </c>
      <c r="L415" s="8" t="s">
        <v>16</v>
      </c>
      <c r="M415" s="8" t="s">
        <v>30</v>
      </c>
      <c r="N415" s="8" t="s">
        <v>0</v>
      </c>
      <c r="O415" s="8">
        <v>2.7779999999999999E-2</v>
      </c>
      <c r="P415" s="10" t="s">
        <v>1134</v>
      </c>
    </row>
    <row r="416" spans="1:16" x14ac:dyDescent="0.25">
      <c r="A416" s="7" t="s">
        <v>209</v>
      </c>
      <c r="B416" s="8" t="s">
        <v>162</v>
      </c>
      <c r="C416" s="8" t="s">
        <v>43</v>
      </c>
      <c r="D416" s="8" t="s">
        <v>0</v>
      </c>
      <c r="E416" s="8" t="s">
        <v>0</v>
      </c>
      <c r="F416" s="8" t="s">
        <v>210</v>
      </c>
      <c r="G416" s="8" t="s">
        <v>164</v>
      </c>
      <c r="H416" s="9">
        <v>20.99</v>
      </c>
      <c r="I416" s="9">
        <v>141.33000000000001</v>
      </c>
      <c r="J416" s="8" t="s">
        <v>1151</v>
      </c>
      <c r="K416" s="8" t="s">
        <v>0</v>
      </c>
      <c r="L416" s="8" t="s">
        <v>16</v>
      </c>
      <c r="M416" s="8" t="s">
        <v>30</v>
      </c>
      <c r="N416" s="8" t="s">
        <v>0</v>
      </c>
      <c r="O416" s="8">
        <v>5.13E-3</v>
      </c>
      <c r="P416" s="10" t="s">
        <v>1134</v>
      </c>
    </row>
    <row r="417" spans="1:16" x14ac:dyDescent="0.25">
      <c r="A417" s="7" t="s">
        <v>211</v>
      </c>
      <c r="B417" s="8" t="s">
        <v>162</v>
      </c>
      <c r="C417" s="8" t="s">
        <v>43</v>
      </c>
      <c r="D417" s="8" t="s">
        <v>0</v>
      </c>
      <c r="E417" s="8" t="s">
        <v>0</v>
      </c>
      <c r="F417" s="8" t="s">
        <v>212</v>
      </c>
      <c r="G417" s="8" t="s">
        <v>164</v>
      </c>
      <c r="H417" s="9">
        <v>15.74</v>
      </c>
      <c r="I417" s="9">
        <v>140.97999999999999</v>
      </c>
      <c r="J417" s="8" t="s">
        <v>1151</v>
      </c>
      <c r="K417" s="8" t="s">
        <v>0</v>
      </c>
      <c r="L417" s="8" t="s">
        <v>16</v>
      </c>
      <c r="M417" s="8" t="s">
        <v>30</v>
      </c>
      <c r="N417" s="8" t="s">
        <v>0</v>
      </c>
      <c r="O417" s="8">
        <v>2.5600000000000002E-3</v>
      </c>
      <c r="P417" s="10" t="s">
        <v>1134</v>
      </c>
    </row>
    <row r="418" spans="1:16" x14ac:dyDescent="0.25">
      <c r="A418" s="7" t="s">
        <v>213</v>
      </c>
      <c r="B418" s="8" t="s">
        <v>162</v>
      </c>
      <c r="C418" s="8" t="s">
        <v>43</v>
      </c>
      <c r="D418" s="8" t="s">
        <v>0</v>
      </c>
      <c r="E418" s="8" t="s">
        <v>0</v>
      </c>
      <c r="F418" s="8" t="s">
        <v>214</v>
      </c>
      <c r="G418" s="8" t="s">
        <v>164</v>
      </c>
      <c r="H418" s="9">
        <v>13.53</v>
      </c>
      <c r="I418" s="9">
        <v>140.46</v>
      </c>
      <c r="J418" s="8" t="s">
        <v>1151</v>
      </c>
      <c r="K418" s="8" t="s">
        <v>0</v>
      </c>
      <c r="L418" s="8" t="s">
        <v>16</v>
      </c>
      <c r="M418" s="8" t="s">
        <v>30</v>
      </c>
      <c r="N418" s="8" t="s">
        <v>0</v>
      </c>
      <c r="O418" s="8">
        <v>9.2600000000000009E-3</v>
      </c>
      <c r="P418" s="10" t="s">
        <v>1134</v>
      </c>
    </row>
    <row r="419" spans="1:16" x14ac:dyDescent="0.25">
      <c r="A419" s="7" t="s">
        <v>215</v>
      </c>
      <c r="B419" s="8" t="s">
        <v>162</v>
      </c>
      <c r="C419" s="8" t="s">
        <v>43</v>
      </c>
      <c r="D419" s="8" t="s">
        <v>0</v>
      </c>
      <c r="E419" s="8" t="s">
        <v>0</v>
      </c>
      <c r="F419" s="8" t="s">
        <v>216</v>
      </c>
      <c r="G419" s="8" t="s">
        <v>164</v>
      </c>
      <c r="H419" s="9">
        <v>5.93</v>
      </c>
      <c r="I419" s="9">
        <v>141.91999999999999</v>
      </c>
      <c r="J419" s="8" t="s">
        <v>1151</v>
      </c>
      <c r="K419" s="8" t="s">
        <v>0</v>
      </c>
      <c r="L419" s="8" t="s">
        <v>16</v>
      </c>
      <c r="M419" s="8" t="s">
        <v>30</v>
      </c>
      <c r="N419" s="8" t="s">
        <v>0</v>
      </c>
      <c r="O419" s="8">
        <v>0</v>
      </c>
      <c r="P419" s="10" t="s">
        <v>1134</v>
      </c>
    </row>
    <row r="420" spans="1:16" x14ac:dyDescent="0.25">
      <c r="A420" s="7" t="s">
        <v>217</v>
      </c>
      <c r="B420" s="8" t="s">
        <v>162</v>
      </c>
      <c r="C420" s="8" t="s">
        <v>43</v>
      </c>
      <c r="D420" s="8" t="s">
        <v>0</v>
      </c>
      <c r="E420" s="8" t="s">
        <v>0</v>
      </c>
      <c r="F420" s="8" t="s">
        <v>218</v>
      </c>
      <c r="G420" s="8" t="s">
        <v>164</v>
      </c>
      <c r="H420" s="9">
        <v>11.48</v>
      </c>
      <c r="I420" s="9">
        <v>138.81</v>
      </c>
      <c r="J420" s="8" t="s">
        <v>1151</v>
      </c>
      <c r="K420" s="8" t="s">
        <v>0</v>
      </c>
      <c r="L420" s="8" t="s">
        <v>16</v>
      </c>
      <c r="M420" s="8" t="s">
        <v>30</v>
      </c>
      <c r="N420" s="8" t="s">
        <v>0</v>
      </c>
      <c r="O420" s="8">
        <v>0</v>
      </c>
      <c r="P420" s="10" t="s">
        <v>1134</v>
      </c>
    </row>
    <row r="421" spans="1:16" x14ac:dyDescent="0.25">
      <c r="A421" s="7" t="s">
        <v>219</v>
      </c>
      <c r="B421" s="8" t="s">
        <v>162</v>
      </c>
      <c r="C421" s="8" t="s">
        <v>43</v>
      </c>
      <c r="D421" s="8" t="s">
        <v>0</v>
      </c>
      <c r="E421" s="8" t="s">
        <v>0</v>
      </c>
      <c r="F421" s="8" t="s">
        <v>220</v>
      </c>
      <c r="G421" s="8" t="s">
        <v>164</v>
      </c>
      <c r="H421" s="9">
        <v>22.96</v>
      </c>
      <c r="I421" s="9">
        <v>126.36</v>
      </c>
      <c r="J421" s="8" t="s">
        <v>1151</v>
      </c>
      <c r="K421" s="8" t="s">
        <v>0</v>
      </c>
      <c r="L421" s="8" t="s">
        <v>16</v>
      </c>
      <c r="M421" s="8" t="s">
        <v>30</v>
      </c>
      <c r="N421" s="8" t="s">
        <v>0</v>
      </c>
      <c r="O421" s="8">
        <v>1.389E-2</v>
      </c>
      <c r="P421" s="10" t="s">
        <v>1134</v>
      </c>
    </row>
    <row r="422" spans="1:16" x14ac:dyDescent="0.25">
      <c r="A422" s="7" t="s">
        <v>221</v>
      </c>
      <c r="B422" s="8" t="s">
        <v>162</v>
      </c>
      <c r="C422" s="8" t="s">
        <v>43</v>
      </c>
      <c r="D422" s="8" t="s">
        <v>0</v>
      </c>
      <c r="E422" s="8" t="s">
        <v>0</v>
      </c>
      <c r="F422" s="8" t="s">
        <v>222</v>
      </c>
      <c r="G422" s="8" t="s">
        <v>164</v>
      </c>
      <c r="H422" s="9">
        <v>34.58</v>
      </c>
      <c r="I422" s="9">
        <v>122.4</v>
      </c>
      <c r="J422" s="8" t="s">
        <v>1151</v>
      </c>
      <c r="K422" s="8" t="s">
        <v>0</v>
      </c>
      <c r="L422" s="8" t="s">
        <v>16</v>
      </c>
      <c r="M422" s="8" t="s">
        <v>30</v>
      </c>
      <c r="N422" s="8" t="s">
        <v>0</v>
      </c>
      <c r="O422" s="8">
        <v>6.9399999999999991E-3</v>
      </c>
      <c r="P422" s="10" t="s">
        <v>1134</v>
      </c>
    </row>
    <row r="423" spans="1:16" x14ac:dyDescent="0.25">
      <c r="A423" s="7" t="s">
        <v>611</v>
      </c>
      <c r="B423" s="8" t="s">
        <v>612</v>
      </c>
      <c r="C423" s="8" t="s">
        <v>43</v>
      </c>
      <c r="D423" s="8" t="s">
        <v>613</v>
      </c>
      <c r="E423" s="8" t="s">
        <v>0</v>
      </c>
      <c r="F423" s="8" t="s">
        <v>1157</v>
      </c>
      <c r="G423" s="8" t="s">
        <v>614</v>
      </c>
      <c r="H423" s="9">
        <v>122.75</v>
      </c>
      <c r="I423" s="9">
        <v>119.3</v>
      </c>
      <c r="J423" s="8" t="s">
        <v>299</v>
      </c>
      <c r="K423" s="8" t="s">
        <v>87</v>
      </c>
      <c r="L423" s="8" t="s">
        <v>16</v>
      </c>
      <c r="M423" s="8" t="s">
        <v>30</v>
      </c>
      <c r="N423" s="8" t="s">
        <v>0</v>
      </c>
      <c r="O423" s="8" t="s">
        <v>615</v>
      </c>
      <c r="P423" s="10" t="s">
        <v>1126</v>
      </c>
    </row>
    <row r="424" spans="1:16" x14ac:dyDescent="0.25">
      <c r="A424" s="11" t="s">
        <v>616</v>
      </c>
      <c r="B424" s="12" t="s">
        <v>617</v>
      </c>
      <c r="C424" s="12" t="s">
        <v>618</v>
      </c>
      <c r="D424" s="12" t="s">
        <v>619</v>
      </c>
      <c r="E424" s="12" t="s">
        <v>0</v>
      </c>
      <c r="F424" s="12" t="s">
        <v>0</v>
      </c>
      <c r="G424" s="12" t="s">
        <v>0</v>
      </c>
      <c r="H424" s="13">
        <v>31.37</v>
      </c>
      <c r="I424" s="13">
        <v>-6.9</v>
      </c>
      <c r="J424" s="12" t="s">
        <v>299</v>
      </c>
      <c r="K424" s="12" t="s">
        <v>87</v>
      </c>
      <c r="L424" s="12" t="s">
        <v>16</v>
      </c>
      <c r="M424" s="12" t="s">
        <v>30</v>
      </c>
      <c r="N424" s="12" t="s">
        <v>0</v>
      </c>
      <c r="O424" s="12" t="s">
        <v>1158</v>
      </c>
      <c r="P424" s="14" t="s">
        <v>1052</v>
      </c>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252AA-26F1-46F9-AAD1-4F6D49249106}">
  <dimension ref="A1:N385"/>
  <sheetViews>
    <sheetView zoomScaleNormal="100" workbookViewId="0">
      <selection sqref="A1:A1048576"/>
    </sheetView>
  </sheetViews>
  <sheetFormatPr defaultRowHeight="15" x14ac:dyDescent="0.25"/>
  <cols>
    <col min="7" max="7" width="10.140625" customWidth="1"/>
    <col min="8" max="8" width="11" bestFit="1" customWidth="1"/>
    <col min="10" max="10" width="8.7109375" style="2"/>
    <col min="11" max="12" width="16.7109375" style="2" customWidth="1"/>
    <col min="13" max="13" width="8.7109375" style="2"/>
    <col min="14" max="14" width="16.7109375" style="2" customWidth="1"/>
  </cols>
  <sheetData>
    <row r="1" spans="1:8" x14ac:dyDescent="0.25">
      <c r="A1" s="4" t="s">
        <v>2393</v>
      </c>
      <c r="B1" s="5" t="s">
        <v>2380</v>
      </c>
      <c r="C1" s="5" t="s">
        <v>2381</v>
      </c>
      <c r="D1" s="5" t="s">
        <v>6</v>
      </c>
      <c r="E1" s="5" t="s">
        <v>2387</v>
      </c>
      <c r="F1" s="5" t="s">
        <v>9</v>
      </c>
      <c r="G1" s="5" t="s">
        <v>2385</v>
      </c>
      <c r="H1" s="5" t="s">
        <v>2384</v>
      </c>
    </row>
    <row r="2" spans="1:8" x14ac:dyDescent="0.25">
      <c r="A2" s="7" t="s">
        <v>490</v>
      </c>
      <c r="B2" s="8">
        <v>14.47</v>
      </c>
      <c r="C2" s="8">
        <v>120.97</v>
      </c>
      <c r="D2" s="8" t="s">
        <v>299</v>
      </c>
      <c r="E2" s="8" t="s">
        <v>87</v>
      </c>
      <c r="F2" s="8" t="s">
        <v>30</v>
      </c>
      <c r="G2" s="8">
        <v>1.7899999999999999E-2</v>
      </c>
      <c r="H2" s="9" t="s">
        <v>2383</v>
      </c>
    </row>
    <row r="3" spans="1:8" x14ac:dyDescent="0.25">
      <c r="A3" s="7" t="s">
        <v>518</v>
      </c>
      <c r="B3" s="8">
        <v>14.97</v>
      </c>
      <c r="C3" s="8">
        <v>121.04</v>
      </c>
      <c r="D3" s="8" t="s">
        <v>299</v>
      </c>
      <c r="E3" s="8" t="s">
        <v>87</v>
      </c>
      <c r="F3" s="8" t="s">
        <v>30</v>
      </c>
      <c r="G3" s="8">
        <v>3.5999999999999999E-3</v>
      </c>
      <c r="H3" s="9" t="s">
        <v>2383</v>
      </c>
    </row>
    <row r="4" spans="1:8" x14ac:dyDescent="0.25">
      <c r="A4" s="7" t="s">
        <v>521</v>
      </c>
      <c r="B4" s="8">
        <v>14.38</v>
      </c>
      <c r="C4" s="8">
        <v>121</v>
      </c>
      <c r="D4" s="8" t="s">
        <v>299</v>
      </c>
      <c r="E4" s="8" t="s">
        <v>87</v>
      </c>
      <c r="F4" s="8" t="s">
        <v>30</v>
      </c>
      <c r="G4" s="8">
        <v>8.3999999999999995E-3</v>
      </c>
      <c r="H4" s="9" t="s">
        <v>2383</v>
      </c>
    </row>
    <row r="5" spans="1:8" x14ac:dyDescent="0.25">
      <c r="A5" s="7" t="s">
        <v>524</v>
      </c>
      <c r="B5" s="8">
        <v>14.59</v>
      </c>
      <c r="C5" s="8">
        <v>120.97</v>
      </c>
      <c r="D5" s="8" t="s">
        <v>299</v>
      </c>
      <c r="E5" s="8" t="s">
        <v>87</v>
      </c>
      <c r="F5" s="8" t="s">
        <v>30</v>
      </c>
      <c r="G5" s="8">
        <v>1.0699999999999999E-2</v>
      </c>
      <c r="H5" s="9" t="s">
        <v>2383</v>
      </c>
    </row>
    <row r="6" spans="1:8" x14ac:dyDescent="0.25">
      <c r="A6" s="7" t="s">
        <v>527</v>
      </c>
      <c r="B6" s="8">
        <v>14.58</v>
      </c>
      <c r="C6" s="8">
        <v>121.05</v>
      </c>
      <c r="D6" s="8" t="s">
        <v>299</v>
      </c>
      <c r="E6" s="8" t="s">
        <v>87</v>
      </c>
      <c r="F6" s="8" t="s">
        <v>30</v>
      </c>
      <c r="G6" s="8">
        <v>7.1999999999999998E-3</v>
      </c>
      <c r="H6" s="9" t="s">
        <v>2383</v>
      </c>
    </row>
    <row r="7" spans="1:8" x14ac:dyDescent="0.25">
      <c r="A7" s="7" t="s">
        <v>530</v>
      </c>
      <c r="B7" s="8">
        <v>14.8</v>
      </c>
      <c r="C7" s="8">
        <v>120.95</v>
      </c>
      <c r="D7" s="8" t="s">
        <v>299</v>
      </c>
      <c r="E7" s="8" t="s">
        <v>87</v>
      </c>
      <c r="F7" s="8" t="s">
        <v>30</v>
      </c>
      <c r="G7" s="8">
        <v>1.43E-2</v>
      </c>
      <c r="H7" s="9" t="s">
        <v>2383</v>
      </c>
    </row>
    <row r="8" spans="1:8" x14ac:dyDescent="0.25">
      <c r="A8" s="7" t="s">
        <v>533</v>
      </c>
      <c r="B8" s="8">
        <v>14.6</v>
      </c>
      <c r="C8" s="8">
        <v>121.01</v>
      </c>
      <c r="D8" s="8" t="s">
        <v>299</v>
      </c>
      <c r="E8" s="8" t="s">
        <v>87</v>
      </c>
      <c r="F8" s="8" t="s">
        <v>30</v>
      </c>
      <c r="G8" s="8">
        <v>6.0000000000000001E-3</v>
      </c>
      <c r="H8" s="9" t="s">
        <v>2383</v>
      </c>
    </row>
    <row r="9" spans="1:8" x14ac:dyDescent="0.25">
      <c r="A9" s="7" t="s">
        <v>536</v>
      </c>
      <c r="B9" s="8">
        <v>14.6</v>
      </c>
      <c r="C9" s="8">
        <v>121.01</v>
      </c>
      <c r="D9" s="8" t="s">
        <v>299</v>
      </c>
      <c r="E9" s="8" t="s">
        <v>87</v>
      </c>
      <c r="F9" s="8" t="s">
        <v>30</v>
      </c>
      <c r="G9" s="8">
        <v>6.0000000000000001E-3</v>
      </c>
      <c r="H9" s="9" t="s">
        <v>2383</v>
      </c>
    </row>
    <row r="10" spans="1:8" x14ac:dyDescent="0.25">
      <c r="A10" s="7" t="s">
        <v>538</v>
      </c>
      <c r="B10" s="8">
        <v>14.6</v>
      </c>
      <c r="C10" s="8">
        <v>121.01</v>
      </c>
      <c r="D10" s="8" t="s">
        <v>299</v>
      </c>
      <c r="E10" s="8" t="s">
        <v>87</v>
      </c>
      <c r="F10" s="8" t="s">
        <v>30</v>
      </c>
      <c r="G10" s="8">
        <v>2.2700000000000001E-2</v>
      </c>
      <c r="H10" s="9" t="s">
        <v>2383</v>
      </c>
    </row>
    <row r="11" spans="1:8" x14ac:dyDescent="0.25">
      <c r="A11" s="7" t="s">
        <v>496</v>
      </c>
      <c r="B11" s="8">
        <v>14.67</v>
      </c>
      <c r="C11" s="8">
        <v>120.97</v>
      </c>
      <c r="D11" s="8" t="s">
        <v>299</v>
      </c>
      <c r="E11" s="8" t="s">
        <v>87</v>
      </c>
      <c r="F11" s="8" t="s">
        <v>30</v>
      </c>
      <c r="G11" s="8">
        <v>8.3999999999999995E-3</v>
      </c>
      <c r="H11" s="9" t="s">
        <v>2383</v>
      </c>
    </row>
    <row r="12" spans="1:8" x14ac:dyDescent="0.25">
      <c r="A12" s="7" t="s">
        <v>499</v>
      </c>
      <c r="B12" s="8">
        <v>14.94</v>
      </c>
      <c r="C12" s="8">
        <v>121.01</v>
      </c>
      <c r="D12" s="8" t="s">
        <v>299</v>
      </c>
      <c r="E12" s="8" t="s">
        <v>87</v>
      </c>
      <c r="F12" s="8" t="s">
        <v>30</v>
      </c>
      <c r="G12" s="8">
        <v>1.1999999999999999E-3</v>
      </c>
      <c r="H12" s="9" t="s">
        <v>2383</v>
      </c>
    </row>
    <row r="13" spans="1:8" x14ac:dyDescent="0.25">
      <c r="A13" s="7" t="s">
        <v>502</v>
      </c>
      <c r="B13" s="8">
        <v>14.63</v>
      </c>
      <c r="C13" s="8">
        <v>121.09</v>
      </c>
      <c r="D13" s="8" t="s">
        <v>299</v>
      </c>
      <c r="E13" s="8" t="s">
        <v>87</v>
      </c>
      <c r="F13" s="8" t="s">
        <v>30</v>
      </c>
      <c r="G13" s="8">
        <v>1.43E-2</v>
      </c>
      <c r="H13" s="9" t="s">
        <v>2383</v>
      </c>
    </row>
    <row r="14" spans="1:8" x14ac:dyDescent="0.25">
      <c r="A14" s="7" t="s">
        <v>505</v>
      </c>
      <c r="B14" s="8">
        <v>14.75</v>
      </c>
      <c r="C14" s="8">
        <v>121.01</v>
      </c>
      <c r="D14" s="8" t="s">
        <v>299</v>
      </c>
      <c r="E14" s="8" t="s">
        <v>87</v>
      </c>
      <c r="F14" s="8" t="s">
        <v>30</v>
      </c>
      <c r="G14" s="8">
        <v>2.3999999999999998E-3</v>
      </c>
      <c r="H14" s="9" t="s">
        <v>2383</v>
      </c>
    </row>
    <row r="15" spans="1:8" x14ac:dyDescent="0.25">
      <c r="A15" s="7" t="s">
        <v>508</v>
      </c>
      <c r="B15" s="8">
        <v>14.5</v>
      </c>
      <c r="C15" s="8">
        <v>121.05</v>
      </c>
      <c r="D15" s="8" t="s">
        <v>299</v>
      </c>
      <c r="E15" s="8" t="s">
        <v>87</v>
      </c>
      <c r="F15" s="8" t="s">
        <v>30</v>
      </c>
      <c r="G15" s="8">
        <v>1.1900000000000001E-2</v>
      </c>
      <c r="H15" s="9" t="s">
        <v>2383</v>
      </c>
    </row>
    <row r="16" spans="1:8" x14ac:dyDescent="0.25">
      <c r="A16" s="7" t="s">
        <v>511</v>
      </c>
      <c r="B16" s="8">
        <v>14.67</v>
      </c>
      <c r="C16" s="8">
        <v>120.94</v>
      </c>
      <c r="D16" s="8" t="s">
        <v>299</v>
      </c>
      <c r="E16" s="8" t="s">
        <v>87</v>
      </c>
      <c r="F16" s="8" t="s">
        <v>30</v>
      </c>
      <c r="G16" s="8">
        <v>1.67E-2</v>
      </c>
      <c r="H16" s="9" t="s">
        <v>2383</v>
      </c>
    </row>
    <row r="17" spans="1:8" x14ac:dyDescent="0.25">
      <c r="A17" s="7" t="s">
        <v>514</v>
      </c>
      <c r="B17" s="8">
        <v>14.53</v>
      </c>
      <c r="C17" s="8">
        <v>121.01</v>
      </c>
      <c r="D17" s="8" t="s">
        <v>299</v>
      </c>
      <c r="E17" s="8" t="s">
        <v>87</v>
      </c>
      <c r="F17" s="8" t="s">
        <v>30</v>
      </c>
      <c r="G17" s="8">
        <v>1.0699999999999999E-2</v>
      </c>
      <c r="H17" s="9" t="s">
        <v>2383</v>
      </c>
    </row>
    <row r="18" spans="1:8" x14ac:dyDescent="0.25">
      <c r="A18" s="7" t="s">
        <v>516</v>
      </c>
      <c r="B18" s="8">
        <v>14.52</v>
      </c>
      <c r="C18" s="8">
        <v>121.01</v>
      </c>
      <c r="D18" s="8" t="s">
        <v>299</v>
      </c>
      <c r="E18" s="8" t="s">
        <v>87</v>
      </c>
      <c r="F18" s="8" t="s">
        <v>30</v>
      </c>
      <c r="G18" s="8">
        <v>2.2700000000000001E-2</v>
      </c>
      <c r="H18" s="9" t="s">
        <v>2383</v>
      </c>
    </row>
    <row r="19" spans="1:8" x14ac:dyDescent="0.25">
      <c r="A19" s="7" t="s">
        <v>347</v>
      </c>
      <c r="B19" s="8">
        <v>60.7</v>
      </c>
      <c r="C19" s="8">
        <v>-135.01</v>
      </c>
      <c r="D19" s="8" t="s">
        <v>299</v>
      </c>
      <c r="E19" s="8" t="s">
        <v>332</v>
      </c>
      <c r="F19" s="8" t="s">
        <v>17</v>
      </c>
      <c r="G19" s="8">
        <v>3</v>
      </c>
      <c r="H19" s="9" t="s">
        <v>2382</v>
      </c>
    </row>
    <row r="20" spans="1:8" x14ac:dyDescent="0.25">
      <c r="A20" s="7" t="s">
        <v>352</v>
      </c>
      <c r="B20" s="8">
        <v>60.7</v>
      </c>
      <c r="C20" s="8">
        <v>-135.01</v>
      </c>
      <c r="D20" s="8" t="s">
        <v>299</v>
      </c>
      <c r="E20" s="8" t="s">
        <v>339</v>
      </c>
      <c r="F20" s="8" t="s">
        <v>17</v>
      </c>
      <c r="G20" s="8">
        <v>6</v>
      </c>
      <c r="H20" s="9" t="s">
        <v>2382</v>
      </c>
    </row>
    <row r="21" spans="1:8" x14ac:dyDescent="0.25">
      <c r="A21" s="7" t="s">
        <v>355</v>
      </c>
      <c r="B21" s="8">
        <v>60.7</v>
      </c>
      <c r="C21" s="8">
        <v>-135.01</v>
      </c>
      <c r="D21" s="8" t="s">
        <v>299</v>
      </c>
      <c r="E21" s="8" t="s">
        <v>332</v>
      </c>
      <c r="F21" s="8" t="s">
        <v>17</v>
      </c>
      <c r="G21" s="8">
        <v>17</v>
      </c>
      <c r="H21" s="9" t="s">
        <v>2382</v>
      </c>
    </row>
    <row r="22" spans="1:8" x14ac:dyDescent="0.25">
      <c r="A22" s="7" t="s">
        <v>620</v>
      </c>
      <c r="B22" s="8">
        <v>36.619999999999997</v>
      </c>
      <c r="C22" s="8">
        <v>109.46</v>
      </c>
      <c r="D22" s="8" t="s">
        <v>299</v>
      </c>
      <c r="E22" s="8" t="s">
        <v>87</v>
      </c>
      <c r="F22" s="8" t="s">
        <v>17</v>
      </c>
      <c r="G22" s="8">
        <v>162.30000000000001</v>
      </c>
      <c r="H22" s="9" t="s">
        <v>2382</v>
      </c>
    </row>
    <row r="23" spans="1:8" x14ac:dyDescent="0.25">
      <c r="A23" s="7" t="s">
        <v>639</v>
      </c>
      <c r="B23" s="8">
        <v>34.270000000000003</v>
      </c>
      <c r="C23" s="8">
        <v>108.96</v>
      </c>
      <c r="D23" s="8" t="s">
        <v>299</v>
      </c>
      <c r="E23" s="8" t="s">
        <v>87</v>
      </c>
      <c r="F23" s="8" t="s">
        <v>17</v>
      </c>
      <c r="G23" s="8">
        <v>349.6</v>
      </c>
      <c r="H23" s="9" t="s">
        <v>2382</v>
      </c>
    </row>
    <row r="24" spans="1:8" x14ac:dyDescent="0.25">
      <c r="A24" s="7" t="s">
        <v>640</v>
      </c>
      <c r="B24" s="8">
        <v>34.35</v>
      </c>
      <c r="C24" s="8">
        <v>108.98</v>
      </c>
      <c r="D24" s="8" t="s">
        <v>299</v>
      </c>
      <c r="E24" s="8" t="s">
        <v>87</v>
      </c>
      <c r="F24" s="8" t="s">
        <v>17</v>
      </c>
      <c r="G24" s="8">
        <v>281.39999999999998</v>
      </c>
      <c r="H24" s="9" t="s">
        <v>2382</v>
      </c>
    </row>
    <row r="25" spans="1:8" x14ac:dyDescent="0.25">
      <c r="A25" s="7" t="s">
        <v>641</v>
      </c>
      <c r="B25" s="8">
        <v>34.19</v>
      </c>
      <c r="C25" s="8">
        <v>108.88</v>
      </c>
      <c r="D25" s="8" t="s">
        <v>299</v>
      </c>
      <c r="E25" s="8" t="s">
        <v>87</v>
      </c>
      <c r="F25" s="8" t="s">
        <v>17</v>
      </c>
      <c r="G25" s="8">
        <v>236.9</v>
      </c>
      <c r="H25" s="9" t="s">
        <v>2382</v>
      </c>
    </row>
    <row r="26" spans="1:8" x14ac:dyDescent="0.25">
      <c r="A26" s="7" t="s">
        <v>623</v>
      </c>
      <c r="B26" s="8">
        <v>34.35</v>
      </c>
      <c r="C26" s="8">
        <v>107.23</v>
      </c>
      <c r="D26" s="8" t="s">
        <v>299</v>
      </c>
      <c r="E26" s="8" t="s">
        <v>87</v>
      </c>
      <c r="F26" s="8" t="s">
        <v>17</v>
      </c>
      <c r="G26" s="8">
        <v>224.5</v>
      </c>
      <c r="H26" s="9" t="s">
        <v>2382</v>
      </c>
    </row>
    <row r="27" spans="1:8" x14ac:dyDescent="0.25">
      <c r="A27" s="7" t="s">
        <v>625</v>
      </c>
      <c r="B27" s="8">
        <v>34.909999999999997</v>
      </c>
      <c r="C27" s="8">
        <v>108.99</v>
      </c>
      <c r="D27" s="8" t="s">
        <v>299</v>
      </c>
      <c r="E27" s="8" t="s">
        <v>87</v>
      </c>
      <c r="F27" s="8" t="s">
        <v>17</v>
      </c>
      <c r="G27" s="8">
        <v>97.6</v>
      </c>
      <c r="H27" s="9" t="s">
        <v>2382</v>
      </c>
    </row>
    <row r="28" spans="1:8" x14ac:dyDescent="0.25">
      <c r="A28" s="7" t="s">
        <v>627</v>
      </c>
      <c r="B28" s="8">
        <v>34.35</v>
      </c>
      <c r="C28" s="8">
        <v>108.73</v>
      </c>
      <c r="D28" s="8" t="s">
        <v>299</v>
      </c>
      <c r="E28" s="8" t="s">
        <v>87</v>
      </c>
      <c r="F28" s="8" t="s">
        <v>17</v>
      </c>
      <c r="G28" s="8">
        <v>258.60000000000002</v>
      </c>
      <c r="H28" s="9" t="s">
        <v>2382</v>
      </c>
    </row>
    <row r="29" spans="1:8" x14ac:dyDescent="0.25">
      <c r="A29" s="7" t="s">
        <v>629</v>
      </c>
      <c r="B29" s="8">
        <v>34.49</v>
      </c>
      <c r="C29" s="8">
        <v>109.52</v>
      </c>
      <c r="D29" s="8" t="s">
        <v>299</v>
      </c>
      <c r="E29" s="8" t="s">
        <v>87</v>
      </c>
      <c r="F29" s="8" t="s">
        <v>17</v>
      </c>
      <c r="G29" s="8">
        <v>231.1</v>
      </c>
      <c r="H29" s="9" t="s">
        <v>2382</v>
      </c>
    </row>
    <row r="30" spans="1:8" x14ac:dyDescent="0.25">
      <c r="A30" s="7" t="s">
        <v>631</v>
      </c>
      <c r="B30" s="8">
        <v>38.270000000000003</v>
      </c>
      <c r="C30" s="8">
        <v>109.76</v>
      </c>
      <c r="D30" s="8" t="s">
        <v>299</v>
      </c>
      <c r="E30" s="8" t="s">
        <v>87</v>
      </c>
      <c r="F30" s="8" t="s">
        <v>17</v>
      </c>
      <c r="G30" s="8">
        <v>189.7</v>
      </c>
      <c r="H30" s="9" t="s">
        <v>2382</v>
      </c>
    </row>
    <row r="31" spans="1:8" x14ac:dyDescent="0.25">
      <c r="A31" s="7" t="s">
        <v>633</v>
      </c>
      <c r="B31" s="8">
        <v>33.07</v>
      </c>
      <c r="C31" s="8">
        <v>107.04</v>
      </c>
      <c r="D31" s="8" t="s">
        <v>299</v>
      </c>
      <c r="E31" s="8" t="s">
        <v>87</v>
      </c>
      <c r="F31" s="8" t="s">
        <v>17</v>
      </c>
      <c r="G31" s="8">
        <v>142.19999999999999</v>
      </c>
      <c r="H31" s="9" t="s">
        <v>2382</v>
      </c>
    </row>
    <row r="32" spans="1:8" x14ac:dyDescent="0.25">
      <c r="A32" s="7" t="s">
        <v>635</v>
      </c>
      <c r="B32" s="8">
        <v>32.68</v>
      </c>
      <c r="C32" s="8">
        <v>109.04</v>
      </c>
      <c r="D32" s="8" t="s">
        <v>299</v>
      </c>
      <c r="E32" s="8" t="s">
        <v>87</v>
      </c>
      <c r="F32" s="8" t="s">
        <v>17</v>
      </c>
      <c r="G32" s="8">
        <v>130.19999999999999</v>
      </c>
      <c r="H32" s="9" t="s">
        <v>2382</v>
      </c>
    </row>
    <row r="33" spans="1:8" x14ac:dyDescent="0.25">
      <c r="A33" s="7" t="s">
        <v>637</v>
      </c>
      <c r="B33" s="8">
        <v>33.86</v>
      </c>
      <c r="C33" s="8">
        <v>109.95</v>
      </c>
      <c r="D33" s="8" t="s">
        <v>299</v>
      </c>
      <c r="E33" s="8" t="s">
        <v>87</v>
      </c>
      <c r="F33" s="8" t="s">
        <v>17</v>
      </c>
      <c r="G33" s="8">
        <v>161.4</v>
      </c>
      <c r="H33" s="9" t="s">
        <v>2382</v>
      </c>
    </row>
    <row r="34" spans="1:8" x14ac:dyDescent="0.25">
      <c r="A34" s="7" t="s">
        <v>642</v>
      </c>
      <c r="B34" s="8">
        <v>-19.05</v>
      </c>
      <c r="C34" s="8">
        <v>-98.94</v>
      </c>
      <c r="D34" s="8" t="s">
        <v>299</v>
      </c>
      <c r="E34" s="8" t="s">
        <v>87</v>
      </c>
      <c r="F34" s="8" t="s">
        <v>30</v>
      </c>
      <c r="G34" s="8">
        <v>0.20499999999999999</v>
      </c>
      <c r="H34" s="9" t="s">
        <v>2383</v>
      </c>
    </row>
    <row r="35" spans="1:8" x14ac:dyDescent="0.25">
      <c r="A35" s="7" t="s">
        <v>223</v>
      </c>
      <c r="B35" s="8">
        <v>28</v>
      </c>
      <c r="C35" s="8">
        <v>123</v>
      </c>
      <c r="D35" s="8" t="s">
        <v>1151</v>
      </c>
      <c r="E35" s="8" t="s">
        <v>1088</v>
      </c>
      <c r="F35" s="8" t="s">
        <v>30</v>
      </c>
      <c r="G35" s="8">
        <v>0.13</v>
      </c>
      <c r="H35" s="9" t="s">
        <v>2383</v>
      </c>
    </row>
    <row r="36" spans="1:8" x14ac:dyDescent="0.25">
      <c r="A36" s="7" t="s">
        <v>223</v>
      </c>
      <c r="B36" s="8">
        <v>20</v>
      </c>
      <c r="C36" s="8">
        <v>133</v>
      </c>
      <c r="D36" s="8" t="s">
        <v>1151</v>
      </c>
      <c r="E36" s="8" t="s">
        <v>119</v>
      </c>
      <c r="F36" s="8" t="s">
        <v>30</v>
      </c>
      <c r="G36" s="8">
        <v>0.01</v>
      </c>
      <c r="H36" s="9" t="s">
        <v>2383</v>
      </c>
    </row>
    <row r="37" spans="1:8" x14ac:dyDescent="0.25">
      <c r="A37" s="7" t="s">
        <v>647</v>
      </c>
      <c r="B37" s="8">
        <v>36.42</v>
      </c>
      <c r="C37" s="8">
        <v>60.86</v>
      </c>
      <c r="D37" s="8" t="s">
        <v>299</v>
      </c>
      <c r="E37" s="8" t="s">
        <v>87</v>
      </c>
      <c r="F37" s="8" t="s">
        <v>17</v>
      </c>
      <c r="G37" s="8">
        <v>2105</v>
      </c>
      <c r="H37" s="9" t="s">
        <v>2382</v>
      </c>
    </row>
    <row r="38" spans="1:8" x14ac:dyDescent="0.25">
      <c r="A38" s="7" t="s">
        <v>664</v>
      </c>
      <c r="B38" s="8">
        <v>36.43</v>
      </c>
      <c r="C38" s="8">
        <v>60.83</v>
      </c>
      <c r="D38" s="8" t="s">
        <v>299</v>
      </c>
      <c r="E38" s="8" t="s">
        <v>87</v>
      </c>
      <c r="F38" s="8" t="s">
        <v>17</v>
      </c>
      <c r="G38" s="8">
        <v>3509</v>
      </c>
      <c r="H38" s="9" t="s">
        <v>2382</v>
      </c>
    </row>
    <row r="39" spans="1:8" x14ac:dyDescent="0.25">
      <c r="A39" s="7" t="s">
        <v>651</v>
      </c>
      <c r="B39" s="8">
        <v>36.42</v>
      </c>
      <c r="C39" s="8">
        <v>60.86</v>
      </c>
      <c r="D39" s="8" t="s">
        <v>299</v>
      </c>
      <c r="E39" s="8" t="s">
        <v>87</v>
      </c>
      <c r="F39" s="8" t="s">
        <v>17</v>
      </c>
      <c r="G39" s="8">
        <v>1754</v>
      </c>
      <c r="H39" s="9" t="s">
        <v>2382</v>
      </c>
    </row>
    <row r="40" spans="1:8" x14ac:dyDescent="0.25">
      <c r="A40" s="7" t="s">
        <v>653</v>
      </c>
      <c r="B40" s="8">
        <v>36.42</v>
      </c>
      <c r="C40" s="8">
        <v>60.86</v>
      </c>
      <c r="D40" s="8" t="s">
        <v>299</v>
      </c>
      <c r="E40" s="8" t="s">
        <v>87</v>
      </c>
      <c r="F40" s="8" t="s">
        <v>17</v>
      </c>
      <c r="G40" s="8">
        <v>2105</v>
      </c>
      <c r="H40" s="9" t="s">
        <v>2382</v>
      </c>
    </row>
    <row r="41" spans="1:8" x14ac:dyDescent="0.25">
      <c r="A41" s="7" t="s">
        <v>654</v>
      </c>
      <c r="B41" s="8">
        <v>36.43</v>
      </c>
      <c r="C41" s="8">
        <v>60.86</v>
      </c>
      <c r="D41" s="8" t="s">
        <v>299</v>
      </c>
      <c r="E41" s="8" t="s">
        <v>87</v>
      </c>
      <c r="F41" s="8" t="s">
        <v>17</v>
      </c>
      <c r="G41" s="8">
        <v>3157</v>
      </c>
      <c r="H41" s="9" t="s">
        <v>2382</v>
      </c>
    </row>
    <row r="42" spans="1:8" x14ac:dyDescent="0.25">
      <c r="A42" s="7" t="s">
        <v>656</v>
      </c>
      <c r="B42" s="8">
        <v>36.450000000000003</v>
      </c>
      <c r="C42" s="8">
        <v>60.82</v>
      </c>
      <c r="D42" s="8" t="s">
        <v>299</v>
      </c>
      <c r="E42" s="8" t="s">
        <v>87</v>
      </c>
      <c r="F42" s="8" t="s">
        <v>17</v>
      </c>
      <c r="G42" s="8">
        <v>2807</v>
      </c>
      <c r="H42" s="9" t="s">
        <v>2382</v>
      </c>
    </row>
    <row r="43" spans="1:8" x14ac:dyDescent="0.25">
      <c r="A43" s="7" t="s">
        <v>658</v>
      </c>
      <c r="B43" s="8">
        <v>36.409999999999997</v>
      </c>
      <c r="C43" s="8">
        <v>60.84</v>
      </c>
      <c r="D43" s="8" t="s">
        <v>299</v>
      </c>
      <c r="E43" s="8" t="s">
        <v>82</v>
      </c>
      <c r="F43" s="8" t="s">
        <v>17</v>
      </c>
      <c r="G43" s="8">
        <v>3509</v>
      </c>
      <c r="H43" s="9" t="s">
        <v>2382</v>
      </c>
    </row>
    <row r="44" spans="1:8" x14ac:dyDescent="0.25">
      <c r="A44" s="7" t="s">
        <v>660</v>
      </c>
      <c r="B44" s="8">
        <v>36.479999999999997</v>
      </c>
      <c r="C44" s="8">
        <v>60.81</v>
      </c>
      <c r="D44" s="8" t="s">
        <v>299</v>
      </c>
      <c r="E44" s="8" t="s">
        <v>87</v>
      </c>
      <c r="F44" s="8" t="s">
        <v>17</v>
      </c>
      <c r="G44" s="8">
        <v>2456</v>
      </c>
      <c r="H44" s="9" t="s">
        <v>2382</v>
      </c>
    </row>
    <row r="45" spans="1:8" x14ac:dyDescent="0.25">
      <c r="A45" s="7" t="s">
        <v>662</v>
      </c>
      <c r="B45" s="8">
        <v>36.409999999999997</v>
      </c>
      <c r="C45" s="8">
        <v>60.84</v>
      </c>
      <c r="D45" s="8" t="s">
        <v>299</v>
      </c>
      <c r="E45" s="8" t="s">
        <v>82</v>
      </c>
      <c r="F45" s="8" t="s">
        <v>17</v>
      </c>
      <c r="G45" s="8">
        <v>2807</v>
      </c>
      <c r="H45" s="9" t="s">
        <v>2382</v>
      </c>
    </row>
    <row r="46" spans="1:8" x14ac:dyDescent="0.25">
      <c r="A46" s="7" t="s">
        <v>663</v>
      </c>
      <c r="B46" s="8">
        <v>36.4</v>
      </c>
      <c r="C46" s="8">
        <v>60.87</v>
      </c>
      <c r="D46" s="8" t="s">
        <v>299</v>
      </c>
      <c r="E46" s="8" t="s">
        <v>82</v>
      </c>
      <c r="F46" s="8" t="s">
        <v>17</v>
      </c>
      <c r="G46" s="8">
        <v>2105</v>
      </c>
      <c r="H46" s="9" t="s">
        <v>2382</v>
      </c>
    </row>
    <row r="47" spans="1:8" x14ac:dyDescent="0.25">
      <c r="A47" s="7" t="s">
        <v>665</v>
      </c>
      <c r="B47" s="8">
        <v>41.38</v>
      </c>
      <c r="C47" s="8">
        <v>25.58</v>
      </c>
      <c r="D47" s="8" t="s">
        <v>299</v>
      </c>
      <c r="E47" s="8" t="s">
        <v>87</v>
      </c>
      <c r="F47" s="8" t="s">
        <v>30</v>
      </c>
      <c r="G47" s="8">
        <v>0.8</v>
      </c>
      <c r="H47" s="9" t="s">
        <v>2383</v>
      </c>
    </row>
    <row r="48" spans="1:8" x14ac:dyDescent="0.25">
      <c r="A48" s="7" t="s">
        <v>669</v>
      </c>
      <c r="B48" s="8">
        <v>24.67</v>
      </c>
      <c r="C48" s="8">
        <v>118.1</v>
      </c>
      <c r="D48" s="8" t="s">
        <v>299</v>
      </c>
      <c r="E48" s="8" t="s">
        <v>87</v>
      </c>
      <c r="F48" s="8" t="s">
        <v>30</v>
      </c>
      <c r="G48" s="8">
        <v>0.01</v>
      </c>
      <c r="H48" s="9" t="s">
        <v>2383</v>
      </c>
    </row>
    <row r="49" spans="1:8" x14ac:dyDescent="0.25">
      <c r="A49" s="7" t="s">
        <v>453</v>
      </c>
      <c r="B49" s="8">
        <v>24.63</v>
      </c>
      <c r="C49" s="8">
        <v>118.3</v>
      </c>
      <c r="D49" s="8" t="s">
        <v>299</v>
      </c>
      <c r="E49" s="8" t="s">
        <v>82</v>
      </c>
      <c r="F49" s="8" t="s">
        <v>30</v>
      </c>
      <c r="G49" s="8">
        <v>1.2999999999999999E-2</v>
      </c>
      <c r="H49" s="9" t="s">
        <v>2383</v>
      </c>
    </row>
    <row r="50" spans="1:8" x14ac:dyDescent="0.25">
      <c r="A50" s="7" t="s">
        <v>456</v>
      </c>
      <c r="B50" s="8">
        <v>30.65</v>
      </c>
      <c r="C50" s="8">
        <v>103.05</v>
      </c>
      <c r="D50" s="8" t="s">
        <v>299</v>
      </c>
      <c r="E50" s="8" t="s">
        <v>82</v>
      </c>
      <c r="F50" s="8" t="s">
        <v>17</v>
      </c>
      <c r="G50" s="8">
        <v>2895</v>
      </c>
      <c r="H50" s="9" t="s">
        <v>2382</v>
      </c>
    </row>
    <row r="51" spans="1:8" x14ac:dyDescent="0.25">
      <c r="A51" s="7" t="s">
        <v>1174</v>
      </c>
      <c r="B51" s="8">
        <v>30.65</v>
      </c>
      <c r="C51" s="8">
        <v>103.99</v>
      </c>
      <c r="D51" s="8" t="s">
        <v>299</v>
      </c>
      <c r="E51" s="8" t="s">
        <v>82</v>
      </c>
      <c r="F51" s="8" t="s">
        <v>17</v>
      </c>
      <c r="G51" s="8">
        <v>1979</v>
      </c>
      <c r="H51" s="9" t="s">
        <v>2382</v>
      </c>
    </row>
    <row r="52" spans="1:8" x14ac:dyDescent="0.25">
      <c r="A52" s="7" t="s">
        <v>672</v>
      </c>
      <c r="B52" s="8">
        <v>30.65</v>
      </c>
      <c r="C52" s="8">
        <v>120.68</v>
      </c>
      <c r="D52" s="8" t="s">
        <v>299</v>
      </c>
      <c r="E52" s="8" t="s">
        <v>87</v>
      </c>
      <c r="F52" s="8" t="s">
        <v>30</v>
      </c>
      <c r="G52" s="8">
        <v>2.5</v>
      </c>
      <c r="H52" s="9" t="s">
        <v>2383</v>
      </c>
    </row>
    <row r="53" spans="1:8" x14ac:dyDescent="0.25">
      <c r="A53" s="7" t="s">
        <v>259</v>
      </c>
      <c r="B53" s="8">
        <v>30.2</v>
      </c>
      <c r="C53" s="8">
        <v>123.06</v>
      </c>
      <c r="D53" s="8" t="s">
        <v>1151</v>
      </c>
      <c r="E53" s="8" t="s">
        <v>119</v>
      </c>
      <c r="F53" s="8" t="s">
        <v>30</v>
      </c>
      <c r="G53" s="8">
        <v>4.8000000000000001E-2</v>
      </c>
      <c r="H53" s="9" t="s">
        <v>2383</v>
      </c>
    </row>
    <row r="54" spans="1:8" x14ac:dyDescent="0.25">
      <c r="A54" s="7" t="s">
        <v>271</v>
      </c>
      <c r="B54" s="8">
        <v>-44.41</v>
      </c>
      <c r="C54" s="8">
        <v>150.09</v>
      </c>
      <c r="D54" s="8" t="s">
        <v>1151</v>
      </c>
      <c r="E54" s="8" t="s">
        <v>119</v>
      </c>
      <c r="F54" s="8" t="s">
        <v>30</v>
      </c>
      <c r="G54" s="8">
        <v>3.15E-2</v>
      </c>
      <c r="H54" s="9" t="s">
        <v>2383</v>
      </c>
    </row>
    <row r="55" spans="1:8" x14ac:dyDescent="0.25">
      <c r="A55" s="7" t="s">
        <v>272</v>
      </c>
      <c r="B55" s="8">
        <v>-45.85</v>
      </c>
      <c r="C55" s="8">
        <v>147.41999999999999</v>
      </c>
      <c r="D55" s="8" t="s">
        <v>1151</v>
      </c>
      <c r="E55" s="8" t="s">
        <v>119</v>
      </c>
      <c r="F55" s="8" t="s">
        <v>30</v>
      </c>
      <c r="G55" s="8">
        <v>2.46E-2</v>
      </c>
      <c r="H55" s="9" t="s">
        <v>2383</v>
      </c>
    </row>
    <row r="56" spans="1:8" x14ac:dyDescent="0.25">
      <c r="A56" s="7" t="s">
        <v>273</v>
      </c>
      <c r="B56" s="8">
        <v>-54.24</v>
      </c>
      <c r="C56" s="8">
        <v>144.16</v>
      </c>
      <c r="D56" s="8" t="s">
        <v>1151</v>
      </c>
      <c r="E56" s="8" t="s">
        <v>119</v>
      </c>
      <c r="F56" s="8" t="s">
        <v>30</v>
      </c>
      <c r="G56" s="8">
        <v>3.9800000000000002E-2</v>
      </c>
      <c r="H56" s="9" t="s">
        <v>2383</v>
      </c>
    </row>
    <row r="57" spans="1:8" x14ac:dyDescent="0.25">
      <c r="A57" s="7" t="s">
        <v>274</v>
      </c>
      <c r="B57" s="8">
        <v>-60.34</v>
      </c>
      <c r="C57" s="8">
        <v>129.58000000000001</v>
      </c>
      <c r="D57" s="8" t="s">
        <v>1151</v>
      </c>
      <c r="E57" s="8" t="s">
        <v>119</v>
      </c>
      <c r="F57" s="8" t="s">
        <v>30</v>
      </c>
      <c r="G57" s="8">
        <v>4.4999999999999998E-2</v>
      </c>
      <c r="H57" s="9" t="s">
        <v>2383</v>
      </c>
    </row>
    <row r="58" spans="1:8" x14ac:dyDescent="0.25">
      <c r="A58" s="7" t="s">
        <v>275</v>
      </c>
      <c r="B58" s="8">
        <v>-60.89</v>
      </c>
      <c r="C58" s="8">
        <v>109.6</v>
      </c>
      <c r="D58" s="8" t="s">
        <v>1151</v>
      </c>
      <c r="E58" s="8" t="s">
        <v>119</v>
      </c>
      <c r="F58" s="8" t="s">
        <v>30</v>
      </c>
      <c r="G58" s="8">
        <v>2.9700000000000001E-2</v>
      </c>
      <c r="H58" s="9" t="s">
        <v>2383</v>
      </c>
    </row>
    <row r="59" spans="1:8" x14ac:dyDescent="0.25">
      <c r="A59" s="7" t="s">
        <v>276</v>
      </c>
      <c r="B59" s="8">
        <v>-61.65</v>
      </c>
      <c r="C59" s="8">
        <v>89.95</v>
      </c>
      <c r="D59" s="8" t="s">
        <v>1151</v>
      </c>
      <c r="E59" s="8" t="s">
        <v>119</v>
      </c>
      <c r="F59" s="8" t="s">
        <v>30</v>
      </c>
      <c r="G59" s="8">
        <v>1.95E-2</v>
      </c>
      <c r="H59" s="9" t="s">
        <v>2383</v>
      </c>
    </row>
    <row r="60" spans="1:8" x14ac:dyDescent="0.25">
      <c r="A60" s="7" t="s">
        <v>277</v>
      </c>
      <c r="B60" s="8">
        <v>-64.040000000000006</v>
      </c>
      <c r="C60" s="8">
        <v>103.43</v>
      </c>
      <c r="D60" s="8" t="s">
        <v>1151</v>
      </c>
      <c r="E60" s="8" t="s">
        <v>119</v>
      </c>
      <c r="F60" s="8" t="s">
        <v>30</v>
      </c>
      <c r="G60" s="8">
        <v>2.47E-2</v>
      </c>
      <c r="H60" s="9" t="s">
        <v>2383</v>
      </c>
    </row>
    <row r="61" spans="1:8" x14ac:dyDescent="0.25">
      <c r="A61" s="7" t="s">
        <v>278</v>
      </c>
      <c r="B61" s="8">
        <v>-64.39</v>
      </c>
      <c r="C61" s="8">
        <v>128.36000000000001</v>
      </c>
      <c r="D61" s="8" t="s">
        <v>1151</v>
      </c>
      <c r="E61" s="8" t="s">
        <v>119</v>
      </c>
      <c r="F61" s="8" t="s">
        <v>30</v>
      </c>
      <c r="G61" s="8">
        <v>3.44E-2</v>
      </c>
      <c r="H61" s="9" t="s">
        <v>2383</v>
      </c>
    </row>
    <row r="62" spans="1:8" x14ac:dyDescent="0.25">
      <c r="A62" s="7" t="s">
        <v>279</v>
      </c>
      <c r="B62" s="8">
        <v>-64.739999999999995</v>
      </c>
      <c r="C62" s="8">
        <v>146.33000000000001</v>
      </c>
      <c r="D62" s="8" t="s">
        <v>1151</v>
      </c>
      <c r="E62" s="8" t="s">
        <v>119</v>
      </c>
      <c r="F62" s="8" t="s">
        <v>30</v>
      </c>
      <c r="G62" s="8">
        <v>3.5499999999999997E-2</v>
      </c>
      <c r="H62" s="9" t="s">
        <v>2383</v>
      </c>
    </row>
    <row r="63" spans="1:8" x14ac:dyDescent="0.25">
      <c r="A63" s="7" t="s">
        <v>280</v>
      </c>
      <c r="B63" s="8">
        <v>-65.17</v>
      </c>
      <c r="C63" s="8">
        <v>151.61000000000001</v>
      </c>
      <c r="D63" s="8" t="s">
        <v>1151</v>
      </c>
      <c r="E63" s="8" t="s">
        <v>119</v>
      </c>
      <c r="F63" s="8" t="s">
        <v>30</v>
      </c>
      <c r="G63" s="8">
        <v>3.6400000000000002E-2</v>
      </c>
      <c r="H63" s="9" t="s">
        <v>2383</v>
      </c>
    </row>
    <row r="64" spans="1:8" x14ac:dyDescent="0.25">
      <c r="A64" s="7" t="s">
        <v>263</v>
      </c>
      <c r="B64" s="8">
        <v>24.97</v>
      </c>
      <c r="C64" s="8">
        <v>128.18</v>
      </c>
      <c r="D64" s="8" t="s">
        <v>1151</v>
      </c>
      <c r="E64" s="8" t="s">
        <v>119</v>
      </c>
      <c r="F64" s="8" t="s">
        <v>30</v>
      </c>
      <c r="G64" s="8">
        <v>3.7999999999999999E-2</v>
      </c>
      <c r="H64" s="9" t="s">
        <v>2383</v>
      </c>
    </row>
    <row r="65" spans="1:8" x14ac:dyDescent="0.25">
      <c r="A65" s="7" t="s">
        <v>281</v>
      </c>
      <c r="B65" s="8">
        <v>-65.27</v>
      </c>
      <c r="C65" s="8">
        <v>152.93</v>
      </c>
      <c r="D65" s="8" t="s">
        <v>1151</v>
      </c>
      <c r="E65" s="8" t="s">
        <v>119</v>
      </c>
      <c r="F65" s="8" t="s">
        <v>30</v>
      </c>
      <c r="G65" s="8">
        <v>4.4499999999999998E-2</v>
      </c>
      <c r="H65" s="9" t="s">
        <v>2383</v>
      </c>
    </row>
    <row r="66" spans="1:8" x14ac:dyDescent="0.25">
      <c r="A66" s="7" t="s">
        <v>282</v>
      </c>
      <c r="B66" s="8">
        <v>-65.42</v>
      </c>
      <c r="C66" s="8">
        <v>82</v>
      </c>
      <c r="D66" s="8" t="s">
        <v>1151</v>
      </c>
      <c r="E66" s="8" t="s">
        <v>119</v>
      </c>
      <c r="F66" s="8" t="s">
        <v>30</v>
      </c>
      <c r="G66" s="8">
        <v>2.8500000000000001E-2</v>
      </c>
      <c r="H66" s="9" t="s">
        <v>2383</v>
      </c>
    </row>
    <row r="67" spans="1:8" x14ac:dyDescent="0.25">
      <c r="A67" s="7" t="s">
        <v>283</v>
      </c>
      <c r="B67" s="8">
        <v>-65.62</v>
      </c>
      <c r="C67" s="8">
        <v>77.77</v>
      </c>
      <c r="D67" s="8" t="s">
        <v>1151</v>
      </c>
      <c r="E67" s="8" t="s">
        <v>119</v>
      </c>
      <c r="F67" s="8" t="s">
        <v>30</v>
      </c>
      <c r="G67" s="8">
        <v>4.1200000000000001E-2</v>
      </c>
      <c r="H67" s="9" t="s">
        <v>2383</v>
      </c>
    </row>
    <row r="68" spans="1:8" x14ac:dyDescent="0.25">
      <c r="A68" s="7" t="s">
        <v>284</v>
      </c>
      <c r="B68" s="8">
        <v>-68.97</v>
      </c>
      <c r="C68" s="8">
        <v>76.42</v>
      </c>
      <c r="D68" s="8" t="s">
        <v>1151</v>
      </c>
      <c r="E68" s="8" t="s">
        <v>119</v>
      </c>
      <c r="F68" s="8" t="s">
        <v>30</v>
      </c>
      <c r="G68" s="8">
        <v>3.4000000000000002E-2</v>
      </c>
      <c r="H68" s="9" t="s">
        <v>2383</v>
      </c>
    </row>
    <row r="69" spans="1:8" x14ac:dyDescent="0.25">
      <c r="A69" s="7" t="s">
        <v>285</v>
      </c>
      <c r="B69" s="8">
        <v>-69.3</v>
      </c>
      <c r="C69" s="8">
        <v>76.23</v>
      </c>
      <c r="D69" s="8" t="s">
        <v>1151</v>
      </c>
      <c r="E69" s="8" t="s">
        <v>119</v>
      </c>
      <c r="F69" s="8" t="s">
        <v>30</v>
      </c>
      <c r="G69" s="8">
        <v>2.24E-2</v>
      </c>
      <c r="H69" s="9" t="s">
        <v>2383</v>
      </c>
    </row>
    <row r="70" spans="1:8" x14ac:dyDescent="0.25">
      <c r="A70" s="7" t="s">
        <v>286</v>
      </c>
      <c r="B70" s="8">
        <v>-73.86</v>
      </c>
      <c r="C70" s="8">
        <v>76.97</v>
      </c>
      <c r="D70" s="8" t="s">
        <v>1151</v>
      </c>
      <c r="E70" s="8" t="s">
        <v>119</v>
      </c>
      <c r="F70" s="8" t="s">
        <v>30</v>
      </c>
      <c r="G70" s="8">
        <v>2.7000000000000001E-3</v>
      </c>
      <c r="H70" s="9" t="s">
        <v>2383</v>
      </c>
    </row>
    <row r="71" spans="1:8" x14ac:dyDescent="0.25">
      <c r="A71" s="7" t="s">
        <v>287</v>
      </c>
      <c r="B71" s="8">
        <v>-73.86</v>
      </c>
      <c r="C71" s="8">
        <v>76.97</v>
      </c>
      <c r="D71" s="8" t="s">
        <v>1151</v>
      </c>
      <c r="E71" s="8" t="s">
        <v>119</v>
      </c>
      <c r="F71" s="8" t="s">
        <v>30</v>
      </c>
      <c r="G71" s="8">
        <v>8.3000000000000001E-3</v>
      </c>
      <c r="H71" s="9" t="s">
        <v>2383</v>
      </c>
    </row>
    <row r="72" spans="1:8" x14ac:dyDescent="0.25">
      <c r="A72" s="7" t="s">
        <v>264</v>
      </c>
      <c r="B72" s="8">
        <v>18.670000000000002</v>
      </c>
      <c r="C72" s="8">
        <v>134.05000000000001</v>
      </c>
      <c r="D72" s="8" t="s">
        <v>1151</v>
      </c>
      <c r="E72" s="8" t="s">
        <v>119</v>
      </c>
      <c r="F72" s="8" t="s">
        <v>30</v>
      </c>
      <c r="G72" s="8">
        <v>3.1600000000000003E-2</v>
      </c>
      <c r="H72" s="9" t="s">
        <v>2383</v>
      </c>
    </row>
    <row r="73" spans="1:8" x14ac:dyDescent="0.25">
      <c r="A73" s="7" t="s">
        <v>265</v>
      </c>
      <c r="B73" s="8">
        <v>12.79</v>
      </c>
      <c r="C73" s="8">
        <v>139.81</v>
      </c>
      <c r="D73" s="8" t="s">
        <v>1151</v>
      </c>
      <c r="E73" s="8" t="s">
        <v>119</v>
      </c>
      <c r="F73" s="8" t="s">
        <v>30</v>
      </c>
      <c r="G73" s="8">
        <v>2.2599999999999999E-2</v>
      </c>
      <c r="H73" s="9" t="s">
        <v>2383</v>
      </c>
    </row>
    <row r="74" spans="1:8" x14ac:dyDescent="0.25">
      <c r="A74" s="7" t="s">
        <v>266</v>
      </c>
      <c r="B74" s="8">
        <v>5.12</v>
      </c>
      <c r="C74" s="8">
        <v>146.94</v>
      </c>
      <c r="D74" s="8" t="s">
        <v>1151</v>
      </c>
      <c r="E74" s="8" t="s">
        <v>119</v>
      </c>
      <c r="F74" s="8" t="s">
        <v>30</v>
      </c>
      <c r="G74" s="8">
        <v>4.0500000000000001E-2</v>
      </c>
      <c r="H74" s="9" t="s">
        <v>2383</v>
      </c>
    </row>
    <row r="75" spans="1:8" x14ac:dyDescent="0.25">
      <c r="A75" s="7" t="s">
        <v>267</v>
      </c>
      <c r="B75" s="8">
        <v>-4.71</v>
      </c>
      <c r="C75" s="8">
        <v>152.56</v>
      </c>
      <c r="D75" s="8" t="s">
        <v>1151</v>
      </c>
      <c r="E75" s="8" t="s">
        <v>119</v>
      </c>
      <c r="F75" s="8" t="s">
        <v>30</v>
      </c>
      <c r="G75" s="8">
        <v>4.0800000000000003E-2</v>
      </c>
      <c r="H75" s="9" t="s">
        <v>2383</v>
      </c>
    </row>
    <row r="76" spans="1:8" x14ac:dyDescent="0.25">
      <c r="A76" s="7" t="s">
        <v>268</v>
      </c>
      <c r="B76" s="8">
        <v>-13.66</v>
      </c>
      <c r="C76" s="8">
        <v>155.27000000000001</v>
      </c>
      <c r="D76" s="8" t="s">
        <v>1151</v>
      </c>
      <c r="E76" s="8" t="s">
        <v>119</v>
      </c>
      <c r="F76" s="8" t="s">
        <v>30</v>
      </c>
      <c r="G76" s="8">
        <v>4.2200000000000001E-2</v>
      </c>
      <c r="H76" s="9" t="s">
        <v>2383</v>
      </c>
    </row>
    <row r="77" spans="1:8" x14ac:dyDescent="0.25">
      <c r="A77" s="7" t="s">
        <v>269</v>
      </c>
      <c r="B77" s="8">
        <v>-24.05</v>
      </c>
      <c r="C77" s="8">
        <v>155.57</v>
      </c>
      <c r="D77" s="8" t="s">
        <v>1151</v>
      </c>
      <c r="E77" s="8" t="s">
        <v>119</v>
      </c>
      <c r="F77" s="8" t="s">
        <v>30</v>
      </c>
      <c r="G77" s="8">
        <v>4.8000000000000001E-2</v>
      </c>
      <c r="H77" s="9" t="s">
        <v>2383</v>
      </c>
    </row>
    <row r="78" spans="1:8" x14ac:dyDescent="0.25">
      <c r="A78" s="7" t="s">
        <v>270</v>
      </c>
      <c r="B78" s="8">
        <v>-34.270000000000003</v>
      </c>
      <c r="C78" s="8">
        <v>153.05000000000001</v>
      </c>
      <c r="D78" s="8" t="s">
        <v>1151</v>
      </c>
      <c r="E78" s="8" t="s">
        <v>119</v>
      </c>
      <c r="F78" s="8" t="s">
        <v>30</v>
      </c>
      <c r="G78" s="8">
        <v>4.7800000000000002E-2</v>
      </c>
      <c r="H78" s="9" t="s">
        <v>2383</v>
      </c>
    </row>
    <row r="79" spans="1:8" x14ac:dyDescent="0.25">
      <c r="A79" s="7" t="s">
        <v>488</v>
      </c>
      <c r="B79" s="8">
        <v>29.65</v>
      </c>
      <c r="C79" s="8">
        <v>91.12</v>
      </c>
      <c r="D79" s="8" t="s">
        <v>299</v>
      </c>
      <c r="E79" s="8" t="s">
        <v>300</v>
      </c>
      <c r="F79" s="8" t="s">
        <v>30</v>
      </c>
      <c r="G79" s="8">
        <v>27.6</v>
      </c>
      <c r="H79" s="9" t="s">
        <v>2383</v>
      </c>
    </row>
    <row r="80" spans="1:8" x14ac:dyDescent="0.25">
      <c r="A80" s="7" t="s">
        <v>384</v>
      </c>
      <c r="B80" s="8">
        <v>29.25</v>
      </c>
      <c r="C80" s="8">
        <v>91.4</v>
      </c>
      <c r="D80" s="8" t="s">
        <v>299</v>
      </c>
      <c r="E80" s="8" t="s">
        <v>332</v>
      </c>
      <c r="F80" s="8" t="s">
        <v>30</v>
      </c>
      <c r="G80" s="8">
        <v>15.6</v>
      </c>
      <c r="H80" s="9" t="s">
        <v>2383</v>
      </c>
    </row>
    <row r="81" spans="1:8" x14ac:dyDescent="0.25">
      <c r="A81" s="7" t="s">
        <v>1017</v>
      </c>
      <c r="B81" s="8">
        <v>29.32</v>
      </c>
      <c r="C81" s="8">
        <v>91.22</v>
      </c>
      <c r="D81" s="8" t="s">
        <v>299</v>
      </c>
      <c r="E81" s="8" t="s">
        <v>332</v>
      </c>
      <c r="F81" s="8" t="s">
        <v>30</v>
      </c>
      <c r="G81" s="8">
        <v>8.1</v>
      </c>
      <c r="H81" s="9" t="s">
        <v>2383</v>
      </c>
    </row>
    <row r="82" spans="1:8" x14ac:dyDescent="0.25">
      <c r="A82" s="7" t="s">
        <v>676</v>
      </c>
      <c r="B82" s="8">
        <v>46.8</v>
      </c>
      <c r="C82" s="8">
        <v>-23.65</v>
      </c>
      <c r="D82" s="8" t="s">
        <v>299</v>
      </c>
      <c r="E82" s="8" t="s">
        <v>87</v>
      </c>
      <c r="F82" s="8" t="s">
        <v>17</v>
      </c>
      <c r="G82" s="8">
        <v>123.2</v>
      </c>
      <c r="H82" s="9" t="s">
        <v>2382</v>
      </c>
    </row>
    <row r="83" spans="1:8" x14ac:dyDescent="0.25">
      <c r="A83" s="7" t="s">
        <v>681</v>
      </c>
      <c r="B83" s="8">
        <v>51.65</v>
      </c>
      <c r="C83" s="8">
        <v>-0.2</v>
      </c>
      <c r="D83" s="8" t="s">
        <v>299</v>
      </c>
      <c r="E83" s="8" t="s">
        <v>87</v>
      </c>
      <c r="F83" s="8" t="s">
        <v>17</v>
      </c>
      <c r="G83" s="8">
        <v>712</v>
      </c>
      <c r="H83" s="9" t="s">
        <v>2382</v>
      </c>
    </row>
    <row r="84" spans="1:8" x14ac:dyDescent="0.25">
      <c r="A84" s="7" t="s">
        <v>686</v>
      </c>
      <c r="B84" s="8">
        <v>53.79</v>
      </c>
      <c r="C84" s="8">
        <v>9.98</v>
      </c>
      <c r="D84" s="8" t="s">
        <v>299</v>
      </c>
      <c r="E84" s="8" t="s">
        <v>87</v>
      </c>
      <c r="F84" s="8" t="s">
        <v>17</v>
      </c>
      <c r="G84" s="8">
        <v>260.60000000000002</v>
      </c>
      <c r="H84" s="9" t="s">
        <v>2382</v>
      </c>
    </row>
    <row r="85" spans="1:8" x14ac:dyDescent="0.25">
      <c r="A85" s="7" t="s">
        <v>688</v>
      </c>
      <c r="B85" s="8">
        <v>53.79</v>
      </c>
      <c r="C85" s="8">
        <v>9.98</v>
      </c>
      <c r="D85" s="8" t="s">
        <v>299</v>
      </c>
      <c r="E85" s="8" t="s">
        <v>87</v>
      </c>
      <c r="F85" s="8" t="s">
        <v>17</v>
      </c>
      <c r="G85" s="8">
        <v>246.9</v>
      </c>
      <c r="H85" s="9" t="s">
        <v>2382</v>
      </c>
    </row>
    <row r="86" spans="1:8" x14ac:dyDescent="0.25">
      <c r="A86" s="7" t="s">
        <v>689</v>
      </c>
      <c r="B86" s="8">
        <v>53.79</v>
      </c>
      <c r="C86" s="8">
        <v>9.98</v>
      </c>
      <c r="D86" s="8" t="s">
        <v>299</v>
      </c>
      <c r="E86" s="8" t="s">
        <v>87</v>
      </c>
      <c r="F86" s="8" t="s">
        <v>17</v>
      </c>
      <c r="G86" s="8">
        <v>136.5</v>
      </c>
      <c r="H86" s="9" t="s">
        <v>2382</v>
      </c>
    </row>
    <row r="87" spans="1:8" x14ac:dyDescent="0.25">
      <c r="A87" s="7" t="s">
        <v>397</v>
      </c>
      <c r="B87" s="8">
        <v>53.79</v>
      </c>
      <c r="C87" s="8">
        <v>9.98</v>
      </c>
      <c r="D87" s="8" t="s">
        <v>299</v>
      </c>
      <c r="E87" s="8" t="s">
        <v>339</v>
      </c>
      <c r="F87" s="8" t="s">
        <v>17</v>
      </c>
      <c r="G87" s="8">
        <v>331.4</v>
      </c>
      <c r="H87" s="9" t="s">
        <v>2382</v>
      </c>
    </row>
    <row r="88" spans="1:8" x14ac:dyDescent="0.25">
      <c r="A88" s="7" t="s">
        <v>402</v>
      </c>
      <c r="B88" s="8">
        <v>53.79</v>
      </c>
      <c r="C88" s="8">
        <v>9.98</v>
      </c>
      <c r="D88" s="8" t="s">
        <v>299</v>
      </c>
      <c r="E88" s="8" t="s">
        <v>339</v>
      </c>
      <c r="F88" s="8" t="s">
        <v>17</v>
      </c>
      <c r="G88" s="8">
        <v>512</v>
      </c>
      <c r="H88" s="9" t="s">
        <v>2382</v>
      </c>
    </row>
    <row r="89" spans="1:8" x14ac:dyDescent="0.25">
      <c r="A89" s="7" t="s">
        <v>404</v>
      </c>
      <c r="B89" s="8">
        <v>53.79</v>
      </c>
      <c r="C89" s="8">
        <v>9.98</v>
      </c>
      <c r="D89" s="8" t="s">
        <v>299</v>
      </c>
      <c r="E89" s="8" t="s">
        <v>339</v>
      </c>
      <c r="F89" s="8" t="s">
        <v>17</v>
      </c>
      <c r="G89" s="8">
        <v>343.1</v>
      </c>
      <c r="H89" s="9" t="s">
        <v>2382</v>
      </c>
    </row>
    <row r="90" spans="1:8" x14ac:dyDescent="0.25">
      <c r="A90" s="7" t="s">
        <v>459</v>
      </c>
      <c r="B90" s="8">
        <v>43.33</v>
      </c>
      <c r="C90" s="8">
        <v>-8.35</v>
      </c>
      <c r="D90" s="8" t="s">
        <v>299</v>
      </c>
      <c r="E90" s="8" t="s">
        <v>82</v>
      </c>
      <c r="F90" s="8" t="s">
        <v>17</v>
      </c>
      <c r="G90" s="8">
        <v>663</v>
      </c>
      <c r="H90" s="9" t="s">
        <v>2382</v>
      </c>
    </row>
    <row r="91" spans="1:8" x14ac:dyDescent="0.25">
      <c r="A91" s="7" t="s">
        <v>691</v>
      </c>
      <c r="B91" s="8">
        <v>23.14</v>
      </c>
      <c r="C91" s="8">
        <v>113.5</v>
      </c>
      <c r="D91" s="8" t="s">
        <v>299</v>
      </c>
      <c r="E91" s="8" t="s">
        <v>87</v>
      </c>
      <c r="F91" s="8" t="s">
        <v>17</v>
      </c>
      <c r="G91" s="8">
        <v>114</v>
      </c>
      <c r="H91" s="9" t="s">
        <v>2382</v>
      </c>
    </row>
    <row r="92" spans="1:8" x14ac:dyDescent="0.25">
      <c r="A92" s="7" t="s">
        <v>225</v>
      </c>
      <c r="B92" s="8">
        <v>20.18</v>
      </c>
      <c r="C92" s="8">
        <v>133.84</v>
      </c>
      <c r="D92" s="8" t="s">
        <v>1151</v>
      </c>
      <c r="E92" s="8" t="s">
        <v>0</v>
      </c>
      <c r="F92" s="8" t="s">
        <v>30</v>
      </c>
      <c r="G92" s="8">
        <v>0.06</v>
      </c>
      <c r="H92" s="9" t="s">
        <v>2382</v>
      </c>
    </row>
    <row r="93" spans="1:8" x14ac:dyDescent="0.25">
      <c r="A93" s="7" t="s">
        <v>225</v>
      </c>
      <c r="B93" s="8">
        <v>20.18</v>
      </c>
      <c r="C93" s="8">
        <v>133.84</v>
      </c>
      <c r="D93" s="8" t="s">
        <v>1151</v>
      </c>
      <c r="E93" s="8" t="s">
        <v>0</v>
      </c>
      <c r="F93" s="8" t="s">
        <v>30</v>
      </c>
      <c r="G93" s="8">
        <v>2.7E-2</v>
      </c>
      <c r="H93" s="9" t="s">
        <v>2383</v>
      </c>
    </row>
    <row r="94" spans="1:8" x14ac:dyDescent="0.25">
      <c r="A94" s="7" t="s">
        <v>20</v>
      </c>
      <c r="B94" s="8">
        <v>5.4</v>
      </c>
      <c r="C94" s="8">
        <v>103.09</v>
      </c>
      <c r="D94" s="8" t="s">
        <v>1088</v>
      </c>
      <c r="E94" s="8" t="s">
        <v>0</v>
      </c>
      <c r="F94" s="8" t="s">
        <v>17</v>
      </c>
      <c r="G94" s="8">
        <v>5476</v>
      </c>
      <c r="H94" s="9" t="s">
        <v>2382</v>
      </c>
    </row>
    <row r="95" spans="1:8" x14ac:dyDescent="0.25">
      <c r="A95" s="7" t="s">
        <v>541</v>
      </c>
      <c r="B95" s="8">
        <v>25.61</v>
      </c>
      <c r="C95" s="8">
        <v>85.61</v>
      </c>
      <c r="D95" s="8" t="s">
        <v>299</v>
      </c>
      <c r="E95" s="8" t="s">
        <v>87</v>
      </c>
      <c r="F95" s="8" t="s">
        <v>17</v>
      </c>
      <c r="G95" s="8">
        <v>1959.6</v>
      </c>
      <c r="H95" s="9" t="s">
        <v>2382</v>
      </c>
    </row>
    <row r="96" spans="1:8" x14ac:dyDescent="0.25">
      <c r="A96" s="7" t="s">
        <v>336</v>
      </c>
      <c r="B96" s="8">
        <v>25.55</v>
      </c>
      <c r="C96" s="8">
        <v>84.85</v>
      </c>
      <c r="D96" s="8" t="s">
        <v>299</v>
      </c>
      <c r="E96" s="8" t="s">
        <v>339</v>
      </c>
      <c r="F96" s="8" t="s">
        <v>17</v>
      </c>
      <c r="G96" s="8">
        <v>1320.4</v>
      </c>
      <c r="H96" s="9" t="s">
        <v>2382</v>
      </c>
    </row>
    <row r="97" spans="1:8" x14ac:dyDescent="0.25">
      <c r="A97" s="7" t="s">
        <v>695</v>
      </c>
      <c r="B97" s="8">
        <v>30.14</v>
      </c>
      <c r="C97" s="8">
        <v>121.14</v>
      </c>
      <c r="D97" s="8" t="s">
        <v>299</v>
      </c>
      <c r="E97" s="8" t="s">
        <v>87</v>
      </c>
      <c r="F97" s="8" t="s">
        <v>30</v>
      </c>
      <c r="G97" s="8">
        <v>0</v>
      </c>
      <c r="H97" s="8" t="s">
        <v>2383</v>
      </c>
    </row>
    <row r="98" spans="1:8" x14ac:dyDescent="0.25">
      <c r="A98" s="7" t="s">
        <v>700</v>
      </c>
      <c r="B98" s="8">
        <v>31.21</v>
      </c>
      <c r="C98" s="8">
        <v>121.7</v>
      </c>
      <c r="D98" s="8" t="s">
        <v>299</v>
      </c>
      <c r="E98" s="8" t="s">
        <v>87</v>
      </c>
      <c r="F98" s="8" t="s">
        <v>30</v>
      </c>
      <c r="G98" s="8">
        <v>4.18</v>
      </c>
      <c r="H98" s="9" t="s">
        <v>2383</v>
      </c>
    </row>
    <row r="99" spans="1:8" x14ac:dyDescent="0.25">
      <c r="A99" s="7" t="s">
        <v>357</v>
      </c>
      <c r="B99" s="8">
        <v>42.8</v>
      </c>
      <c r="C99" s="8">
        <v>1.41</v>
      </c>
      <c r="D99" s="8" t="s">
        <v>299</v>
      </c>
      <c r="E99" s="8" t="s">
        <v>332</v>
      </c>
      <c r="F99" s="8" t="s">
        <v>17</v>
      </c>
      <c r="G99" s="8">
        <v>366</v>
      </c>
      <c r="H99" s="9" t="s">
        <v>2382</v>
      </c>
    </row>
    <row r="100" spans="1:8" x14ac:dyDescent="0.25">
      <c r="A100" s="7" t="s">
        <v>709</v>
      </c>
      <c r="B100" s="8">
        <v>-6.92</v>
      </c>
      <c r="C100" s="8">
        <v>107.62</v>
      </c>
      <c r="D100" s="8" t="s">
        <v>299</v>
      </c>
      <c r="E100" s="8" t="s">
        <v>87</v>
      </c>
      <c r="F100" s="8" t="s">
        <v>30</v>
      </c>
      <c r="G100" s="8">
        <v>0.43</v>
      </c>
      <c r="H100" s="9" t="s">
        <v>2383</v>
      </c>
    </row>
    <row r="101" spans="1:8" x14ac:dyDescent="0.25">
      <c r="A101" s="7" t="s">
        <v>464</v>
      </c>
      <c r="B101" s="8">
        <v>-6.92</v>
      </c>
      <c r="C101" s="8">
        <v>107.62</v>
      </c>
      <c r="D101" s="8" t="s">
        <v>299</v>
      </c>
      <c r="E101" s="8" t="s">
        <v>82</v>
      </c>
      <c r="F101" s="8" t="s">
        <v>30</v>
      </c>
      <c r="G101" s="8">
        <v>0.2</v>
      </c>
      <c r="H101" s="9" t="s">
        <v>2383</v>
      </c>
    </row>
    <row r="102" spans="1:8" x14ac:dyDescent="0.25">
      <c r="A102" s="7" t="s">
        <v>711</v>
      </c>
      <c r="B102" s="8">
        <v>10.98</v>
      </c>
      <c r="C102" s="8">
        <v>106.8</v>
      </c>
      <c r="D102" s="8" t="s">
        <v>299</v>
      </c>
      <c r="E102" s="8" t="s">
        <v>87</v>
      </c>
      <c r="F102" s="8" t="s">
        <v>17</v>
      </c>
      <c r="G102" s="8">
        <v>230</v>
      </c>
      <c r="H102" s="9" t="s">
        <v>2382</v>
      </c>
    </row>
    <row r="103" spans="1:8" x14ac:dyDescent="0.25">
      <c r="A103" s="7" t="s">
        <v>425</v>
      </c>
      <c r="B103" s="8">
        <v>10.96</v>
      </c>
      <c r="C103" s="8">
        <v>106.49</v>
      </c>
      <c r="D103" s="8" t="s">
        <v>299</v>
      </c>
      <c r="E103" s="8" t="s">
        <v>2388</v>
      </c>
      <c r="F103" s="8" t="s">
        <v>17</v>
      </c>
      <c r="G103" s="8">
        <v>256</v>
      </c>
      <c r="H103" s="9" t="s">
        <v>2382</v>
      </c>
    </row>
    <row r="104" spans="1:8" x14ac:dyDescent="0.25">
      <c r="A104" s="7" t="s">
        <v>432</v>
      </c>
      <c r="B104" s="8">
        <v>10.96</v>
      </c>
      <c r="C104" s="8">
        <v>106.49</v>
      </c>
      <c r="D104" s="8" t="s">
        <v>299</v>
      </c>
      <c r="E104" s="8" t="s">
        <v>2388</v>
      </c>
      <c r="F104" s="8" t="s">
        <v>17</v>
      </c>
      <c r="G104" s="8">
        <v>374</v>
      </c>
      <c r="H104" s="9" t="s">
        <v>2382</v>
      </c>
    </row>
    <row r="105" spans="1:8" x14ac:dyDescent="0.25">
      <c r="A105" s="7" t="s">
        <v>714</v>
      </c>
      <c r="B105" s="8">
        <v>34.5</v>
      </c>
      <c r="C105" s="8">
        <v>109</v>
      </c>
      <c r="D105" s="8" t="s">
        <v>299</v>
      </c>
      <c r="E105" s="8" t="s">
        <v>87</v>
      </c>
      <c r="F105" s="8" t="s">
        <v>30</v>
      </c>
      <c r="G105" s="8">
        <v>12500</v>
      </c>
      <c r="H105" s="9" t="s">
        <v>2383</v>
      </c>
    </row>
    <row r="106" spans="1:8" x14ac:dyDescent="0.25">
      <c r="A106" s="7" t="s">
        <v>469</v>
      </c>
      <c r="B106" s="8">
        <v>33.69</v>
      </c>
      <c r="C106" s="8">
        <v>111.93</v>
      </c>
      <c r="D106" s="8" t="s">
        <v>299</v>
      </c>
      <c r="E106" s="8" t="s">
        <v>82</v>
      </c>
      <c r="F106" s="8" t="s">
        <v>30</v>
      </c>
      <c r="G106" s="8">
        <v>0.2</v>
      </c>
      <c r="H106" s="9" t="s">
        <v>2383</v>
      </c>
    </row>
    <row r="107" spans="1:8" x14ac:dyDescent="0.25">
      <c r="A107" s="7" t="s">
        <v>717</v>
      </c>
      <c r="B107" s="8">
        <v>31.33</v>
      </c>
      <c r="C107" s="8">
        <v>121.33</v>
      </c>
      <c r="D107" s="8" t="s">
        <v>299</v>
      </c>
      <c r="E107" s="8" t="s">
        <v>87</v>
      </c>
      <c r="F107" s="8" t="s">
        <v>30</v>
      </c>
      <c r="G107" s="8">
        <v>22.78</v>
      </c>
      <c r="H107" s="9" t="s">
        <v>2383</v>
      </c>
    </row>
    <row r="108" spans="1:8" x14ac:dyDescent="0.25">
      <c r="A108" s="7" t="s">
        <v>720</v>
      </c>
      <c r="B108" s="8">
        <v>31.33</v>
      </c>
      <c r="C108" s="8">
        <v>121.11</v>
      </c>
      <c r="D108" s="8" t="s">
        <v>299</v>
      </c>
      <c r="E108" s="8" t="s">
        <v>87</v>
      </c>
      <c r="F108" s="8" t="s">
        <v>30</v>
      </c>
      <c r="G108" s="8">
        <v>15.88</v>
      </c>
      <c r="H108" s="9" t="s">
        <v>2383</v>
      </c>
    </row>
    <row r="109" spans="1:8" x14ac:dyDescent="0.25">
      <c r="A109" s="7" t="s">
        <v>362</v>
      </c>
      <c r="B109" s="8">
        <v>45.22</v>
      </c>
      <c r="C109" s="8">
        <v>-78.930000000000007</v>
      </c>
      <c r="D109" s="8" t="s">
        <v>299</v>
      </c>
      <c r="E109" s="8" t="s">
        <v>339</v>
      </c>
      <c r="F109" s="8" t="s">
        <v>17</v>
      </c>
      <c r="G109" s="8">
        <v>9</v>
      </c>
      <c r="H109" s="9" t="s">
        <v>2382</v>
      </c>
    </row>
    <row r="110" spans="1:8" x14ac:dyDescent="0.25">
      <c r="A110" s="7" t="s">
        <v>368</v>
      </c>
      <c r="B110" s="8">
        <v>45.22</v>
      </c>
      <c r="C110" s="8">
        <v>-78.930000000000007</v>
      </c>
      <c r="D110" s="8" t="s">
        <v>299</v>
      </c>
      <c r="E110" s="8" t="s">
        <v>332</v>
      </c>
      <c r="F110" s="8" t="s">
        <v>17</v>
      </c>
      <c r="G110" s="8">
        <v>6</v>
      </c>
      <c r="H110" s="9" t="s">
        <v>2382</v>
      </c>
    </row>
    <row r="111" spans="1:8" x14ac:dyDescent="0.25">
      <c r="A111" s="7" t="s">
        <v>371</v>
      </c>
      <c r="B111" s="8">
        <v>45.4</v>
      </c>
      <c r="C111" s="8">
        <v>-79</v>
      </c>
      <c r="D111" s="8" t="s">
        <v>299</v>
      </c>
      <c r="E111" s="8" t="s">
        <v>332</v>
      </c>
      <c r="F111" s="8" t="s">
        <v>17</v>
      </c>
      <c r="G111" s="8">
        <v>5</v>
      </c>
      <c r="H111" s="8" t="s">
        <v>2382</v>
      </c>
    </row>
    <row r="112" spans="1:8" x14ac:dyDescent="0.25">
      <c r="A112" s="7" t="s">
        <v>373</v>
      </c>
      <c r="B112" s="8">
        <v>45.13</v>
      </c>
      <c r="C112" s="8">
        <v>-79.099999999999994</v>
      </c>
      <c r="D112" s="8" t="s">
        <v>299</v>
      </c>
      <c r="E112" s="8" t="s">
        <v>339</v>
      </c>
      <c r="F112" s="8" t="s">
        <v>17</v>
      </c>
      <c r="G112" s="8">
        <v>8</v>
      </c>
      <c r="H112" s="9" t="s">
        <v>2382</v>
      </c>
    </row>
    <row r="113" spans="1:8" x14ac:dyDescent="0.25">
      <c r="A113" s="7" t="s">
        <v>376</v>
      </c>
      <c r="B113" s="8">
        <v>45.18</v>
      </c>
      <c r="C113" s="8">
        <v>-78.819999999999993</v>
      </c>
      <c r="D113" s="8" t="s">
        <v>299</v>
      </c>
      <c r="E113" s="8" t="s">
        <v>332</v>
      </c>
      <c r="F113" s="8" t="s">
        <v>17</v>
      </c>
      <c r="G113" s="8">
        <v>4</v>
      </c>
      <c r="H113" s="9" t="s">
        <v>2382</v>
      </c>
    </row>
    <row r="114" spans="1:8" x14ac:dyDescent="0.25">
      <c r="A114" s="7" t="s">
        <v>378</v>
      </c>
      <c r="B114" s="8">
        <v>45.18</v>
      </c>
      <c r="C114" s="8">
        <v>-78.819999999999993</v>
      </c>
      <c r="D114" s="8" t="s">
        <v>299</v>
      </c>
      <c r="E114" s="8" t="s">
        <v>332</v>
      </c>
      <c r="F114" s="8" t="s">
        <v>17</v>
      </c>
      <c r="G114" s="8">
        <v>4</v>
      </c>
      <c r="H114" s="9" t="s">
        <v>2382</v>
      </c>
    </row>
    <row r="115" spans="1:8" x14ac:dyDescent="0.25">
      <c r="A115" s="7" t="s">
        <v>733</v>
      </c>
      <c r="B115" s="8">
        <v>27.98</v>
      </c>
      <c r="C115" s="8">
        <v>120.72</v>
      </c>
      <c r="D115" s="8" t="s">
        <v>299</v>
      </c>
      <c r="E115" s="8" t="s">
        <v>87</v>
      </c>
      <c r="F115" s="8" t="s">
        <v>30</v>
      </c>
      <c r="G115" s="8">
        <v>195</v>
      </c>
      <c r="H115" s="9" t="s">
        <v>2383</v>
      </c>
    </row>
    <row r="116" spans="1:8" x14ac:dyDescent="0.25">
      <c r="A116" s="7" t="s">
        <v>736</v>
      </c>
      <c r="B116" s="8">
        <v>27.92</v>
      </c>
      <c r="C116" s="8">
        <v>120.72</v>
      </c>
      <c r="D116" s="8" t="s">
        <v>299</v>
      </c>
      <c r="E116" s="8" t="s">
        <v>87</v>
      </c>
      <c r="F116" s="8" t="s">
        <v>30</v>
      </c>
      <c r="G116" s="8">
        <v>1800</v>
      </c>
      <c r="H116" s="9" t="s">
        <v>2383</v>
      </c>
    </row>
    <row r="117" spans="1:8" x14ac:dyDescent="0.25">
      <c r="A117" s="7" t="s">
        <v>722</v>
      </c>
      <c r="B117" s="8">
        <v>27.92</v>
      </c>
      <c r="C117" s="8">
        <v>120.72</v>
      </c>
      <c r="D117" s="8" t="s">
        <v>299</v>
      </c>
      <c r="E117" s="8" t="s">
        <v>87</v>
      </c>
      <c r="F117" s="8" t="s">
        <v>30</v>
      </c>
      <c r="G117" s="8">
        <v>226</v>
      </c>
      <c r="H117" s="9" t="s">
        <v>2383</v>
      </c>
    </row>
    <row r="118" spans="1:8" x14ac:dyDescent="0.25">
      <c r="A118" s="7" t="s">
        <v>739</v>
      </c>
      <c r="B118" s="8">
        <v>28</v>
      </c>
      <c r="C118" s="8">
        <v>120.72</v>
      </c>
      <c r="D118" s="8" t="s">
        <v>299</v>
      </c>
      <c r="E118" s="8" t="s">
        <v>87</v>
      </c>
      <c r="F118" s="8" t="s">
        <v>30</v>
      </c>
      <c r="G118" s="8">
        <v>259</v>
      </c>
      <c r="H118" s="9" t="s">
        <v>2383</v>
      </c>
    </row>
    <row r="119" spans="1:8" x14ac:dyDescent="0.25">
      <c r="A119" s="7" t="s">
        <v>744</v>
      </c>
      <c r="B119" s="8">
        <v>28</v>
      </c>
      <c r="C119" s="8">
        <v>120.72</v>
      </c>
      <c r="D119" s="8" t="s">
        <v>299</v>
      </c>
      <c r="E119" s="8" t="s">
        <v>87</v>
      </c>
      <c r="F119" s="8" t="s">
        <v>30</v>
      </c>
      <c r="G119" s="8">
        <v>287</v>
      </c>
      <c r="H119" s="9" t="s">
        <v>2383</v>
      </c>
    </row>
    <row r="120" spans="1:8" x14ac:dyDescent="0.25">
      <c r="A120" s="7" t="s">
        <v>745</v>
      </c>
      <c r="B120" s="8">
        <v>28</v>
      </c>
      <c r="C120" s="8">
        <v>120.72</v>
      </c>
      <c r="D120" s="8" t="s">
        <v>299</v>
      </c>
      <c r="E120" s="8" t="s">
        <v>87</v>
      </c>
      <c r="F120" s="8" t="s">
        <v>30</v>
      </c>
      <c r="G120" s="8">
        <v>200</v>
      </c>
      <c r="H120" s="9" t="s">
        <v>2383</v>
      </c>
    </row>
    <row r="121" spans="1:8" x14ac:dyDescent="0.25">
      <c r="A121" s="7" t="s">
        <v>406</v>
      </c>
      <c r="B121" s="8">
        <v>27.98</v>
      </c>
      <c r="C121" s="8">
        <v>120.71</v>
      </c>
      <c r="D121" s="8" t="s">
        <v>299</v>
      </c>
      <c r="E121" s="8" t="s">
        <v>332</v>
      </c>
      <c r="F121" s="8" t="s">
        <v>30</v>
      </c>
      <c r="G121" s="8">
        <v>137</v>
      </c>
      <c r="H121" s="9" t="s">
        <v>2383</v>
      </c>
    </row>
    <row r="122" spans="1:8" x14ac:dyDescent="0.25">
      <c r="A122" s="7" t="s">
        <v>411</v>
      </c>
      <c r="B122" s="8">
        <v>27.92</v>
      </c>
      <c r="C122" s="8">
        <v>120.72</v>
      </c>
      <c r="D122" s="8" t="s">
        <v>299</v>
      </c>
      <c r="E122" s="8" t="s">
        <v>332</v>
      </c>
      <c r="F122" s="8" t="s">
        <v>30</v>
      </c>
      <c r="G122" s="8">
        <v>97</v>
      </c>
      <c r="H122" s="9" t="s">
        <v>2383</v>
      </c>
    </row>
    <row r="123" spans="1:8" x14ac:dyDescent="0.25">
      <c r="A123" s="7" t="s">
        <v>414</v>
      </c>
      <c r="B123" s="8">
        <v>27.92</v>
      </c>
      <c r="C123" s="8">
        <v>120.73</v>
      </c>
      <c r="D123" s="8" t="s">
        <v>299</v>
      </c>
      <c r="E123" s="8" t="s">
        <v>332</v>
      </c>
      <c r="F123" s="8" t="s">
        <v>30</v>
      </c>
      <c r="G123" s="8">
        <v>70</v>
      </c>
      <c r="H123" s="9" t="s">
        <v>2383</v>
      </c>
    </row>
    <row r="124" spans="1:8" x14ac:dyDescent="0.25">
      <c r="A124" s="7" t="s">
        <v>747</v>
      </c>
      <c r="B124" s="8">
        <v>30.62</v>
      </c>
      <c r="C124" s="8">
        <v>106.07</v>
      </c>
      <c r="D124" s="8" t="s">
        <v>299</v>
      </c>
      <c r="E124" s="8" t="s">
        <v>87</v>
      </c>
      <c r="F124" s="8" t="s">
        <v>17</v>
      </c>
      <c r="G124" s="8">
        <v>246</v>
      </c>
      <c r="H124" s="9" t="s">
        <v>2382</v>
      </c>
    </row>
    <row r="125" spans="1:8" x14ac:dyDescent="0.25">
      <c r="A125" s="7" t="s">
        <v>747</v>
      </c>
      <c r="B125" s="8">
        <v>30.62</v>
      </c>
      <c r="C125" s="8">
        <v>104.07</v>
      </c>
      <c r="D125" s="8" t="s">
        <v>299</v>
      </c>
      <c r="E125" s="8" t="s">
        <v>87</v>
      </c>
      <c r="F125" s="8" t="s">
        <v>17</v>
      </c>
      <c r="G125" s="8">
        <v>207</v>
      </c>
      <c r="H125" s="9" t="s">
        <v>2382</v>
      </c>
    </row>
    <row r="126" spans="1:8" x14ac:dyDescent="0.25">
      <c r="A126" s="7" t="s">
        <v>417</v>
      </c>
      <c r="B126" s="8">
        <v>36.78</v>
      </c>
      <c r="C126" s="8">
        <v>114.07</v>
      </c>
      <c r="D126" s="8" t="s">
        <v>299</v>
      </c>
      <c r="E126" s="8" t="s">
        <v>332</v>
      </c>
      <c r="F126" s="8" t="s">
        <v>17</v>
      </c>
      <c r="G126" s="8">
        <v>7301</v>
      </c>
      <c r="H126" s="9" t="s">
        <v>2382</v>
      </c>
    </row>
    <row r="127" spans="1:8" x14ac:dyDescent="0.25">
      <c r="A127" s="7" t="s">
        <v>83</v>
      </c>
      <c r="B127" s="8">
        <v>5.4</v>
      </c>
      <c r="C127" s="8">
        <v>103.11</v>
      </c>
      <c r="D127" s="8" t="s">
        <v>1088</v>
      </c>
      <c r="E127" s="8" t="s">
        <v>87</v>
      </c>
      <c r="F127" s="8" t="s">
        <v>17</v>
      </c>
      <c r="G127" s="8">
        <v>368</v>
      </c>
      <c r="H127" s="9" t="s">
        <v>2382</v>
      </c>
    </row>
    <row r="128" spans="1:8" x14ac:dyDescent="0.25">
      <c r="A128" s="7" t="s">
        <v>89</v>
      </c>
      <c r="B128" s="8">
        <v>2.59</v>
      </c>
      <c r="C128" s="8">
        <v>101.74</v>
      </c>
      <c r="D128" s="8" t="s">
        <v>1088</v>
      </c>
      <c r="E128" s="8" t="s">
        <v>87</v>
      </c>
      <c r="F128" s="8" t="s">
        <v>17</v>
      </c>
      <c r="G128" s="8">
        <v>340</v>
      </c>
      <c r="H128" s="9" t="s">
        <v>2382</v>
      </c>
    </row>
    <row r="129" spans="1:8" x14ac:dyDescent="0.25">
      <c r="A129" s="7" t="s">
        <v>11</v>
      </c>
      <c r="B129" s="8">
        <v>5.8</v>
      </c>
      <c r="C129" s="8">
        <v>103.05</v>
      </c>
      <c r="D129" s="8" t="s">
        <v>1152</v>
      </c>
      <c r="E129" s="8" t="s">
        <v>1182</v>
      </c>
      <c r="F129" s="8" t="s">
        <v>17</v>
      </c>
      <c r="G129" s="8">
        <v>274</v>
      </c>
      <c r="H129" s="9" t="s">
        <v>2382</v>
      </c>
    </row>
    <row r="130" spans="1:8" x14ac:dyDescent="0.25">
      <c r="A130" s="7" t="s">
        <v>749</v>
      </c>
      <c r="B130" s="8">
        <v>37.99</v>
      </c>
      <c r="C130" s="8">
        <v>127.04</v>
      </c>
      <c r="D130" s="8" t="s">
        <v>299</v>
      </c>
      <c r="E130" s="8" t="s">
        <v>87</v>
      </c>
      <c r="F130" s="8" t="s">
        <v>30</v>
      </c>
      <c r="G130" s="8">
        <v>0.72</v>
      </c>
      <c r="H130" s="9" t="s">
        <v>2383</v>
      </c>
    </row>
    <row r="131" spans="1:8" x14ac:dyDescent="0.25">
      <c r="A131" s="7" t="s">
        <v>380</v>
      </c>
      <c r="B131" s="8">
        <v>42.8</v>
      </c>
      <c r="C131" s="8">
        <v>1.41</v>
      </c>
      <c r="D131" s="8" t="s">
        <v>299</v>
      </c>
      <c r="E131" s="8" t="s">
        <v>339</v>
      </c>
      <c r="F131" s="8" t="s">
        <v>17</v>
      </c>
      <c r="G131" s="8">
        <v>365</v>
      </c>
      <c r="H131" s="9" t="s">
        <v>2382</v>
      </c>
    </row>
    <row r="132" spans="1:8" x14ac:dyDescent="0.25">
      <c r="A132" s="7" t="s">
        <v>765</v>
      </c>
      <c r="B132" s="8">
        <v>36.049999999999997</v>
      </c>
      <c r="C132" s="8">
        <v>103.8</v>
      </c>
      <c r="D132" s="8" t="s">
        <v>299</v>
      </c>
      <c r="E132" s="8" t="s">
        <v>87</v>
      </c>
      <c r="F132" s="8" t="s">
        <v>17</v>
      </c>
      <c r="G132" s="8">
        <v>353.83</v>
      </c>
      <c r="H132" s="9" t="s">
        <v>2382</v>
      </c>
    </row>
    <row r="133" spans="1:8" x14ac:dyDescent="0.25">
      <c r="A133" s="7" t="s">
        <v>92</v>
      </c>
      <c r="B133" s="8">
        <v>-36.96</v>
      </c>
      <c r="C133" s="8">
        <v>174.76</v>
      </c>
      <c r="D133" s="8" t="s">
        <v>1088</v>
      </c>
      <c r="E133" s="8" t="s">
        <v>87</v>
      </c>
      <c r="F133" s="8" t="s">
        <v>17</v>
      </c>
      <c r="G133" s="8">
        <v>73</v>
      </c>
      <c r="H133" s="9" t="s">
        <v>2382</v>
      </c>
    </row>
    <row r="134" spans="1:8" x14ac:dyDescent="0.25">
      <c r="A134" s="7" t="s">
        <v>79</v>
      </c>
      <c r="B134" s="8">
        <v>-36.869999999999997</v>
      </c>
      <c r="C134" s="8">
        <v>174.7</v>
      </c>
      <c r="D134" s="8" t="s">
        <v>1088</v>
      </c>
      <c r="E134" s="8" t="s">
        <v>1021</v>
      </c>
      <c r="F134" s="8" t="s">
        <v>17</v>
      </c>
      <c r="G134" s="8">
        <v>582</v>
      </c>
      <c r="H134" s="9" t="s">
        <v>2382</v>
      </c>
    </row>
    <row r="135" spans="1:8" x14ac:dyDescent="0.25">
      <c r="A135" s="7" t="s">
        <v>139</v>
      </c>
      <c r="B135" s="8">
        <v>21</v>
      </c>
      <c r="C135" s="8">
        <v>114</v>
      </c>
      <c r="D135" s="8" t="s">
        <v>1153</v>
      </c>
      <c r="E135" s="8" t="s">
        <v>0</v>
      </c>
      <c r="F135" s="8" t="s">
        <v>30</v>
      </c>
      <c r="G135" s="8">
        <v>4.2000000000000003E-2</v>
      </c>
      <c r="H135" s="9" t="s">
        <v>2383</v>
      </c>
    </row>
    <row r="136" spans="1:8" x14ac:dyDescent="0.25">
      <c r="A136" s="7" t="s">
        <v>228</v>
      </c>
      <c r="B136" s="8">
        <v>20</v>
      </c>
      <c r="C136" s="8">
        <v>113</v>
      </c>
      <c r="D136" s="8" t="s">
        <v>1151</v>
      </c>
      <c r="E136" s="8" t="s">
        <v>0</v>
      </c>
      <c r="F136" s="8" t="s">
        <v>30</v>
      </c>
      <c r="G136" s="8">
        <v>8.0000000000000002E-3</v>
      </c>
      <c r="H136" s="9" t="s">
        <v>2383</v>
      </c>
    </row>
    <row r="137" spans="1:8" x14ac:dyDescent="0.25">
      <c r="A137" s="7" t="s">
        <v>230</v>
      </c>
      <c r="B137" s="8">
        <v>-10</v>
      </c>
      <c r="C137" s="8">
        <v>87</v>
      </c>
      <c r="D137" s="8" t="s">
        <v>1151</v>
      </c>
      <c r="E137" s="8" t="s">
        <v>0</v>
      </c>
      <c r="F137" s="8" t="s">
        <v>30</v>
      </c>
      <c r="G137" s="8">
        <v>4.0000000000000001E-3</v>
      </c>
      <c r="H137" s="9" t="s">
        <v>2383</v>
      </c>
    </row>
    <row r="138" spans="1:8" x14ac:dyDescent="0.25">
      <c r="A138" s="7" t="s">
        <v>768</v>
      </c>
      <c r="B138" s="8">
        <v>13.75</v>
      </c>
      <c r="C138" s="8">
        <v>100.66</v>
      </c>
      <c r="D138" s="8" t="s">
        <v>299</v>
      </c>
      <c r="E138" s="8" t="s">
        <v>87</v>
      </c>
      <c r="F138" s="8" t="s">
        <v>30</v>
      </c>
      <c r="G138" s="8">
        <v>201.72</v>
      </c>
      <c r="H138" s="9" t="s">
        <v>2383</v>
      </c>
    </row>
    <row r="139" spans="1:8" x14ac:dyDescent="0.25">
      <c r="A139" s="7" t="s">
        <v>773</v>
      </c>
      <c r="B139" s="8">
        <v>13.75</v>
      </c>
      <c r="C139" s="8">
        <v>100.66</v>
      </c>
      <c r="D139" s="8" t="s">
        <v>299</v>
      </c>
      <c r="E139" s="8" t="s">
        <v>87</v>
      </c>
      <c r="F139" s="8" t="s">
        <v>30</v>
      </c>
      <c r="G139" s="8">
        <v>349.53</v>
      </c>
      <c r="H139" s="9" t="s">
        <v>2383</v>
      </c>
    </row>
    <row r="140" spans="1:8" x14ac:dyDescent="0.25">
      <c r="A140" s="7" t="s">
        <v>775</v>
      </c>
      <c r="B140" s="8">
        <v>13.75</v>
      </c>
      <c r="C140" s="8">
        <v>100.66</v>
      </c>
      <c r="D140" s="8" t="s">
        <v>299</v>
      </c>
      <c r="E140" s="8" t="s">
        <v>87</v>
      </c>
      <c r="F140" s="8" t="s">
        <v>30</v>
      </c>
      <c r="G140" s="8">
        <v>312.45</v>
      </c>
      <c r="H140" s="9" t="s">
        <v>2383</v>
      </c>
    </row>
    <row r="141" spans="1:8" x14ac:dyDescent="0.25">
      <c r="A141" s="7" t="s">
        <v>777</v>
      </c>
      <c r="B141" s="8">
        <v>14.16</v>
      </c>
      <c r="C141" s="8">
        <v>100.8</v>
      </c>
      <c r="D141" s="8" t="s">
        <v>299</v>
      </c>
      <c r="E141" s="8" t="s">
        <v>87</v>
      </c>
      <c r="F141" s="8" t="s">
        <v>30</v>
      </c>
      <c r="G141" s="8">
        <v>581.9</v>
      </c>
      <c r="H141" s="9" t="s">
        <v>2383</v>
      </c>
    </row>
    <row r="142" spans="1:8" x14ac:dyDescent="0.25">
      <c r="A142" s="7" t="s">
        <v>779</v>
      </c>
      <c r="B142" s="8">
        <v>13.55</v>
      </c>
      <c r="C142" s="8">
        <v>100.8</v>
      </c>
      <c r="D142" s="8" t="s">
        <v>299</v>
      </c>
      <c r="E142" s="8" t="s">
        <v>87</v>
      </c>
      <c r="F142" s="8" t="s">
        <v>30</v>
      </c>
      <c r="G142" s="8">
        <v>221.48</v>
      </c>
      <c r="H142" s="9" t="s">
        <v>2383</v>
      </c>
    </row>
    <row r="143" spans="1:8" x14ac:dyDescent="0.25">
      <c r="A143" s="7" t="s">
        <v>781</v>
      </c>
      <c r="B143" s="8">
        <v>23</v>
      </c>
      <c r="C143" s="8">
        <v>113</v>
      </c>
      <c r="D143" s="8" t="s">
        <v>299</v>
      </c>
      <c r="E143" s="8" t="s">
        <v>87</v>
      </c>
      <c r="F143" s="8" t="s">
        <v>30</v>
      </c>
      <c r="G143" s="8">
        <v>0.05</v>
      </c>
      <c r="H143" s="9" t="s">
        <v>2383</v>
      </c>
    </row>
    <row r="144" spans="1:8" x14ac:dyDescent="0.25">
      <c r="A144" s="7" t="s">
        <v>785</v>
      </c>
      <c r="B144" s="8">
        <v>23</v>
      </c>
      <c r="C144" s="8">
        <v>113</v>
      </c>
      <c r="D144" s="8" t="s">
        <v>299</v>
      </c>
      <c r="E144" s="8" t="s">
        <v>87</v>
      </c>
      <c r="F144" s="8" t="s">
        <v>30</v>
      </c>
      <c r="G144" s="8">
        <v>0.02</v>
      </c>
      <c r="H144" s="9" t="s">
        <v>2383</v>
      </c>
    </row>
    <row r="145" spans="1:8" x14ac:dyDescent="0.25">
      <c r="A145" s="7" t="s">
        <v>788</v>
      </c>
      <c r="B145" s="8">
        <v>23</v>
      </c>
      <c r="C145" s="8">
        <v>113</v>
      </c>
      <c r="D145" s="8" t="s">
        <v>299</v>
      </c>
      <c r="E145" s="8" t="s">
        <v>87</v>
      </c>
      <c r="F145" s="8" t="s">
        <v>30</v>
      </c>
      <c r="G145" s="8">
        <v>0.04</v>
      </c>
      <c r="H145" s="9" t="s">
        <v>2383</v>
      </c>
    </row>
    <row r="146" spans="1:8" x14ac:dyDescent="0.25">
      <c r="A146" s="7" t="s">
        <v>791</v>
      </c>
      <c r="B146" s="8">
        <v>23</v>
      </c>
      <c r="C146" s="8">
        <v>113</v>
      </c>
      <c r="D146" s="8" t="s">
        <v>299</v>
      </c>
      <c r="E146" s="8" t="s">
        <v>87</v>
      </c>
      <c r="F146" s="8" t="s">
        <v>30</v>
      </c>
      <c r="G146" s="8">
        <v>11200</v>
      </c>
      <c r="H146" s="9" t="s">
        <v>2383</v>
      </c>
    </row>
    <row r="147" spans="1:8" x14ac:dyDescent="0.25">
      <c r="A147" s="7" t="s">
        <v>94</v>
      </c>
      <c r="B147" s="8">
        <v>36.21</v>
      </c>
      <c r="C147" s="8">
        <v>120.28</v>
      </c>
      <c r="D147" s="8" t="s">
        <v>1088</v>
      </c>
      <c r="E147" s="8" t="s">
        <v>87</v>
      </c>
      <c r="F147" s="8" t="s">
        <v>17</v>
      </c>
      <c r="G147" s="8">
        <v>39.082999999999998</v>
      </c>
      <c r="H147" s="9" t="s">
        <v>2382</v>
      </c>
    </row>
    <row r="148" spans="1:8" x14ac:dyDescent="0.25">
      <c r="A148" s="7" t="s">
        <v>99</v>
      </c>
      <c r="B148" s="8">
        <v>36.15</v>
      </c>
      <c r="C148" s="8">
        <v>120.13</v>
      </c>
      <c r="D148" s="8" t="s">
        <v>1088</v>
      </c>
      <c r="E148" s="8" t="s">
        <v>87</v>
      </c>
      <c r="F148" s="8" t="s">
        <v>17</v>
      </c>
      <c r="G148" s="8">
        <v>54.54</v>
      </c>
      <c r="H148" s="9" t="s">
        <v>2382</v>
      </c>
    </row>
    <row r="149" spans="1:8" x14ac:dyDescent="0.25">
      <c r="A149" s="7" t="s">
        <v>101</v>
      </c>
      <c r="B149" s="8">
        <v>36.08</v>
      </c>
      <c r="C149" s="8">
        <v>120.31</v>
      </c>
      <c r="D149" s="8" t="s">
        <v>1088</v>
      </c>
      <c r="E149" s="8" t="s">
        <v>87</v>
      </c>
      <c r="F149" s="8" t="s">
        <v>17</v>
      </c>
      <c r="G149" s="8">
        <v>44.941000000000003</v>
      </c>
      <c r="H149" s="9" t="s">
        <v>2382</v>
      </c>
    </row>
    <row r="150" spans="1:8" x14ac:dyDescent="0.25">
      <c r="A150" s="7" t="s">
        <v>103</v>
      </c>
      <c r="B150" s="8">
        <v>36.04</v>
      </c>
      <c r="C150" s="8">
        <v>120.29</v>
      </c>
      <c r="D150" s="8" t="s">
        <v>1088</v>
      </c>
      <c r="E150" s="8" t="s">
        <v>87</v>
      </c>
      <c r="F150" s="8" t="s">
        <v>17</v>
      </c>
      <c r="G150" s="8">
        <v>45.491</v>
      </c>
      <c r="H150" s="9" t="s">
        <v>2382</v>
      </c>
    </row>
    <row r="151" spans="1:8" x14ac:dyDescent="0.25">
      <c r="A151" s="7" t="s">
        <v>106</v>
      </c>
      <c r="B151" s="8">
        <v>35.979999999999997</v>
      </c>
      <c r="C151" s="8">
        <v>120.24</v>
      </c>
      <c r="D151" s="8" t="s">
        <v>1088</v>
      </c>
      <c r="E151" s="8" t="s">
        <v>87</v>
      </c>
      <c r="F151" s="8" t="s">
        <v>17</v>
      </c>
      <c r="G151" s="8">
        <v>49.484999999999999</v>
      </c>
      <c r="H151" s="9" t="s">
        <v>2382</v>
      </c>
    </row>
    <row r="152" spans="1:8" x14ac:dyDescent="0.25">
      <c r="A152" s="7" t="s">
        <v>793</v>
      </c>
      <c r="B152" s="8">
        <v>18.010000000000002</v>
      </c>
      <c r="C152" s="8">
        <v>110.49</v>
      </c>
      <c r="D152" s="8" t="s">
        <v>299</v>
      </c>
      <c r="E152" s="8" t="s">
        <v>87</v>
      </c>
      <c r="F152" s="8" t="s">
        <v>30</v>
      </c>
      <c r="G152" s="8">
        <v>5.1999999999999998E-3</v>
      </c>
      <c r="H152" s="9" t="s">
        <v>2383</v>
      </c>
    </row>
    <row r="153" spans="1:8" x14ac:dyDescent="0.25">
      <c r="A153" s="7" t="s">
        <v>803</v>
      </c>
      <c r="B153" s="8">
        <v>20.48</v>
      </c>
      <c r="C153" s="8">
        <v>113.75</v>
      </c>
      <c r="D153" s="8" t="s">
        <v>299</v>
      </c>
      <c r="E153" s="8" t="s">
        <v>87</v>
      </c>
      <c r="F153" s="8" t="s">
        <v>30</v>
      </c>
      <c r="G153" s="8">
        <v>3.8999999999999998E-3</v>
      </c>
      <c r="H153" s="9" t="s">
        <v>2383</v>
      </c>
    </row>
    <row r="154" spans="1:8" x14ac:dyDescent="0.25">
      <c r="A154" s="7" t="s">
        <v>804</v>
      </c>
      <c r="B154" s="8">
        <v>21.55</v>
      </c>
      <c r="C154" s="8">
        <v>113.86</v>
      </c>
      <c r="D154" s="8" t="s">
        <v>299</v>
      </c>
      <c r="E154" s="8" t="s">
        <v>87</v>
      </c>
      <c r="F154" s="8" t="s">
        <v>30</v>
      </c>
      <c r="G154" s="8">
        <v>7.1000000000000004E-3</v>
      </c>
      <c r="H154" s="9" t="s">
        <v>2383</v>
      </c>
    </row>
    <row r="155" spans="1:8" x14ac:dyDescent="0.25">
      <c r="A155" s="7" t="s">
        <v>805</v>
      </c>
      <c r="B155" s="8">
        <v>20.78</v>
      </c>
      <c r="C155" s="8">
        <v>114.4</v>
      </c>
      <c r="D155" s="8" t="s">
        <v>299</v>
      </c>
      <c r="E155" s="8" t="s">
        <v>87</v>
      </c>
      <c r="F155" s="8" t="s">
        <v>30</v>
      </c>
      <c r="G155" s="8">
        <v>4.1000000000000003E-3</v>
      </c>
      <c r="H155" s="9" t="s">
        <v>2383</v>
      </c>
    </row>
    <row r="156" spans="1:8" x14ac:dyDescent="0.25">
      <c r="A156" s="7" t="s">
        <v>806</v>
      </c>
      <c r="B156" s="8">
        <v>21.74</v>
      </c>
      <c r="C156" s="8">
        <v>114.53</v>
      </c>
      <c r="D156" s="8" t="s">
        <v>299</v>
      </c>
      <c r="E156" s="8" t="s">
        <v>87</v>
      </c>
      <c r="F156" s="8" t="s">
        <v>30</v>
      </c>
      <c r="G156" s="8">
        <v>6.7000000000000002E-3</v>
      </c>
      <c r="H156" s="9" t="s">
        <v>2383</v>
      </c>
    </row>
    <row r="157" spans="1:8" x14ac:dyDescent="0.25">
      <c r="A157" s="7" t="s">
        <v>807</v>
      </c>
      <c r="B157" s="8">
        <v>21.16</v>
      </c>
      <c r="C157" s="8">
        <v>115.06</v>
      </c>
      <c r="D157" s="8" t="s">
        <v>299</v>
      </c>
      <c r="E157" s="8" t="s">
        <v>87</v>
      </c>
      <c r="F157" s="8" t="s">
        <v>30</v>
      </c>
      <c r="G157" s="8">
        <v>7.0000000000000001E-3</v>
      </c>
      <c r="H157" s="9" t="s">
        <v>2383</v>
      </c>
    </row>
    <row r="158" spans="1:8" x14ac:dyDescent="0.25">
      <c r="A158" s="7" t="s">
        <v>808</v>
      </c>
      <c r="B158" s="8">
        <v>22.01</v>
      </c>
      <c r="C158" s="8">
        <v>115.19</v>
      </c>
      <c r="D158" s="8" t="s">
        <v>299</v>
      </c>
      <c r="E158" s="8" t="s">
        <v>87</v>
      </c>
      <c r="F158" s="8" t="s">
        <v>30</v>
      </c>
      <c r="G158" s="8">
        <v>1.29E-2</v>
      </c>
      <c r="H158" s="9" t="s">
        <v>2383</v>
      </c>
    </row>
    <row r="159" spans="1:8" x14ac:dyDescent="0.25">
      <c r="A159" s="7" t="s">
        <v>809</v>
      </c>
      <c r="B159" s="8">
        <v>22.13</v>
      </c>
      <c r="C159" s="8">
        <v>115.9</v>
      </c>
      <c r="D159" s="8" t="s">
        <v>299</v>
      </c>
      <c r="E159" s="8" t="s">
        <v>87</v>
      </c>
      <c r="F159" s="8" t="s">
        <v>30</v>
      </c>
      <c r="G159" s="8">
        <v>1.3100000000000001E-2</v>
      </c>
      <c r="H159" s="9" t="s">
        <v>2383</v>
      </c>
    </row>
    <row r="160" spans="1:8" x14ac:dyDescent="0.25">
      <c r="A160" s="7" t="s">
        <v>810</v>
      </c>
      <c r="B160" s="8">
        <v>22.39</v>
      </c>
      <c r="C160" s="8">
        <v>116.55</v>
      </c>
      <c r="D160" s="8" t="s">
        <v>299</v>
      </c>
      <c r="E160" s="8" t="s">
        <v>87</v>
      </c>
      <c r="F160" s="8" t="s">
        <v>30</v>
      </c>
      <c r="G160" s="8">
        <v>0</v>
      </c>
      <c r="H160" s="9" t="s">
        <v>2383</v>
      </c>
    </row>
    <row r="161" spans="1:8" x14ac:dyDescent="0.25">
      <c r="A161" s="7" t="s">
        <v>811</v>
      </c>
      <c r="B161" s="8">
        <v>22.69</v>
      </c>
      <c r="C161" s="8">
        <v>117.2</v>
      </c>
      <c r="D161" s="8" t="s">
        <v>299</v>
      </c>
      <c r="E161" s="8" t="s">
        <v>87</v>
      </c>
      <c r="F161" s="8" t="s">
        <v>30</v>
      </c>
      <c r="G161" s="8">
        <v>0</v>
      </c>
      <c r="H161" s="9" t="s">
        <v>2383</v>
      </c>
    </row>
    <row r="162" spans="1:8" x14ac:dyDescent="0.25">
      <c r="A162" s="7" t="s">
        <v>812</v>
      </c>
      <c r="B162" s="8">
        <v>19.260000000000002</v>
      </c>
      <c r="C162" s="8">
        <v>110.63</v>
      </c>
      <c r="D162" s="8" t="s">
        <v>299</v>
      </c>
      <c r="E162" s="8" t="s">
        <v>87</v>
      </c>
      <c r="F162" s="8" t="s">
        <v>30</v>
      </c>
      <c r="G162" s="8">
        <v>0</v>
      </c>
      <c r="H162" s="9" t="s">
        <v>2383</v>
      </c>
    </row>
    <row r="163" spans="1:8" x14ac:dyDescent="0.25">
      <c r="A163" s="7" t="s">
        <v>795</v>
      </c>
      <c r="B163" s="8">
        <v>18.57</v>
      </c>
      <c r="C163" s="8">
        <v>111.03</v>
      </c>
      <c r="D163" s="8" t="s">
        <v>299</v>
      </c>
      <c r="E163" s="8" t="s">
        <v>87</v>
      </c>
      <c r="F163" s="8" t="s">
        <v>30</v>
      </c>
      <c r="G163" s="8">
        <v>3.8E-3</v>
      </c>
      <c r="H163" s="9" t="s">
        <v>2383</v>
      </c>
    </row>
    <row r="164" spans="1:8" x14ac:dyDescent="0.25">
      <c r="A164" s="7" t="s">
        <v>813</v>
      </c>
      <c r="B164" s="8">
        <v>19.489999999999998</v>
      </c>
      <c r="C164" s="8">
        <v>110.78</v>
      </c>
      <c r="D164" s="8" t="s">
        <v>299</v>
      </c>
      <c r="E164" s="8" t="s">
        <v>87</v>
      </c>
      <c r="F164" s="8" t="s">
        <v>30</v>
      </c>
      <c r="G164" s="8">
        <v>1E-3</v>
      </c>
      <c r="H164" s="9" t="s">
        <v>2383</v>
      </c>
    </row>
    <row r="165" spans="1:8" x14ac:dyDescent="0.25">
      <c r="A165" s="7" t="s">
        <v>814</v>
      </c>
      <c r="B165" s="8">
        <v>21.46</v>
      </c>
      <c r="C165" s="8">
        <v>111.51</v>
      </c>
      <c r="D165" s="8" t="s">
        <v>299</v>
      </c>
      <c r="E165" s="8" t="s">
        <v>87</v>
      </c>
      <c r="F165" s="8" t="s">
        <v>30</v>
      </c>
      <c r="G165" s="8">
        <v>6.8999999999999999E-3</v>
      </c>
      <c r="H165" s="9" t="s">
        <v>2383</v>
      </c>
    </row>
    <row r="166" spans="1:8" x14ac:dyDescent="0.25">
      <c r="A166" s="7" t="s">
        <v>815</v>
      </c>
      <c r="B166" s="8">
        <v>22.03</v>
      </c>
      <c r="C166" s="8">
        <v>113.09</v>
      </c>
      <c r="D166" s="8" t="s">
        <v>299</v>
      </c>
      <c r="E166" s="8" t="s">
        <v>87</v>
      </c>
      <c r="F166" s="8" t="s">
        <v>30</v>
      </c>
      <c r="G166" s="8">
        <v>0</v>
      </c>
      <c r="H166" s="9" t="s">
        <v>2383</v>
      </c>
    </row>
    <row r="167" spans="1:8" x14ac:dyDescent="0.25">
      <c r="A167" s="7" t="s">
        <v>816</v>
      </c>
      <c r="B167" s="8">
        <v>22.58</v>
      </c>
      <c r="C167" s="8">
        <v>114.87</v>
      </c>
      <c r="D167" s="8" t="s">
        <v>299</v>
      </c>
      <c r="E167" s="8" t="s">
        <v>87</v>
      </c>
      <c r="F167" s="8" t="s">
        <v>30</v>
      </c>
      <c r="G167" s="8">
        <v>1.04E-2</v>
      </c>
      <c r="H167" s="9" t="s">
        <v>2383</v>
      </c>
    </row>
    <row r="168" spans="1:8" x14ac:dyDescent="0.25">
      <c r="A168" s="7" t="s">
        <v>796</v>
      </c>
      <c r="B168" s="8">
        <v>19.2</v>
      </c>
      <c r="C168" s="8">
        <v>111.26</v>
      </c>
      <c r="D168" s="8" t="s">
        <v>299</v>
      </c>
      <c r="E168" s="8" t="s">
        <v>87</v>
      </c>
      <c r="F168" s="8" t="s">
        <v>30</v>
      </c>
      <c r="G168" s="8">
        <v>0</v>
      </c>
      <c r="H168" s="9" t="s">
        <v>2383</v>
      </c>
    </row>
    <row r="169" spans="1:8" x14ac:dyDescent="0.25">
      <c r="A169" s="7" t="s">
        <v>797</v>
      </c>
      <c r="B169" s="8">
        <v>19.600000000000001</v>
      </c>
      <c r="C169" s="8">
        <v>111.53</v>
      </c>
      <c r="D169" s="8" t="s">
        <v>299</v>
      </c>
      <c r="E169" s="8" t="s">
        <v>87</v>
      </c>
      <c r="F169" s="8" t="s">
        <v>30</v>
      </c>
      <c r="G169" s="8">
        <v>8.3000000000000001E-3</v>
      </c>
      <c r="H169" s="9" t="s">
        <v>2383</v>
      </c>
    </row>
    <row r="170" spans="1:8" x14ac:dyDescent="0.25">
      <c r="A170" s="7" t="s">
        <v>798</v>
      </c>
      <c r="B170" s="8">
        <v>20.13</v>
      </c>
      <c r="C170" s="8">
        <v>111.61</v>
      </c>
      <c r="D170" s="8" t="s">
        <v>299</v>
      </c>
      <c r="E170" s="8" t="s">
        <v>87</v>
      </c>
      <c r="F170" s="8" t="s">
        <v>30</v>
      </c>
      <c r="G170" s="8">
        <v>0</v>
      </c>
      <c r="H170" s="9" t="s">
        <v>2383</v>
      </c>
    </row>
    <row r="171" spans="1:8" x14ac:dyDescent="0.25">
      <c r="A171" s="7" t="s">
        <v>799</v>
      </c>
      <c r="B171" s="8">
        <v>20.9</v>
      </c>
      <c r="C171" s="8">
        <v>111.11</v>
      </c>
      <c r="D171" s="8" t="s">
        <v>299</v>
      </c>
      <c r="E171" s="8" t="s">
        <v>87</v>
      </c>
      <c r="F171" s="8" t="s">
        <v>30</v>
      </c>
      <c r="G171" s="8">
        <v>0</v>
      </c>
      <c r="H171" s="9" t="s">
        <v>2383</v>
      </c>
    </row>
    <row r="172" spans="1:8" x14ac:dyDescent="0.25">
      <c r="A172" s="7" t="s">
        <v>800</v>
      </c>
      <c r="B172" s="8">
        <v>21.03</v>
      </c>
      <c r="C172" s="8">
        <v>111.82</v>
      </c>
      <c r="D172" s="8" t="s">
        <v>299</v>
      </c>
      <c r="E172" s="8" t="s">
        <v>87</v>
      </c>
      <c r="F172" s="8" t="s">
        <v>30</v>
      </c>
      <c r="G172" s="8">
        <v>0</v>
      </c>
      <c r="H172" s="9" t="s">
        <v>2383</v>
      </c>
    </row>
    <row r="173" spans="1:8" x14ac:dyDescent="0.25">
      <c r="A173" s="7" t="s">
        <v>801</v>
      </c>
      <c r="B173" s="8">
        <v>21.14</v>
      </c>
      <c r="C173" s="8">
        <v>112.53</v>
      </c>
      <c r="D173" s="8" t="s">
        <v>299</v>
      </c>
      <c r="E173" s="8" t="s">
        <v>87</v>
      </c>
      <c r="F173" s="8" t="s">
        <v>30</v>
      </c>
      <c r="G173" s="8">
        <v>0</v>
      </c>
      <c r="H173" s="9" t="s">
        <v>2383</v>
      </c>
    </row>
    <row r="174" spans="1:8" x14ac:dyDescent="0.25">
      <c r="A174" s="7" t="s">
        <v>802</v>
      </c>
      <c r="B174" s="8">
        <v>21.34</v>
      </c>
      <c r="C174" s="8">
        <v>113.18</v>
      </c>
      <c r="D174" s="8" t="s">
        <v>299</v>
      </c>
      <c r="E174" s="8" t="s">
        <v>87</v>
      </c>
      <c r="F174" s="8" t="s">
        <v>30</v>
      </c>
      <c r="G174" s="8">
        <v>0</v>
      </c>
      <c r="H174" s="9" t="s">
        <v>2383</v>
      </c>
    </row>
    <row r="175" spans="1:8" x14ac:dyDescent="0.25">
      <c r="A175" s="7" t="s">
        <v>817</v>
      </c>
      <c r="B175" s="8">
        <v>40.76</v>
      </c>
      <c r="C175" s="8">
        <v>-74.13</v>
      </c>
      <c r="D175" s="8" t="s">
        <v>299</v>
      </c>
      <c r="E175" s="8" t="s">
        <v>87</v>
      </c>
      <c r="F175" s="8" t="s">
        <v>17</v>
      </c>
      <c r="G175" s="8">
        <v>327</v>
      </c>
      <c r="H175" s="9" t="s">
        <v>2382</v>
      </c>
    </row>
    <row r="176" spans="1:8" x14ac:dyDescent="0.25">
      <c r="A176" s="7" t="s">
        <v>109</v>
      </c>
      <c r="B176" s="8">
        <v>54.5</v>
      </c>
      <c r="C176" s="8">
        <v>18.559999999999999</v>
      </c>
      <c r="D176" s="8" t="s">
        <v>1088</v>
      </c>
      <c r="E176" s="8" t="s">
        <v>87</v>
      </c>
      <c r="F176" s="8" t="s">
        <v>17</v>
      </c>
      <c r="G176" s="8">
        <v>10</v>
      </c>
      <c r="H176" s="9" t="s">
        <v>2382</v>
      </c>
    </row>
    <row r="177" spans="1:8" x14ac:dyDescent="0.25">
      <c r="A177" s="7" t="s">
        <v>129</v>
      </c>
      <c r="B177" s="8">
        <v>41.12</v>
      </c>
      <c r="C177" s="8">
        <v>108.89</v>
      </c>
      <c r="D177" s="8" t="s">
        <v>125</v>
      </c>
      <c r="E177" s="8" t="s">
        <v>1059</v>
      </c>
      <c r="F177" s="8" t="s">
        <v>17</v>
      </c>
      <c r="G177" s="8">
        <v>2065</v>
      </c>
      <c r="H177" s="9" t="s">
        <v>2382</v>
      </c>
    </row>
    <row r="178" spans="1:8" x14ac:dyDescent="0.25">
      <c r="A178" s="7" t="s">
        <v>131</v>
      </c>
      <c r="B178" s="8">
        <v>41.01</v>
      </c>
      <c r="C178" s="8">
        <v>108.85</v>
      </c>
      <c r="D178" s="8" t="s">
        <v>125</v>
      </c>
      <c r="E178" s="8" t="s">
        <v>1059</v>
      </c>
      <c r="F178" s="8" t="s">
        <v>17</v>
      </c>
      <c r="G178" s="8">
        <v>3073</v>
      </c>
      <c r="H178" s="9" t="s">
        <v>2382</v>
      </c>
    </row>
    <row r="179" spans="1:8" x14ac:dyDescent="0.25">
      <c r="A179" s="7" t="s">
        <v>133</v>
      </c>
      <c r="B179" s="8">
        <v>40.97</v>
      </c>
      <c r="C179" s="8">
        <v>108.92</v>
      </c>
      <c r="D179" s="8" t="s">
        <v>125</v>
      </c>
      <c r="E179" s="8" t="s">
        <v>1059</v>
      </c>
      <c r="F179" s="8" t="s">
        <v>17</v>
      </c>
      <c r="G179" s="8">
        <v>4468</v>
      </c>
      <c r="H179" s="9" t="s">
        <v>2382</v>
      </c>
    </row>
    <row r="180" spans="1:8" x14ac:dyDescent="0.25">
      <c r="A180" s="7" t="s">
        <v>121</v>
      </c>
      <c r="B180" s="8">
        <v>40.950000000000003</v>
      </c>
      <c r="C180" s="8">
        <v>108.96</v>
      </c>
      <c r="D180" s="8" t="s">
        <v>125</v>
      </c>
      <c r="E180" s="8" t="s">
        <v>126</v>
      </c>
      <c r="F180" s="8" t="s">
        <v>17</v>
      </c>
      <c r="G180" s="8">
        <v>2829</v>
      </c>
      <c r="H180" s="9" t="s">
        <v>2382</v>
      </c>
    </row>
    <row r="181" spans="1:8" x14ac:dyDescent="0.25">
      <c r="A181" s="7" t="s">
        <v>135</v>
      </c>
      <c r="B181" s="8">
        <v>40.770000000000003</v>
      </c>
      <c r="C181" s="8">
        <v>108.71</v>
      </c>
      <c r="D181" s="8" t="s">
        <v>125</v>
      </c>
      <c r="E181" s="8" t="s">
        <v>1059</v>
      </c>
      <c r="F181" s="8" t="s">
        <v>17</v>
      </c>
      <c r="G181" s="8">
        <v>3909</v>
      </c>
      <c r="H181" s="9" t="s">
        <v>2382</v>
      </c>
    </row>
    <row r="182" spans="1:8" x14ac:dyDescent="0.25">
      <c r="A182" s="7" t="s">
        <v>137</v>
      </c>
      <c r="B182" s="8">
        <v>40.81</v>
      </c>
      <c r="C182" s="8">
        <v>108.77</v>
      </c>
      <c r="D182" s="8" t="s">
        <v>125</v>
      </c>
      <c r="E182" s="8" t="s">
        <v>1059</v>
      </c>
      <c r="F182" s="8" t="s">
        <v>17</v>
      </c>
      <c r="G182" s="8">
        <v>3885</v>
      </c>
      <c r="H182" s="9" t="s">
        <v>2382</v>
      </c>
    </row>
    <row r="183" spans="1:8" x14ac:dyDescent="0.25">
      <c r="A183" s="7" t="s">
        <v>821</v>
      </c>
      <c r="B183" s="8">
        <v>53.74</v>
      </c>
      <c r="C183" s="8">
        <v>-0.35</v>
      </c>
      <c r="D183" s="8" t="s">
        <v>310</v>
      </c>
      <c r="E183" s="8" t="s">
        <v>87</v>
      </c>
      <c r="F183" s="8" t="s">
        <v>30</v>
      </c>
      <c r="G183" s="8">
        <v>1029</v>
      </c>
      <c r="H183" s="9" t="s">
        <v>2382</v>
      </c>
    </row>
    <row r="184" spans="1:8" x14ac:dyDescent="0.25">
      <c r="A184" s="7" t="s">
        <v>2386</v>
      </c>
      <c r="B184" s="8">
        <v>-27.24</v>
      </c>
      <c r="C184" s="8">
        <v>152.72999999999999</v>
      </c>
      <c r="D184" s="8" t="s">
        <v>310</v>
      </c>
      <c r="E184" s="8" t="s">
        <v>87</v>
      </c>
      <c r="F184" s="8" t="s">
        <v>30</v>
      </c>
      <c r="G184" s="8">
        <v>0.17</v>
      </c>
      <c r="H184" s="9" t="s">
        <v>2383</v>
      </c>
    </row>
    <row r="185" spans="1:8" x14ac:dyDescent="0.25">
      <c r="A185" s="7" t="s">
        <v>831</v>
      </c>
      <c r="B185" s="8">
        <v>33.99</v>
      </c>
      <c r="C185" s="8">
        <v>119.84</v>
      </c>
      <c r="D185" s="8" t="s">
        <v>1088</v>
      </c>
      <c r="E185" s="8" t="s">
        <v>87</v>
      </c>
      <c r="F185" s="8" t="s">
        <v>30</v>
      </c>
      <c r="G185" s="8">
        <v>23.8</v>
      </c>
      <c r="H185" s="9" t="s">
        <v>2383</v>
      </c>
    </row>
    <row r="186" spans="1:8" x14ac:dyDescent="0.25">
      <c r="A186" s="7" t="s">
        <v>834</v>
      </c>
      <c r="B186" s="8">
        <v>42.65</v>
      </c>
      <c r="C186" s="8">
        <v>21.13</v>
      </c>
      <c r="D186" s="8" t="s">
        <v>299</v>
      </c>
      <c r="E186" s="8" t="s">
        <v>87</v>
      </c>
      <c r="F186" s="8" t="s">
        <v>17</v>
      </c>
      <c r="G186" s="8">
        <v>61.7</v>
      </c>
      <c r="H186" s="9" t="s">
        <v>2382</v>
      </c>
    </row>
    <row r="187" spans="1:8" x14ac:dyDescent="0.25">
      <c r="A187" s="7" t="s">
        <v>839</v>
      </c>
      <c r="B187" s="8">
        <v>42.64</v>
      </c>
      <c r="C187" s="8">
        <v>21.13</v>
      </c>
      <c r="D187" s="8" t="s">
        <v>299</v>
      </c>
      <c r="E187" s="8" t="s">
        <v>87</v>
      </c>
      <c r="F187" s="8" t="s">
        <v>17</v>
      </c>
      <c r="G187" s="8">
        <v>98.7</v>
      </c>
      <c r="H187" s="9" t="s">
        <v>2382</v>
      </c>
    </row>
    <row r="188" spans="1:8" x14ac:dyDescent="0.25">
      <c r="A188" s="7" t="s">
        <v>842</v>
      </c>
      <c r="B188" s="8">
        <v>42.65</v>
      </c>
      <c r="C188" s="8">
        <v>21.18</v>
      </c>
      <c r="D188" s="8" t="s">
        <v>299</v>
      </c>
      <c r="E188" s="8" t="s">
        <v>87</v>
      </c>
      <c r="F188" s="8" t="s">
        <v>17</v>
      </c>
      <c r="G188" s="8">
        <v>85.8</v>
      </c>
      <c r="H188" s="9" t="s">
        <v>2382</v>
      </c>
    </row>
    <row r="189" spans="1:8" x14ac:dyDescent="0.25">
      <c r="A189" s="7" t="s">
        <v>845</v>
      </c>
      <c r="B189" s="8">
        <v>42.65</v>
      </c>
      <c r="C189" s="8">
        <v>21.18</v>
      </c>
      <c r="D189" s="8" t="s">
        <v>299</v>
      </c>
      <c r="E189" s="8" t="s">
        <v>87</v>
      </c>
      <c r="F189" s="8" t="s">
        <v>17</v>
      </c>
      <c r="G189" s="8">
        <v>75.099999999999994</v>
      </c>
      <c r="H189" s="9" t="s">
        <v>2382</v>
      </c>
    </row>
    <row r="190" spans="1:8" x14ac:dyDescent="0.25">
      <c r="A190" s="7" t="s">
        <v>848</v>
      </c>
      <c r="B190" s="8">
        <v>42.64</v>
      </c>
      <c r="C190" s="8">
        <v>21.14</v>
      </c>
      <c r="D190" s="8" t="s">
        <v>299</v>
      </c>
      <c r="E190" s="8" t="s">
        <v>87</v>
      </c>
      <c r="F190" s="8" t="s">
        <v>17</v>
      </c>
      <c r="G190" s="8">
        <v>90.2</v>
      </c>
      <c r="H190" s="9" t="s">
        <v>2382</v>
      </c>
    </row>
    <row r="191" spans="1:8" x14ac:dyDescent="0.25">
      <c r="A191" s="7" t="s">
        <v>851</v>
      </c>
      <c r="B191" s="8">
        <v>42.62</v>
      </c>
      <c r="C191" s="8">
        <v>21.15</v>
      </c>
      <c r="D191" s="8" t="s">
        <v>299</v>
      </c>
      <c r="E191" s="8" t="s">
        <v>87</v>
      </c>
      <c r="F191" s="8" t="s">
        <v>17</v>
      </c>
      <c r="G191" s="8">
        <v>63.7</v>
      </c>
      <c r="H191" s="8" t="s">
        <v>2382</v>
      </c>
    </row>
    <row r="192" spans="1:8" x14ac:dyDescent="0.25">
      <c r="A192" s="7" t="s">
        <v>854</v>
      </c>
      <c r="B192" s="8">
        <v>42.62</v>
      </c>
      <c r="C192" s="8">
        <v>21.13</v>
      </c>
      <c r="D192" s="8" t="s">
        <v>299</v>
      </c>
      <c r="E192" s="8" t="s">
        <v>87</v>
      </c>
      <c r="F192" s="8" t="s">
        <v>17</v>
      </c>
      <c r="G192" s="8">
        <v>107.7</v>
      </c>
      <c r="H192" s="9" t="s">
        <v>2382</v>
      </c>
    </row>
    <row r="193" spans="1:8" x14ac:dyDescent="0.25">
      <c r="A193" s="7" t="s">
        <v>857</v>
      </c>
      <c r="B193" s="8">
        <v>33.64</v>
      </c>
      <c r="C193" s="8">
        <v>72.989999999999995</v>
      </c>
      <c r="D193" s="8" t="s">
        <v>299</v>
      </c>
      <c r="E193" s="8" t="s">
        <v>87</v>
      </c>
      <c r="F193" s="8" t="s">
        <v>30</v>
      </c>
      <c r="G193" s="8">
        <v>0.93</v>
      </c>
      <c r="H193" s="8" t="s">
        <v>2383</v>
      </c>
    </row>
    <row r="194" spans="1:8" x14ac:dyDescent="0.25">
      <c r="A194" s="7" t="s">
        <v>862</v>
      </c>
      <c r="B194" s="8">
        <v>35</v>
      </c>
      <c r="C194" s="8">
        <v>-120</v>
      </c>
      <c r="D194" s="8" t="s">
        <v>299</v>
      </c>
      <c r="E194" s="8" t="s">
        <v>87</v>
      </c>
      <c r="F194" s="8" t="s">
        <v>30</v>
      </c>
      <c r="G194" s="8">
        <v>5.6</v>
      </c>
      <c r="H194" s="9" t="s">
        <v>2383</v>
      </c>
    </row>
    <row r="195" spans="1:8" x14ac:dyDescent="0.25">
      <c r="A195" s="7" t="s">
        <v>232</v>
      </c>
      <c r="B195" s="8">
        <v>60.76</v>
      </c>
      <c r="C195" s="8">
        <v>4.07</v>
      </c>
      <c r="D195" s="8" t="s">
        <v>1088</v>
      </c>
      <c r="E195" s="8" t="s">
        <v>0</v>
      </c>
      <c r="F195" s="8" t="s">
        <v>30</v>
      </c>
      <c r="G195" s="8">
        <v>35.299999999999997</v>
      </c>
      <c r="H195" s="9" t="s">
        <v>2383</v>
      </c>
    </row>
    <row r="196" spans="1:8" x14ac:dyDescent="0.25">
      <c r="A196" s="7" t="s">
        <v>238</v>
      </c>
      <c r="B196" s="8">
        <v>60.78</v>
      </c>
      <c r="C196" s="8">
        <v>1.86</v>
      </c>
      <c r="D196" s="8" t="s">
        <v>1088</v>
      </c>
      <c r="E196" s="8" t="s">
        <v>0</v>
      </c>
      <c r="F196" s="8" t="s">
        <v>30</v>
      </c>
      <c r="G196" s="8">
        <v>13.2</v>
      </c>
      <c r="H196" s="9" t="s">
        <v>2383</v>
      </c>
    </row>
    <row r="197" spans="1:8" x14ac:dyDescent="0.25">
      <c r="A197" s="7" t="s">
        <v>248</v>
      </c>
      <c r="B197" s="8">
        <v>63.15</v>
      </c>
      <c r="C197" s="8">
        <v>3.36</v>
      </c>
      <c r="D197" s="8" t="s">
        <v>1151</v>
      </c>
      <c r="E197" s="8" t="s">
        <v>0</v>
      </c>
      <c r="F197" s="8" t="s">
        <v>30</v>
      </c>
      <c r="G197" s="8">
        <v>0.23</v>
      </c>
      <c r="H197" s="8" t="s">
        <v>2383</v>
      </c>
    </row>
    <row r="198" spans="1:8" x14ac:dyDescent="0.25">
      <c r="A198" s="7" t="s">
        <v>250</v>
      </c>
      <c r="B198" s="8">
        <v>56.33</v>
      </c>
      <c r="C198" s="8">
        <v>6.08</v>
      </c>
      <c r="D198" s="8" t="s">
        <v>1151</v>
      </c>
      <c r="E198" s="8" t="s">
        <v>0</v>
      </c>
      <c r="F198" s="8" t="s">
        <v>30</v>
      </c>
      <c r="G198" s="8">
        <v>0.28000000000000003</v>
      </c>
      <c r="H198" s="9" t="s">
        <v>2383</v>
      </c>
    </row>
    <row r="199" spans="1:8" x14ac:dyDescent="0.25">
      <c r="A199" s="7" t="s">
        <v>866</v>
      </c>
      <c r="B199" s="8">
        <v>36.07</v>
      </c>
      <c r="C199" s="8">
        <v>103.75</v>
      </c>
      <c r="D199" s="8" t="s">
        <v>299</v>
      </c>
      <c r="E199" s="8" t="s">
        <v>87</v>
      </c>
      <c r="F199" s="8" t="s">
        <v>17</v>
      </c>
      <c r="G199" s="8">
        <v>521.29999999999995</v>
      </c>
      <c r="H199" s="9" t="s">
        <v>2382</v>
      </c>
    </row>
    <row r="200" spans="1:8" x14ac:dyDescent="0.25">
      <c r="A200" s="7" t="s">
        <v>869</v>
      </c>
      <c r="B200" s="8">
        <v>36.07</v>
      </c>
      <c r="C200" s="8">
        <v>103.75</v>
      </c>
      <c r="D200" s="8" t="s">
        <v>299</v>
      </c>
      <c r="E200" s="8" t="s">
        <v>87</v>
      </c>
      <c r="F200" s="8" t="s">
        <v>17</v>
      </c>
      <c r="G200" s="8">
        <v>468.1</v>
      </c>
      <c r="H200" s="9" t="s">
        <v>2382</v>
      </c>
    </row>
    <row r="201" spans="1:8" x14ac:dyDescent="0.25">
      <c r="A201" s="7" t="s">
        <v>871</v>
      </c>
      <c r="B201" s="8">
        <v>36.07</v>
      </c>
      <c r="C201" s="8">
        <v>103.75</v>
      </c>
      <c r="D201" s="8" t="s">
        <v>299</v>
      </c>
      <c r="E201" s="8" t="s">
        <v>87</v>
      </c>
      <c r="F201" s="8" t="s">
        <v>17</v>
      </c>
      <c r="G201" s="8">
        <v>327.9</v>
      </c>
      <c r="H201" s="9" t="s">
        <v>2382</v>
      </c>
    </row>
    <row r="202" spans="1:8" x14ac:dyDescent="0.25">
      <c r="A202" s="7" t="s">
        <v>873</v>
      </c>
      <c r="B202" s="8">
        <v>36.07</v>
      </c>
      <c r="C202" s="8">
        <v>103.75</v>
      </c>
      <c r="D202" s="8" t="s">
        <v>299</v>
      </c>
      <c r="E202" s="8" t="s">
        <v>87</v>
      </c>
      <c r="F202" s="8" t="s">
        <v>17</v>
      </c>
      <c r="G202" s="8">
        <v>229.9</v>
      </c>
      <c r="H202" s="9" t="s">
        <v>2382</v>
      </c>
    </row>
    <row r="203" spans="1:8" x14ac:dyDescent="0.25">
      <c r="A203" s="7" t="s">
        <v>875</v>
      </c>
      <c r="B203" s="8">
        <v>36.07</v>
      </c>
      <c r="C203" s="8">
        <v>103.75</v>
      </c>
      <c r="D203" s="8" t="s">
        <v>299</v>
      </c>
      <c r="E203" s="8" t="s">
        <v>87</v>
      </c>
      <c r="F203" s="8" t="s">
        <v>17</v>
      </c>
      <c r="G203" s="8">
        <v>203.1</v>
      </c>
      <c r="H203" s="9" t="s">
        <v>2382</v>
      </c>
    </row>
    <row r="204" spans="1:8" x14ac:dyDescent="0.25">
      <c r="A204" s="7" t="s">
        <v>877</v>
      </c>
      <c r="B204" s="8">
        <v>36.07</v>
      </c>
      <c r="C204" s="8">
        <v>103.75</v>
      </c>
      <c r="D204" s="8" t="s">
        <v>299</v>
      </c>
      <c r="E204" s="8" t="s">
        <v>87</v>
      </c>
      <c r="F204" s="8" t="s">
        <v>17</v>
      </c>
      <c r="G204" s="8">
        <v>138.1</v>
      </c>
      <c r="H204" s="9" t="s">
        <v>2382</v>
      </c>
    </row>
    <row r="205" spans="1:8" x14ac:dyDescent="0.25">
      <c r="A205" s="7" t="s">
        <v>254</v>
      </c>
      <c r="B205" s="8">
        <v>20</v>
      </c>
      <c r="C205" s="8">
        <v>113</v>
      </c>
      <c r="D205" s="8" t="s">
        <v>1151</v>
      </c>
      <c r="E205" s="8" t="s">
        <v>0</v>
      </c>
      <c r="F205" s="8" t="s">
        <v>30</v>
      </c>
      <c r="G205" s="8">
        <v>3.5000000000000003E-2</v>
      </c>
      <c r="H205" s="9" t="s">
        <v>2383</v>
      </c>
    </row>
    <row r="206" spans="1:8" x14ac:dyDescent="0.25">
      <c r="A206" s="7" t="s">
        <v>474</v>
      </c>
      <c r="B206" s="8">
        <v>45.66</v>
      </c>
      <c r="C206" s="8">
        <v>126.55</v>
      </c>
      <c r="D206" s="8" t="s">
        <v>299</v>
      </c>
      <c r="E206" s="8" t="s">
        <v>87</v>
      </c>
      <c r="F206" s="8" t="s">
        <v>30</v>
      </c>
      <c r="G206" s="8">
        <v>162.4</v>
      </c>
      <c r="H206" s="9" t="s">
        <v>2383</v>
      </c>
    </row>
    <row r="207" spans="1:8" x14ac:dyDescent="0.25">
      <c r="A207" s="7" t="s">
        <v>480</v>
      </c>
      <c r="B207" s="8">
        <v>45.66</v>
      </c>
      <c r="C207" s="8">
        <v>126.67</v>
      </c>
      <c r="D207" s="8" t="s">
        <v>299</v>
      </c>
      <c r="E207" s="8" t="s">
        <v>87</v>
      </c>
      <c r="F207" s="8" t="s">
        <v>30</v>
      </c>
      <c r="G207" s="8">
        <v>63.2</v>
      </c>
      <c r="H207" s="8" t="s">
        <v>2383</v>
      </c>
    </row>
    <row r="208" spans="1:8" x14ac:dyDescent="0.25">
      <c r="A208" s="7" t="s">
        <v>483</v>
      </c>
      <c r="B208" s="8">
        <v>45.7</v>
      </c>
      <c r="C208" s="8">
        <v>126.67</v>
      </c>
      <c r="D208" s="8" t="s">
        <v>299</v>
      </c>
      <c r="E208" s="8" t="s">
        <v>87</v>
      </c>
      <c r="F208" s="8" t="s">
        <v>30</v>
      </c>
      <c r="G208" s="8">
        <v>12.8</v>
      </c>
      <c r="H208" s="9" t="s">
        <v>2383</v>
      </c>
    </row>
    <row r="209" spans="1:8" x14ac:dyDescent="0.25">
      <c r="A209" s="7" t="s">
        <v>288</v>
      </c>
      <c r="B209" s="8">
        <v>35.47</v>
      </c>
      <c r="C209" s="8">
        <v>133.05000000000001</v>
      </c>
      <c r="D209" s="8" t="s">
        <v>1088</v>
      </c>
      <c r="E209" s="8" t="s">
        <v>332</v>
      </c>
      <c r="F209" s="8" t="s">
        <v>30</v>
      </c>
      <c r="G209" s="8">
        <v>0.14000000000000001</v>
      </c>
      <c r="H209" s="9" t="s">
        <v>2383</v>
      </c>
    </row>
    <row r="210" spans="1:8" x14ac:dyDescent="0.25">
      <c r="A210" s="7" t="s">
        <v>25</v>
      </c>
      <c r="B210" s="8">
        <v>33.590000000000003</v>
      </c>
      <c r="C210" s="8">
        <v>130.21</v>
      </c>
      <c r="D210" s="8" t="s">
        <v>1088</v>
      </c>
      <c r="E210" s="8" t="s">
        <v>332</v>
      </c>
      <c r="F210" s="8" t="s">
        <v>30</v>
      </c>
      <c r="G210" s="8">
        <v>0.3</v>
      </c>
      <c r="H210" s="9" t="s">
        <v>2383</v>
      </c>
    </row>
    <row r="211" spans="1:8" x14ac:dyDescent="0.25">
      <c r="A211" s="7" t="s">
        <v>32</v>
      </c>
      <c r="B211" s="8">
        <v>36.53</v>
      </c>
      <c r="C211" s="8">
        <v>136.65</v>
      </c>
      <c r="D211" s="8" t="s">
        <v>1088</v>
      </c>
      <c r="E211" s="8" t="s">
        <v>332</v>
      </c>
      <c r="F211" s="8" t="s">
        <v>30</v>
      </c>
      <c r="G211" s="8">
        <v>0.12</v>
      </c>
      <c r="H211" s="9" t="s">
        <v>2383</v>
      </c>
    </row>
    <row r="212" spans="1:8" x14ac:dyDescent="0.25">
      <c r="A212" s="7" t="s">
        <v>34</v>
      </c>
      <c r="B212" s="8">
        <v>-36.85</v>
      </c>
      <c r="C212" s="8">
        <v>174.76</v>
      </c>
      <c r="D212" s="8" t="s">
        <v>1088</v>
      </c>
      <c r="E212" s="8" t="s">
        <v>0</v>
      </c>
      <c r="F212" s="8" t="s">
        <v>30</v>
      </c>
      <c r="G212" s="8">
        <v>0.12</v>
      </c>
      <c r="H212" s="9" t="s">
        <v>2383</v>
      </c>
    </row>
    <row r="213" spans="1:8" x14ac:dyDescent="0.25">
      <c r="A213" s="7" t="s">
        <v>37</v>
      </c>
      <c r="B213" s="8">
        <v>-39.08</v>
      </c>
      <c r="C213" s="8">
        <v>175.55</v>
      </c>
      <c r="D213" s="8" t="s">
        <v>1088</v>
      </c>
      <c r="E213" s="8" t="s">
        <v>0</v>
      </c>
      <c r="F213" s="8" t="s">
        <v>30</v>
      </c>
      <c r="G213" s="8">
        <v>0.06</v>
      </c>
      <c r="H213" s="9" t="s">
        <v>2383</v>
      </c>
    </row>
    <row r="214" spans="1:8" x14ac:dyDescent="0.25">
      <c r="A214" s="7" t="s">
        <v>39</v>
      </c>
      <c r="B214" s="8">
        <v>-39.93</v>
      </c>
      <c r="C214" s="8">
        <v>175.02</v>
      </c>
      <c r="D214" s="8" t="s">
        <v>1088</v>
      </c>
      <c r="E214" s="8" t="s">
        <v>0</v>
      </c>
      <c r="F214" s="8" t="s">
        <v>30</v>
      </c>
      <c r="G214" s="8">
        <v>0.03</v>
      </c>
      <c r="H214" s="9" t="s">
        <v>2383</v>
      </c>
    </row>
    <row r="215" spans="1:8" x14ac:dyDescent="0.25">
      <c r="A215" s="7" t="s">
        <v>290</v>
      </c>
      <c r="B215" s="8">
        <v>15</v>
      </c>
      <c r="C215" s="8">
        <v>113</v>
      </c>
      <c r="D215" s="8" t="s">
        <v>0</v>
      </c>
      <c r="E215" s="8" t="s">
        <v>0</v>
      </c>
      <c r="F215" s="8" t="s">
        <v>30</v>
      </c>
      <c r="G215" s="8">
        <v>4.5999999999999999E-2</v>
      </c>
      <c r="H215" s="9" t="s">
        <v>2383</v>
      </c>
    </row>
    <row r="216" spans="1:8" x14ac:dyDescent="0.25">
      <c r="A216" s="7" t="s">
        <v>1081</v>
      </c>
      <c r="B216" s="8">
        <v>10.01</v>
      </c>
      <c r="C216" s="8">
        <v>116.24</v>
      </c>
      <c r="D216" s="8" t="s">
        <v>1151</v>
      </c>
      <c r="E216" s="8" t="s">
        <v>0</v>
      </c>
      <c r="F216" s="8" t="s">
        <v>30</v>
      </c>
      <c r="G216" s="8">
        <v>4.2000000000000003E-2</v>
      </c>
      <c r="H216" s="9" t="s">
        <v>2383</v>
      </c>
    </row>
    <row r="217" spans="1:8" x14ac:dyDescent="0.25">
      <c r="A217" s="7" t="s">
        <v>1082</v>
      </c>
      <c r="B217" s="8">
        <v>9.25</v>
      </c>
      <c r="C217" s="8">
        <v>116.25</v>
      </c>
      <c r="D217" s="8" t="s">
        <v>1151</v>
      </c>
      <c r="E217" s="8" t="s">
        <v>0</v>
      </c>
      <c r="F217" s="8" t="s">
        <v>30</v>
      </c>
      <c r="G217" s="8">
        <v>1.6E-2</v>
      </c>
      <c r="H217" s="9" t="s">
        <v>2383</v>
      </c>
    </row>
    <row r="218" spans="1:8" x14ac:dyDescent="0.25">
      <c r="A218" s="7" t="s">
        <v>1083</v>
      </c>
      <c r="B218" s="8">
        <v>9.74</v>
      </c>
      <c r="C218" s="8">
        <v>112.07</v>
      </c>
      <c r="D218" s="8" t="s">
        <v>1151</v>
      </c>
      <c r="E218" s="8" t="s">
        <v>0</v>
      </c>
      <c r="F218" s="8" t="s">
        <v>30</v>
      </c>
      <c r="G218" s="8">
        <v>4.4999999999999998E-2</v>
      </c>
      <c r="H218" s="9" t="s">
        <v>2383</v>
      </c>
    </row>
    <row r="219" spans="1:8" x14ac:dyDescent="0.25">
      <c r="A219" s="7" t="s">
        <v>1084</v>
      </c>
      <c r="B219" s="8">
        <v>10.210000000000001</v>
      </c>
      <c r="C219" s="8">
        <v>112.23</v>
      </c>
      <c r="D219" s="8" t="s">
        <v>1088</v>
      </c>
      <c r="E219" s="8" t="s">
        <v>0</v>
      </c>
      <c r="F219" s="8" t="s">
        <v>30</v>
      </c>
      <c r="G219" s="8">
        <v>1.7999999999999999E-2</v>
      </c>
      <c r="H219" s="9" t="s">
        <v>2383</v>
      </c>
    </row>
    <row r="220" spans="1:8" x14ac:dyDescent="0.25">
      <c r="A220" s="7" t="s">
        <v>1073</v>
      </c>
      <c r="B220" s="8">
        <v>19.23</v>
      </c>
      <c r="C220" s="8">
        <v>110.6</v>
      </c>
      <c r="D220" s="8" t="s">
        <v>1088</v>
      </c>
      <c r="E220" s="8" t="s">
        <v>0</v>
      </c>
      <c r="F220" s="8" t="s">
        <v>30</v>
      </c>
      <c r="G220" s="8">
        <v>6.3E-2</v>
      </c>
      <c r="H220" s="9" t="s">
        <v>2383</v>
      </c>
    </row>
    <row r="221" spans="1:8" x14ac:dyDescent="0.25">
      <c r="A221" s="7" t="s">
        <v>1074</v>
      </c>
      <c r="B221" s="8">
        <v>17.03</v>
      </c>
      <c r="C221" s="8">
        <v>116.24</v>
      </c>
      <c r="D221" s="8" t="s">
        <v>1151</v>
      </c>
      <c r="E221" s="8" t="s">
        <v>0</v>
      </c>
      <c r="F221" s="8" t="s">
        <v>30</v>
      </c>
      <c r="G221" s="8">
        <v>4.3999999999999997E-2</v>
      </c>
      <c r="H221" s="9" t="s">
        <v>2383</v>
      </c>
    </row>
    <row r="222" spans="1:8" x14ac:dyDescent="0.25">
      <c r="A222" s="7" t="s">
        <v>1075</v>
      </c>
      <c r="B222" s="8">
        <v>16.010000000000002</v>
      </c>
      <c r="C222" s="8">
        <v>116.03</v>
      </c>
      <c r="D222" s="8" t="s">
        <v>1151</v>
      </c>
      <c r="E222" s="8" t="s">
        <v>0</v>
      </c>
      <c r="F222" s="8" t="s">
        <v>30</v>
      </c>
      <c r="G222" s="8">
        <v>5.8999999999999997E-2</v>
      </c>
      <c r="H222" s="9" t="s">
        <v>2383</v>
      </c>
    </row>
    <row r="223" spans="1:8" x14ac:dyDescent="0.25">
      <c r="A223" s="7" t="s">
        <v>1076</v>
      </c>
      <c r="B223" s="8">
        <v>15.26</v>
      </c>
      <c r="C223" s="8">
        <v>116.26</v>
      </c>
      <c r="D223" s="8" t="s">
        <v>1151</v>
      </c>
      <c r="E223" s="8" t="s">
        <v>0</v>
      </c>
      <c r="F223" s="8" t="s">
        <v>30</v>
      </c>
      <c r="G223" s="8">
        <v>0.14599999999999999</v>
      </c>
      <c r="H223" s="9" t="s">
        <v>2383</v>
      </c>
    </row>
    <row r="224" spans="1:8" x14ac:dyDescent="0.25">
      <c r="A224" s="7" t="s">
        <v>1077</v>
      </c>
      <c r="B224" s="8">
        <v>14.02</v>
      </c>
      <c r="C224" s="8">
        <v>116.24</v>
      </c>
      <c r="D224" s="8" t="s">
        <v>1151</v>
      </c>
      <c r="E224" s="8" t="s">
        <v>0</v>
      </c>
      <c r="F224" s="8" t="s">
        <v>30</v>
      </c>
      <c r="G224" s="8">
        <v>3.1E-2</v>
      </c>
      <c r="H224" s="9" t="s">
        <v>2383</v>
      </c>
    </row>
    <row r="225" spans="1:8" x14ac:dyDescent="0.25">
      <c r="A225" s="7" t="s">
        <v>1078</v>
      </c>
      <c r="B225" s="8">
        <v>13</v>
      </c>
      <c r="C225" s="8">
        <v>116</v>
      </c>
      <c r="D225" s="8" t="s">
        <v>1151</v>
      </c>
      <c r="E225" s="8" t="s">
        <v>0</v>
      </c>
      <c r="F225" s="8" t="s">
        <v>30</v>
      </c>
      <c r="G225" s="8">
        <v>1.7000000000000001E-2</v>
      </c>
      <c r="H225" s="9" t="s">
        <v>2383</v>
      </c>
    </row>
    <row r="226" spans="1:8" x14ac:dyDescent="0.25">
      <c r="A226" s="7" t="s">
        <v>1079</v>
      </c>
      <c r="B226" s="8">
        <v>12.22</v>
      </c>
      <c r="C226" s="8">
        <v>116</v>
      </c>
      <c r="D226" s="8" t="s">
        <v>1151</v>
      </c>
      <c r="E226" s="8" t="s">
        <v>0</v>
      </c>
      <c r="F226" s="8" t="s">
        <v>30</v>
      </c>
      <c r="G226" s="8">
        <v>1.7000000000000001E-2</v>
      </c>
      <c r="H226" s="9" t="s">
        <v>2383</v>
      </c>
    </row>
    <row r="227" spans="1:8" x14ac:dyDescent="0.25">
      <c r="A227" s="7" t="s">
        <v>1080</v>
      </c>
      <c r="B227" s="8">
        <v>11.03</v>
      </c>
      <c r="C227" s="8">
        <v>116</v>
      </c>
      <c r="D227" s="8" t="s">
        <v>1151</v>
      </c>
      <c r="E227" s="8" t="s">
        <v>0</v>
      </c>
      <c r="F227" s="8" t="s">
        <v>30</v>
      </c>
      <c r="G227" s="8">
        <v>5.8000000000000003E-2</v>
      </c>
      <c r="H227" s="9" t="s">
        <v>2383</v>
      </c>
    </row>
    <row r="228" spans="1:8" x14ac:dyDescent="0.25">
      <c r="A228" s="7" t="s">
        <v>879</v>
      </c>
      <c r="B228" s="8">
        <v>31.5</v>
      </c>
      <c r="C228" s="8">
        <v>121.4</v>
      </c>
      <c r="D228" s="8" t="s">
        <v>299</v>
      </c>
      <c r="E228" s="8" t="s">
        <v>87</v>
      </c>
      <c r="F228" s="8" t="s">
        <v>17</v>
      </c>
      <c r="G228" s="8">
        <v>1434.57</v>
      </c>
      <c r="H228" s="9" t="s">
        <v>2382</v>
      </c>
    </row>
    <row r="229" spans="1:8" x14ac:dyDescent="0.25">
      <c r="A229" s="7" t="s">
        <v>883</v>
      </c>
      <c r="B229" s="8">
        <v>31.7</v>
      </c>
      <c r="C229" s="8">
        <v>121.4</v>
      </c>
      <c r="D229" s="8" t="s">
        <v>299</v>
      </c>
      <c r="E229" s="8" t="s">
        <v>87</v>
      </c>
      <c r="F229" s="8" t="s">
        <v>17</v>
      </c>
      <c r="G229" s="8">
        <v>5094.93</v>
      </c>
      <c r="H229" s="9" t="s">
        <v>2382</v>
      </c>
    </row>
    <row r="230" spans="1:8" x14ac:dyDescent="0.25">
      <c r="A230" s="7" t="s">
        <v>885</v>
      </c>
      <c r="B230" s="8">
        <v>30.9</v>
      </c>
      <c r="C230" s="8">
        <v>121.4</v>
      </c>
      <c r="D230" s="8" t="s">
        <v>299</v>
      </c>
      <c r="E230" s="8" t="s">
        <v>87</v>
      </c>
      <c r="F230" s="8" t="s">
        <v>17</v>
      </c>
      <c r="G230" s="8">
        <v>4072.81</v>
      </c>
      <c r="H230" s="9" t="s">
        <v>2382</v>
      </c>
    </row>
    <row r="231" spans="1:8" x14ac:dyDescent="0.25">
      <c r="A231" s="7" t="s">
        <v>887</v>
      </c>
      <c r="B231" s="8">
        <v>31.1</v>
      </c>
      <c r="C231" s="8">
        <v>121.7</v>
      </c>
      <c r="D231" s="8" t="s">
        <v>299</v>
      </c>
      <c r="E231" s="8" t="s">
        <v>87</v>
      </c>
      <c r="F231" s="8" t="s">
        <v>17</v>
      </c>
      <c r="G231" s="8">
        <v>1756.72</v>
      </c>
      <c r="H231" s="9" t="s">
        <v>2382</v>
      </c>
    </row>
    <row r="232" spans="1:8" x14ac:dyDescent="0.25">
      <c r="A232" s="7" t="s">
        <v>889</v>
      </c>
      <c r="B232" s="8">
        <v>31.8</v>
      </c>
      <c r="C232" s="8">
        <v>120.9</v>
      </c>
      <c r="D232" s="8" t="s">
        <v>299</v>
      </c>
      <c r="E232" s="8" t="s">
        <v>87</v>
      </c>
      <c r="F232" s="8" t="s">
        <v>17</v>
      </c>
      <c r="G232" s="8">
        <v>2619.7399999999998</v>
      </c>
      <c r="H232" s="9" t="s">
        <v>2382</v>
      </c>
    </row>
    <row r="233" spans="1:8" x14ac:dyDescent="0.25">
      <c r="A233" s="7" t="s">
        <v>891</v>
      </c>
      <c r="B233" s="8">
        <v>31.1</v>
      </c>
      <c r="C233" s="8">
        <v>121.4</v>
      </c>
      <c r="D233" s="8" t="s">
        <v>299</v>
      </c>
      <c r="E233" s="8" t="s">
        <v>87</v>
      </c>
      <c r="F233" s="8" t="s">
        <v>17</v>
      </c>
      <c r="G233" s="8">
        <v>4588.57</v>
      </c>
      <c r="H233" s="9" t="s">
        <v>2382</v>
      </c>
    </row>
    <row r="234" spans="1:8" x14ac:dyDescent="0.25">
      <c r="A234" s="7" t="s">
        <v>341</v>
      </c>
      <c r="B234" s="8">
        <v>39.68</v>
      </c>
      <c r="C234" s="8">
        <v>116.44</v>
      </c>
      <c r="D234" s="8" t="s">
        <v>299</v>
      </c>
      <c r="E234" s="8" t="s">
        <v>82</v>
      </c>
      <c r="F234" s="8" t="s">
        <v>17</v>
      </c>
      <c r="G234" s="8">
        <v>347.2</v>
      </c>
      <c r="H234" s="9" t="s">
        <v>2382</v>
      </c>
    </row>
    <row r="235" spans="1:8" x14ac:dyDescent="0.25">
      <c r="A235" s="7" t="s">
        <v>312</v>
      </c>
      <c r="B235" s="8">
        <v>39.65</v>
      </c>
      <c r="C235" s="8">
        <v>116.03</v>
      </c>
      <c r="D235" s="8" t="s">
        <v>299</v>
      </c>
      <c r="E235" s="8" t="s">
        <v>0</v>
      </c>
      <c r="F235" s="8" t="s">
        <v>17</v>
      </c>
      <c r="G235" s="8">
        <v>110.84</v>
      </c>
      <c r="H235" s="9" t="s">
        <v>2382</v>
      </c>
    </row>
    <row r="236" spans="1:8" x14ac:dyDescent="0.25">
      <c r="A236" s="7" t="s">
        <v>318</v>
      </c>
      <c r="B236" s="8">
        <v>39.94</v>
      </c>
      <c r="C236" s="8">
        <v>116.28</v>
      </c>
      <c r="D236" s="8" t="s">
        <v>299</v>
      </c>
      <c r="E236" s="8" t="s">
        <v>0</v>
      </c>
      <c r="F236" s="8" t="s">
        <v>17</v>
      </c>
      <c r="G236" s="8">
        <v>167.25</v>
      </c>
      <c r="H236" s="9" t="s">
        <v>2382</v>
      </c>
    </row>
    <row r="237" spans="1:8" x14ac:dyDescent="0.25">
      <c r="A237" s="7" t="s">
        <v>321</v>
      </c>
      <c r="B237" s="8">
        <v>39.97</v>
      </c>
      <c r="C237" s="8">
        <v>116.02</v>
      </c>
      <c r="D237" s="8" t="s">
        <v>299</v>
      </c>
      <c r="E237" s="8" t="s">
        <v>0</v>
      </c>
      <c r="F237" s="8" t="s">
        <v>17</v>
      </c>
      <c r="G237" s="8">
        <v>93.05</v>
      </c>
      <c r="H237" s="9" t="s">
        <v>2382</v>
      </c>
    </row>
    <row r="238" spans="1:8" x14ac:dyDescent="0.25">
      <c r="A238" s="7" t="s">
        <v>324</v>
      </c>
      <c r="B238" s="8">
        <v>40.19</v>
      </c>
      <c r="C238" s="8">
        <v>116.82</v>
      </c>
      <c r="D238" s="8" t="s">
        <v>299</v>
      </c>
      <c r="E238" s="8" t="s">
        <v>0</v>
      </c>
      <c r="F238" s="8" t="s">
        <v>17</v>
      </c>
      <c r="G238" s="8">
        <v>144.31</v>
      </c>
      <c r="H238" s="9" t="s">
        <v>2382</v>
      </c>
    </row>
    <row r="239" spans="1:8" x14ac:dyDescent="0.25">
      <c r="A239" s="7" t="s">
        <v>327</v>
      </c>
      <c r="B239" s="8">
        <v>39.700000000000003</v>
      </c>
      <c r="C239" s="8">
        <v>116.7</v>
      </c>
      <c r="D239" s="8" t="s">
        <v>299</v>
      </c>
      <c r="E239" s="8" t="s">
        <v>0</v>
      </c>
      <c r="F239" s="8" t="s">
        <v>17</v>
      </c>
      <c r="G239" s="8">
        <v>139.87</v>
      </c>
      <c r="H239" s="9" t="s">
        <v>2382</v>
      </c>
    </row>
    <row r="240" spans="1:8" x14ac:dyDescent="0.25">
      <c r="A240" s="7" t="s">
        <v>41</v>
      </c>
      <c r="B240" s="8">
        <v>38.29</v>
      </c>
      <c r="C240" s="8">
        <v>116.87</v>
      </c>
      <c r="D240" s="8" t="s">
        <v>1088</v>
      </c>
      <c r="E240" s="8" t="s">
        <v>0</v>
      </c>
      <c r="F240" s="8" t="s">
        <v>17</v>
      </c>
      <c r="G240" s="8">
        <v>40</v>
      </c>
      <c r="H240" s="9" t="s">
        <v>2382</v>
      </c>
    </row>
    <row r="241" spans="1:8" x14ac:dyDescent="0.25">
      <c r="A241" s="7" t="s">
        <v>41</v>
      </c>
      <c r="B241" s="8">
        <v>38.29</v>
      </c>
      <c r="C241" s="8">
        <v>116.87</v>
      </c>
      <c r="D241" s="8" t="s">
        <v>1088</v>
      </c>
      <c r="E241" s="8" t="s">
        <v>0</v>
      </c>
      <c r="F241" s="8" t="s">
        <v>17</v>
      </c>
      <c r="G241" s="8">
        <v>0.03</v>
      </c>
      <c r="H241" s="9" t="s">
        <v>2383</v>
      </c>
    </row>
    <row r="242" spans="1:8" x14ac:dyDescent="0.25">
      <c r="A242" s="7" t="s">
        <v>48</v>
      </c>
      <c r="B242" s="8">
        <v>34.61</v>
      </c>
      <c r="C242" s="8">
        <v>119.21</v>
      </c>
      <c r="D242" s="8" t="s">
        <v>1088</v>
      </c>
      <c r="E242" s="8" t="s">
        <v>0</v>
      </c>
      <c r="F242" s="8" t="s">
        <v>17</v>
      </c>
      <c r="G242" s="8">
        <v>35</v>
      </c>
      <c r="H242" s="9" t="s">
        <v>2382</v>
      </c>
    </row>
    <row r="243" spans="1:8" x14ac:dyDescent="0.25">
      <c r="A243" s="7" t="s">
        <v>48</v>
      </c>
      <c r="B243" s="8">
        <v>34.61</v>
      </c>
      <c r="C243" s="8">
        <v>119.21</v>
      </c>
      <c r="D243" s="8" t="s">
        <v>1088</v>
      </c>
      <c r="E243" s="8" t="s">
        <v>0</v>
      </c>
      <c r="F243" s="8" t="s">
        <v>17</v>
      </c>
      <c r="G243" s="8">
        <v>0.19</v>
      </c>
      <c r="H243" s="9" t="s">
        <v>2383</v>
      </c>
    </row>
    <row r="244" spans="1:8" x14ac:dyDescent="0.25">
      <c r="A244" s="7" t="s">
        <v>50</v>
      </c>
      <c r="B244" s="8">
        <v>29.97</v>
      </c>
      <c r="C244" s="8">
        <v>122.18</v>
      </c>
      <c r="D244" s="8" t="s">
        <v>1088</v>
      </c>
      <c r="E244" s="8" t="s">
        <v>0</v>
      </c>
      <c r="F244" s="8" t="s">
        <v>17</v>
      </c>
      <c r="G244" s="8">
        <v>61</v>
      </c>
      <c r="H244" s="9" t="s">
        <v>2382</v>
      </c>
    </row>
    <row r="245" spans="1:8" x14ac:dyDescent="0.25">
      <c r="A245" s="7" t="s">
        <v>50</v>
      </c>
      <c r="B245" s="8">
        <v>29.97</v>
      </c>
      <c r="C245" s="8">
        <v>122.18</v>
      </c>
      <c r="D245" s="8" t="s">
        <v>1088</v>
      </c>
      <c r="E245" s="8" t="s">
        <v>0</v>
      </c>
      <c r="F245" s="8" t="s">
        <v>17</v>
      </c>
      <c r="G245" s="8">
        <v>0.19</v>
      </c>
      <c r="H245" s="9" t="s">
        <v>2383</v>
      </c>
    </row>
    <row r="246" spans="1:8" x14ac:dyDescent="0.25">
      <c r="A246" s="7" t="s">
        <v>52</v>
      </c>
      <c r="B246" s="8">
        <v>24.61</v>
      </c>
      <c r="C246" s="8">
        <v>118.31</v>
      </c>
      <c r="D246" s="8" t="s">
        <v>1088</v>
      </c>
      <c r="E246" s="8" t="s">
        <v>0</v>
      </c>
      <c r="F246" s="8" t="s">
        <v>17</v>
      </c>
      <c r="G246" s="8">
        <v>38</v>
      </c>
      <c r="H246" s="9" t="s">
        <v>2382</v>
      </c>
    </row>
    <row r="247" spans="1:8" x14ac:dyDescent="0.25">
      <c r="A247" s="7" t="s">
        <v>52</v>
      </c>
      <c r="B247" s="8">
        <v>24.61</v>
      </c>
      <c r="C247" s="8">
        <v>118.31</v>
      </c>
      <c r="D247" s="8" t="s">
        <v>1088</v>
      </c>
      <c r="E247" s="8" t="s">
        <v>0</v>
      </c>
      <c r="F247" s="8" t="s">
        <v>17</v>
      </c>
      <c r="G247" s="8">
        <v>0.19</v>
      </c>
      <c r="H247" s="9" t="s">
        <v>2383</v>
      </c>
    </row>
    <row r="248" spans="1:8" x14ac:dyDescent="0.25">
      <c r="A248" s="7" t="s">
        <v>54</v>
      </c>
      <c r="B248" s="8">
        <v>19.98</v>
      </c>
      <c r="C248" s="8">
        <v>110.34</v>
      </c>
      <c r="D248" s="8" t="s">
        <v>1088</v>
      </c>
      <c r="E248" s="8" t="s">
        <v>0</v>
      </c>
      <c r="F248" s="8" t="s">
        <v>17</v>
      </c>
      <c r="G248" s="8">
        <v>30</v>
      </c>
      <c r="H248" s="9" t="s">
        <v>2382</v>
      </c>
    </row>
    <row r="249" spans="1:8" x14ac:dyDescent="0.25">
      <c r="A249" s="7" t="s">
        <v>54</v>
      </c>
      <c r="B249" s="8">
        <v>19.98</v>
      </c>
      <c r="C249" s="8">
        <v>110.34</v>
      </c>
      <c r="D249" s="8" t="s">
        <v>1088</v>
      </c>
      <c r="E249" s="8" t="s">
        <v>0</v>
      </c>
      <c r="F249" s="8" t="s">
        <v>17</v>
      </c>
      <c r="G249" s="8">
        <v>0.19</v>
      </c>
      <c r="H249" s="9" t="s">
        <v>2383</v>
      </c>
    </row>
    <row r="250" spans="1:8" x14ac:dyDescent="0.25">
      <c r="A250" s="7" t="s">
        <v>893</v>
      </c>
      <c r="B250" s="8">
        <v>37.64</v>
      </c>
      <c r="C250" s="8">
        <v>127.02</v>
      </c>
      <c r="D250" s="8" t="s">
        <v>299</v>
      </c>
      <c r="E250" s="8" t="s">
        <v>87</v>
      </c>
      <c r="F250" s="8" t="s">
        <v>30</v>
      </c>
      <c r="G250" s="8">
        <v>1.2</v>
      </c>
      <c r="H250" s="8" t="s">
        <v>2383</v>
      </c>
    </row>
    <row r="251" spans="1:8" x14ac:dyDescent="0.25">
      <c r="A251" s="7" t="s">
        <v>898</v>
      </c>
      <c r="B251" s="8">
        <v>37.49</v>
      </c>
      <c r="C251" s="8">
        <v>126.96</v>
      </c>
      <c r="D251" s="8" t="s">
        <v>299</v>
      </c>
      <c r="E251" s="8" t="s">
        <v>87</v>
      </c>
      <c r="F251" s="8" t="s">
        <v>30</v>
      </c>
      <c r="G251" s="8">
        <v>1.1399999999999999</v>
      </c>
      <c r="H251" s="8" t="s">
        <v>2383</v>
      </c>
    </row>
    <row r="252" spans="1:8" x14ac:dyDescent="0.25">
      <c r="A252" s="7" t="s">
        <v>901</v>
      </c>
      <c r="B252" s="8">
        <v>37.47</v>
      </c>
      <c r="C252" s="8">
        <v>127.04</v>
      </c>
      <c r="D252" s="8" t="s">
        <v>299</v>
      </c>
      <c r="E252" s="8" t="s">
        <v>87</v>
      </c>
      <c r="F252" s="8" t="s">
        <v>30</v>
      </c>
      <c r="G252" s="8">
        <v>3.37</v>
      </c>
      <c r="H252" s="9" t="s">
        <v>2383</v>
      </c>
    </row>
    <row r="253" spans="1:8" x14ac:dyDescent="0.25">
      <c r="A253" s="7" t="s">
        <v>904</v>
      </c>
      <c r="B253" s="8">
        <v>10.41</v>
      </c>
      <c r="C253" s="8">
        <v>-75.53</v>
      </c>
      <c r="D253" s="8" t="s">
        <v>299</v>
      </c>
      <c r="E253" s="8" t="s">
        <v>87</v>
      </c>
      <c r="F253" s="8" t="s">
        <v>17</v>
      </c>
      <c r="G253" s="8">
        <v>1252000</v>
      </c>
      <c r="H253" s="9" t="s">
        <v>2382</v>
      </c>
    </row>
    <row r="254" spans="1:8" x14ac:dyDescent="0.25">
      <c r="A254" s="7" t="s">
        <v>908</v>
      </c>
      <c r="B254" s="8">
        <v>10.41</v>
      </c>
      <c r="C254" s="8">
        <v>-75.53</v>
      </c>
      <c r="D254" s="8" t="s">
        <v>299</v>
      </c>
      <c r="E254" s="8" t="s">
        <v>87</v>
      </c>
      <c r="F254" s="8" t="s">
        <v>17</v>
      </c>
      <c r="G254" s="8">
        <v>2472000</v>
      </c>
      <c r="H254" s="9" t="s">
        <v>2382</v>
      </c>
    </row>
    <row r="255" spans="1:8" x14ac:dyDescent="0.25">
      <c r="A255" s="7" t="s">
        <v>909</v>
      </c>
      <c r="B255" s="8">
        <v>10.41</v>
      </c>
      <c r="C255" s="8">
        <v>-75.53</v>
      </c>
      <c r="D255" s="8" t="s">
        <v>299</v>
      </c>
      <c r="E255" s="8" t="s">
        <v>87</v>
      </c>
      <c r="F255" s="8" t="s">
        <v>17</v>
      </c>
      <c r="G255" s="8">
        <v>756000</v>
      </c>
      <c r="H255" s="9" t="s">
        <v>2382</v>
      </c>
    </row>
    <row r="256" spans="1:8" x14ac:dyDescent="0.25">
      <c r="A256" s="7" t="s">
        <v>911</v>
      </c>
      <c r="B256" s="8">
        <v>23.1</v>
      </c>
      <c r="C256" s="8">
        <v>113.79</v>
      </c>
      <c r="D256" s="8" t="s">
        <v>299</v>
      </c>
      <c r="E256" s="8" t="s">
        <v>87</v>
      </c>
      <c r="F256" s="8" t="s">
        <v>17</v>
      </c>
      <c r="G256" s="8">
        <v>277</v>
      </c>
      <c r="H256" s="9" t="s">
        <v>2382</v>
      </c>
    </row>
    <row r="257" spans="1:8" x14ac:dyDescent="0.25">
      <c r="A257" s="7" t="s">
        <v>915</v>
      </c>
      <c r="B257" s="8">
        <v>23.1</v>
      </c>
      <c r="C257" s="8">
        <v>113.76</v>
      </c>
      <c r="D257" s="8" t="s">
        <v>299</v>
      </c>
      <c r="E257" s="8" t="s">
        <v>87</v>
      </c>
      <c r="F257" s="8" t="s">
        <v>17</v>
      </c>
      <c r="G257" s="8">
        <v>208</v>
      </c>
      <c r="H257" s="9" t="s">
        <v>2382</v>
      </c>
    </row>
    <row r="258" spans="1:8" x14ac:dyDescent="0.25">
      <c r="A258" s="7" t="s">
        <v>917</v>
      </c>
      <c r="B258" s="8">
        <v>23.1</v>
      </c>
      <c r="C258" s="8">
        <v>113.75</v>
      </c>
      <c r="D258" s="8" t="s">
        <v>299</v>
      </c>
      <c r="E258" s="8" t="s">
        <v>87</v>
      </c>
      <c r="F258" s="8" t="s">
        <v>17</v>
      </c>
      <c r="G258" s="8">
        <v>198</v>
      </c>
      <c r="H258" s="9" t="s">
        <v>2382</v>
      </c>
    </row>
    <row r="259" spans="1:8" x14ac:dyDescent="0.25">
      <c r="A259" s="7" t="s">
        <v>57</v>
      </c>
      <c r="B259" s="8">
        <v>10.039999999999999</v>
      </c>
      <c r="C259" s="8">
        <v>76.400000000000006</v>
      </c>
      <c r="D259" s="8" t="s">
        <v>1088</v>
      </c>
      <c r="E259" s="8" t="s">
        <v>0</v>
      </c>
      <c r="F259" s="8" t="s">
        <v>17</v>
      </c>
      <c r="G259" s="8">
        <v>21.27</v>
      </c>
      <c r="H259" s="9" t="s">
        <v>2382</v>
      </c>
    </row>
    <row r="260" spans="1:8" x14ac:dyDescent="0.25">
      <c r="A260" s="7" t="s">
        <v>919</v>
      </c>
      <c r="B260" s="8">
        <v>53.79</v>
      </c>
      <c r="C260" s="8">
        <v>0.37</v>
      </c>
      <c r="D260" s="8" t="s">
        <v>299</v>
      </c>
      <c r="E260" s="8" t="s">
        <v>87</v>
      </c>
      <c r="F260" s="8" t="s">
        <v>17</v>
      </c>
      <c r="G260" s="8">
        <v>603</v>
      </c>
      <c r="H260" s="9" t="s">
        <v>2382</v>
      </c>
    </row>
    <row r="261" spans="1:8" x14ac:dyDescent="0.25">
      <c r="A261" s="7" t="s">
        <v>922</v>
      </c>
      <c r="B261" s="8">
        <v>53.79</v>
      </c>
      <c r="C261" s="8">
        <v>0.37</v>
      </c>
      <c r="D261" s="8" t="s">
        <v>299</v>
      </c>
      <c r="E261" s="8" t="s">
        <v>87</v>
      </c>
      <c r="F261" s="8" t="s">
        <v>17</v>
      </c>
      <c r="G261" s="8">
        <v>3617</v>
      </c>
      <c r="H261" s="9" t="s">
        <v>2382</v>
      </c>
    </row>
    <row r="262" spans="1:8" x14ac:dyDescent="0.25">
      <c r="A262" s="7" t="s">
        <v>923</v>
      </c>
      <c r="B262" s="8">
        <v>53.79</v>
      </c>
      <c r="C262" s="8">
        <v>0.37</v>
      </c>
      <c r="D262" s="8" t="s">
        <v>299</v>
      </c>
      <c r="E262" s="8" t="s">
        <v>87</v>
      </c>
      <c r="F262" s="8" t="s">
        <v>17</v>
      </c>
      <c r="G262" s="8">
        <v>1746</v>
      </c>
      <c r="H262" s="9" t="s">
        <v>2382</v>
      </c>
    </row>
    <row r="263" spans="1:8" x14ac:dyDescent="0.25">
      <c r="A263" s="7" t="s">
        <v>924</v>
      </c>
      <c r="B263" s="8">
        <v>53.79</v>
      </c>
      <c r="C263" s="8">
        <v>0.37</v>
      </c>
      <c r="D263" s="8" t="s">
        <v>299</v>
      </c>
      <c r="E263" s="8" t="s">
        <v>87</v>
      </c>
      <c r="F263" s="8" t="s">
        <v>17</v>
      </c>
      <c r="G263" s="8">
        <v>1012</v>
      </c>
      <c r="H263" s="9" t="s">
        <v>2382</v>
      </c>
    </row>
    <row r="264" spans="1:8" x14ac:dyDescent="0.25">
      <c r="A264" s="7" t="s">
        <v>925</v>
      </c>
      <c r="B264" s="8">
        <v>53.79</v>
      </c>
      <c r="C264" s="8">
        <v>0.37</v>
      </c>
      <c r="D264" s="8" t="s">
        <v>299</v>
      </c>
      <c r="E264" s="8" t="s">
        <v>87</v>
      </c>
      <c r="F264" s="8" t="s">
        <v>17</v>
      </c>
      <c r="G264" s="8">
        <v>522</v>
      </c>
      <c r="H264" s="9" t="s">
        <v>2382</v>
      </c>
    </row>
    <row r="265" spans="1:8" x14ac:dyDescent="0.25">
      <c r="A265" s="7" t="s">
        <v>926</v>
      </c>
      <c r="B265" s="8">
        <v>39.97</v>
      </c>
      <c r="C265" s="8">
        <v>115.44</v>
      </c>
      <c r="D265" s="8" t="s">
        <v>299</v>
      </c>
      <c r="E265" s="8" t="s">
        <v>87</v>
      </c>
      <c r="F265" s="8" t="s">
        <v>17</v>
      </c>
      <c r="G265" s="8">
        <v>133.18</v>
      </c>
      <c r="H265" s="9" t="s">
        <v>2382</v>
      </c>
    </row>
    <row r="266" spans="1:8" x14ac:dyDescent="0.25">
      <c r="A266" s="7" t="s">
        <v>929</v>
      </c>
      <c r="B266" s="8">
        <v>40.18</v>
      </c>
      <c r="C266" s="8">
        <v>116.45</v>
      </c>
      <c r="D266" s="8" t="s">
        <v>299</v>
      </c>
      <c r="E266" s="8" t="s">
        <v>87</v>
      </c>
      <c r="F266" s="8" t="s">
        <v>17</v>
      </c>
      <c r="G266" s="8">
        <v>180.12</v>
      </c>
      <c r="H266" s="9" t="s">
        <v>2382</v>
      </c>
    </row>
    <row r="267" spans="1:8" x14ac:dyDescent="0.25">
      <c r="A267" s="7" t="s">
        <v>931</v>
      </c>
      <c r="B267" s="8">
        <v>40</v>
      </c>
      <c r="C267" s="8">
        <v>116.56</v>
      </c>
      <c r="D267" s="8" t="s">
        <v>299</v>
      </c>
      <c r="E267" s="8" t="s">
        <v>87</v>
      </c>
      <c r="F267" s="8" t="s">
        <v>17</v>
      </c>
      <c r="G267" s="8">
        <v>395.07</v>
      </c>
      <c r="H267" s="9" t="s">
        <v>2382</v>
      </c>
    </row>
    <row r="268" spans="1:8" x14ac:dyDescent="0.25">
      <c r="A268" s="7" t="s">
        <v>933</v>
      </c>
      <c r="B268" s="8">
        <v>23.5</v>
      </c>
      <c r="C268" s="8">
        <v>113.5</v>
      </c>
      <c r="D268" s="8" t="s">
        <v>1088</v>
      </c>
      <c r="E268" s="8" t="s">
        <v>87</v>
      </c>
      <c r="F268" s="8" t="s">
        <v>30</v>
      </c>
      <c r="G268" s="8">
        <v>65.94</v>
      </c>
      <c r="H268" s="8" t="s">
        <v>2382</v>
      </c>
    </row>
    <row r="269" spans="1:8" x14ac:dyDescent="0.25">
      <c r="A269" s="7" t="s">
        <v>933</v>
      </c>
      <c r="B269" s="8">
        <v>23.5</v>
      </c>
      <c r="C269" s="8">
        <v>113.5</v>
      </c>
      <c r="D269" s="8" t="s">
        <v>1088</v>
      </c>
      <c r="E269" s="8" t="s">
        <v>87</v>
      </c>
      <c r="F269" s="8" t="s">
        <v>30</v>
      </c>
      <c r="G269" s="8">
        <v>0.17</v>
      </c>
      <c r="H269" s="8" t="s">
        <v>2383</v>
      </c>
    </row>
    <row r="270" spans="1:8" x14ac:dyDescent="0.25">
      <c r="A270" s="7" t="s">
        <v>936</v>
      </c>
      <c r="B270" s="8">
        <v>40</v>
      </c>
      <c r="C270" s="8">
        <v>116.32</v>
      </c>
      <c r="D270" s="8" t="s">
        <v>299</v>
      </c>
      <c r="E270" s="8" t="s">
        <v>87</v>
      </c>
      <c r="F270" s="8" t="s">
        <v>17</v>
      </c>
      <c r="G270" s="8">
        <v>467.28</v>
      </c>
      <c r="H270" s="9" t="s">
        <v>2382</v>
      </c>
    </row>
    <row r="271" spans="1:8" x14ac:dyDescent="0.25">
      <c r="A271" s="7" t="s">
        <v>939</v>
      </c>
      <c r="B271" s="8">
        <v>40.17</v>
      </c>
      <c r="C271" s="8">
        <v>116.27</v>
      </c>
      <c r="D271" s="8" t="s">
        <v>299</v>
      </c>
      <c r="E271" s="8" t="s">
        <v>87</v>
      </c>
      <c r="F271" s="8" t="s">
        <v>17</v>
      </c>
      <c r="G271" s="8">
        <v>418.22</v>
      </c>
      <c r="H271" s="9" t="s">
        <v>2382</v>
      </c>
    </row>
    <row r="272" spans="1:8" x14ac:dyDescent="0.25">
      <c r="A272" s="7" t="s">
        <v>940</v>
      </c>
      <c r="B272" s="8">
        <v>39.96</v>
      </c>
      <c r="C272" s="8">
        <v>116.88</v>
      </c>
      <c r="D272" s="8" t="s">
        <v>299</v>
      </c>
      <c r="E272" s="8" t="s">
        <v>87</v>
      </c>
      <c r="F272" s="8" t="s">
        <v>17</v>
      </c>
      <c r="G272" s="8">
        <v>414.17</v>
      </c>
      <c r="H272" s="9" t="s">
        <v>2382</v>
      </c>
    </row>
    <row r="273" spans="1:8" x14ac:dyDescent="0.25">
      <c r="A273" s="7" t="s">
        <v>67</v>
      </c>
      <c r="B273" s="8">
        <v>6.74</v>
      </c>
      <c r="C273" s="8">
        <v>79.88</v>
      </c>
      <c r="D273" s="8" t="s">
        <v>1088</v>
      </c>
      <c r="E273" s="8" t="s">
        <v>0</v>
      </c>
      <c r="F273" s="8" t="s">
        <v>30</v>
      </c>
      <c r="G273" s="8">
        <v>0.02</v>
      </c>
      <c r="H273" s="9" t="s">
        <v>2383</v>
      </c>
    </row>
    <row r="274" spans="1:8" x14ac:dyDescent="0.25">
      <c r="A274" s="7" t="s">
        <v>72</v>
      </c>
      <c r="B274" s="8">
        <v>6.67</v>
      </c>
      <c r="C274" s="8">
        <v>79.59</v>
      </c>
      <c r="D274" s="8" t="s">
        <v>1088</v>
      </c>
      <c r="E274" s="8" t="s">
        <v>0</v>
      </c>
      <c r="F274" s="8" t="s">
        <v>30</v>
      </c>
      <c r="G274" s="8">
        <v>0</v>
      </c>
      <c r="H274" s="9" t="s">
        <v>2383</v>
      </c>
    </row>
    <row r="275" spans="1:8" x14ac:dyDescent="0.25">
      <c r="A275" s="7" t="s">
        <v>306</v>
      </c>
      <c r="B275" s="8">
        <v>7.27</v>
      </c>
      <c r="C275" s="8">
        <v>80.599999999999994</v>
      </c>
      <c r="D275" s="8" t="s">
        <v>299</v>
      </c>
      <c r="E275" s="8" t="s">
        <v>307</v>
      </c>
      <c r="F275" s="8" t="s">
        <v>30</v>
      </c>
      <c r="G275" s="8">
        <v>0.14000000000000001</v>
      </c>
      <c r="H275" s="9" t="s">
        <v>2383</v>
      </c>
    </row>
    <row r="276" spans="1:8" x14ac:dyDescent="0.25">
      <c r="A276" s="7" t="s">
        <v>309</v>
      </c>
      <c r="B276" s="8">
        <v>7.3</v>
      </c>
      <c r="C276" s="8">
        <v>80.63</v>
      </c>
      <c r="D276" s="8" t="s">
        <v>310</v>
      </c>
      <c r="E276" s="8" t="s">
        <v>307</v>
      </c>
      <c r="F276" s="8" t="s">
        <v>30</v>
      </c>
      <c r="G276" s="8">
        <v>7.0000000000000007E-2</v>
      </c>
      <c r="H276" s="9" t="s">
        <v>2383</v>
      </c>
    </row>
    <row r="277" spans="1:8" x14ac:dyDescent="0.25">
      <c r="A277" s="7" t="s">
        <v>302</v>
      </c>
      <c r="B277" s="8">
        <v>6.95</v>
      </c>
      <c r="C277" s="8">
        <v>80</v>
      </c>
      <c r="D277" s="8" t="s">
        <v>299</v>
      </c>
      <c r="E277" s="8" t="s">
        <v>300</v>
      </c>
      <c r="F277" s="8" t="s">
        <v>30</v>
      </c>
      <c r="G277" s="8">
        <v>0.23</v>
      </c>
      <c r="H277" s="9" t="s">
        <v>2383</v>
      </c>
    </row>
    <row r="278" spans="1:8" x14ac:dyDescent="0.25">
      <c r="A278" s="7" t="s">
        <v>304</v>
      </c>
      <c r="B278" s="8">
        <v>7.27</v>
      </c>
      <c r="C278" s="8">
        <v>80.22</v>
      </c>
      <c r="D278" s="8" t="s">
        <v>299</v>
      </c>
      <c r="E278" s="8" t="s">
        <v>300</v>
      </c>
      <c r="F278" s="8" t="s">
        <v>30</v>
      </c>
      <c r="G278" s="8">
        <v>0.09</v>
      </c>
      <c r="H278" s="9" t="s">
        <v>2383</v>
      </c>
    </row>
    <row r="279" spans="1:8" x14ac:dyDescent="0.25">
      <c r="A279" s="7" t="s">
        <v>330</v>
      </c>
      <c r="B279" s="8">
        <v>6.48</v>
      </c>
      <c r="C279" s="8">
        <v>79.900000000000006</v>
      </c>
      <c r="D279" s="8" t="s">
        <v>299</v>
      </c>
      <c r="E279" s="8" t="s">
        <v>332</v>
      </c>
      <c r="F279" s="8" t="s">
        <v>30</v>
      </c>
      <c r="G279" s="8">
        <v>0.03</v>
      </c>
      <c r="H279" s="9" t="s">
        <v>2383</v>
      </c>
    </row>
    <row r="280" spans="1:8" x14ac:dyDescent="0.25">
      <c r="A280" s="7" t="s">
        <v>941</v>
      </c>
      <c r="B280" s="8">
        <v>6.9</v>
      </c>
      <c r="C280" s="8">
        <v>79.849999999999994</v>
      </c>
      <c r="D280" s="8" t="s">
        <v>299</v>
      </c>
      <c r="E280" s="8" t="s">
        <v>87</v>
      </c>
      <c r="F280" s="8" t="s">
        <v>30</v>
      </c>
      <c r="G280" s="8">
        <v>0.15</v>
      </c>
      <c r="H280" s="9" t="s">
        <v>2383</v>
      </c>
    </row>
    <row r="281" spans="1:8" x14ac:dyDescent="0.25">
      <c r="A281" s="7" t="s">
        <v>334</v>
      </c>
      <c r="B281" s="8">
        <v>8.4</v>
      </c>
      <c r="C281" s="8">
        <v>79.900000000000006</v>
      </c>
      <c r="D281" s="8" t="s">
        <v>299</v>
      </c>
      <c r="E281" s="8" t="s">
        <v>332</v>
      </c>
      <c r="F281" s="8" t="s">
        <v>30</v>
      </c>
      <c r="G281" s="8">
        <v>0</v>
      </c>
      <c r="H281" s="9" t="s">
        <v>2383</v>
      </c>
    </row>
    <row r="282" spans="1:8" x14ac:dyDescent="0.25">
      <c r="A282" s="7" t="s">
        <v>486</v>
      </c>
      <c r="B282" s="8">
        <v>6.73</v>
      </c>
      <c r="C282" s="8">
        <v>80.05</v>
      </c>
      <c r="D282" s="8" t="s">
        <v>299</v>
      </c>
      <c r="E282" s="8" t="s">
        <v>478</v>
      </c>
      <c r="F282" s="8" t="s">
        <v>30</v>
      </c>
      <c r="G282" s="8">
        <v>0.01</v>
      </c>
      <c r="H282" s="9" t="s">
        <v>2383</v>
      </c>
    </row>
    <row r="283" spans="1:8" x14ac:dyDescent="0.25">
      <c r="A283" s="7" t="s">
        <v>422</v>
      </c>
      <c r="B283" s="8">
        <v>6.95</v>
      </c>
      <c r="C283" s="8">
        <v>79.900000000000006</v>
      </c>
      <c r="D283" s="8" t="s">
        <v>299</v>
      </c>
      <c r="E283" s="8" t="s">
        <v>332</v>
      </c>
      <c r="F283" s="8" t="s">
        <v>30</v>
      </c>
      <c r="G283" s="8">
        <v>0.09</v>
      </c>
      <c r="H283" s="9" t="s">
        <v>2383</v>
      </c>
    </row>
    <row r="284" spans="1:8" x14ac:dyDescent="0.25">
      <c r="A284" s="7" t="s">
        <v>424</v>
      </c>
      <c r="B284" s="8">
        <v>7.3</v>
      </c>
      <c r="C284" s="8">
        <v>80.239999999999995</v>
      </c>
      <c r="D284" s="8" t="s">
        <v>299</v>
      </c>
      <c r="E284" s="8" t="s">
        <v>332</v>
      </c>
      <c r="F284" s="8" t="s">
        <v>30</v>
      </c>
      <c r="G284" s="8">
        <v>7.0000000000000007E-2</v>
      </c>
      <c r="H284" s="9" t="s">
        <v>2383</v>
      </c>
    </row>
    <row r="285" spans="1:8" x14ac:dyDescent="0.25">
      <c r="A285" s="7" t="s">
        <v>943</v>
      </c>
      <c r="B285" s="8">
        <v>45.61</v>
      </c>
      <c r="C285" s="8">
        <v>126.39</v>
      </c>
      <c r="D285" s="8" t="s">
        <v>299</v>
      </c>
      <c r="E285" s="8" t="s">
        <v>87</v>
      </c>
      <c r="F285" s="8" t="s">
        <v>30</v>
      </c>
      <c r="G285" s="8">
        <v>1.83</v>
      </c>
      <c r="H285" s="8" t="s">
        <v>2383</v>
      </c>
    </row>
    <row r="286" spans="1:8" x14ac:dyDescent="0.25">
      <c r="A286" s="7" t="s">
        <v>958</v>
      </c>
      <c r="B286" s="8">
        <v>46.03</v>
      </c>
      <c r="C286" s="8">
        <v>126.24</v>
      </c>
      <c r="D286" s="8" t="s">
        <v>299</v>
      </c>
      <c r="E286" s="8" t="s">
        <v>87</v>
      </c>
      <c r="F286" s="8" t="s">
        <v>30</v>
      </c>
      <c r="G286" s="8">
        <v>1.5</v>
      </c>
      <c r="H286" s="8" t="s">
        <v>2383</v>
      </c>
    </row>
    <row r="287" spans="1:8" x14ac:dyDescent="0.25">
      <c r="A287" s="7" t="s">
        <v>961</v>
      </c>
      <c r="B287" s="8">
        <v>46.35</v>
      </c>
      <c r="C287" s="8">
        <v>126.7</v>
      </c>
      <c r="D287" s="8" t="s">
        <v>299</v>
      </c>
      <c r="E287" s="8" t="s">
        <v>87</v>
      </c>
      <c r="F287" s="8" t="s">
        <v>30</v>
      </c>
      <c r="G287" s="8">
        <v>1.31</v>
      </c>
      <c r="H287" s="8" t="s">
        <v>2383</v>
      </c>
    </row>
    <row r="288" spans="1:8" x14ac:dyDescent="0.25">
      <c r="A288" s="7" t="s">
        <v>964</v>
      </c>
      <c r="B288" s="8">
        <v>45.6</v>
      </c>
      <c r="C288" s="8">
        <v>126.56</v>
      </c>
      <c r="D288" s="8" t="s">
        <v>299</v>
      </c>
      <c r="E288" s="8" t="s">
        <v>87</v>
      </c>
      <c r="F288" s="8" t="s">
        <v>30</v>
      </c>
      <c r="G288" s="8">
        <v>2.83</v>
      </c>
      <c r="H288" s="9" t="s">
        <v>2383</v>
      </c>
    </row>
    <row r="289" spans="1:8" x14ac:dyDescent="0.25">
      <c r="A289" s="7" t="s">
        <v>967</v>
      </c>
      <c r="B289" s="8">
        <v>45.76</v>
      </c>
      <c r="C289" s="8">
        <v>126.9</v>
      </c>
      <c r="D289" s="8" t="s">
        <v>299</v>
      </c>
      <c r="E289" s="8" t="s">
        <v>87</v>
      </c>
      <c r="F289" s="8" t="s">
        <v>30</v>
      </c>
      <c r="G289" s="8">
        <v>2.0699999999999998</v>
      </c>
      <c r="H289" s="9" t="s">
        <v>2383</v>
      </c>
    </row>
    <row r="290" spans="1:8" x14ac:dyDescent="0.25">
      <c r="A290" s="7" t="s">
        <v>970</v>
      </c>
      <c r="B290" s="8">
        <v>45.54</v>
      </c>
      <c r="C290" s="8">
        <v>126.6</v>
      </c>
      <c r="D290" s="8" t="s">
        <v>299</v>
      </c>
      <c r="E290" s="8" t="s">
        <v>87</v>
      </c>
      <c r="F290" s="8" t="s">
        <v>30</v>
      </c>
      <c r="G290" s="8">
        <v>1.87</v>
      </c>
      <c r="H290" s="9" t="s">
        <v>2383</v>
      </c>
    </row>
    <row r="291" spans="1:8" x14ac:dyDescent="0.25">
      <c r="A291" s="7" t="s">
        <v>973</v>
      </c>
      <c r="B291" s="8">
        <v>45.55</v>
      </c>
      <c r="C291" s="8">
        <v>126.97</v>
      </c>
      <c r="D291" s="8" t="s">
        <v>299</v>
      </c>
      <c r="E291" s="8" t="s">
        <v>87</v>
      </c>
      <c r="F291" s="8" t="s">
        <v>30</v>
      </c>
      <c r="G291" s="8">
        <v>1.43</v>
      </c>
      <c r="H291" s="8" t="s">
        <v>2383</v>
      </c>
    </row>
    <row r="292" spans="1:8" x14ac:dyDescent="0.25">
      <c r="A292" s="7" t="s">
        <v>951</v>
      </c>
      <c r="B292" s="8">
        <v>45.83</v>
      </c>
      <c r="C292" s="8">
        <v>126.96</v>
      </c>
      <c r="D292" s="8" t="s">
        <v>299</v>
      </c>
      <c r="E292" s="8" t="s">
        <v>87</v>
      </c>
      <c r="F292" s="8" t="s">
        <v>30</v>
      </c>
      <c r="G292" s="8">
        <v>1.4</v>
      </c>
      <c r="H292" s="8" t="s">
        <v>2383</v>
      </c>
    </row>
    <row r="293" spans="1:8" x14ac:dyDescent="0.25">
      <c r="A293" s="7" t="s">
        <v>975</v>
      </c>
      <c r="B293" s="8">
        <v>32.119999999999997</v>
      </c>
      <c r="C293" s="8">
        <v>118.96</v>
      </c>
      <c r="D293" s="8" t="s">
        <v>299</v>
      </c>
      <c r="E293" s="8" t="s">
        <v>87</v>
      </c>
      <c r="F293" s="8" t="s">
        <v>1109</v>
      </c>
      <c r="G293" s="8">
        <v>302.31</v>
      </c>
      <c r="H293" s="9" t="s">
        <v>2382</v>
      </c>
    </row>
    <row r="294" spans="1:8" x14ac:dyDescent="0.25">
      <c r="A294" s="7" t="s">
        <v>975</v>
      </c>
      <c r="B294" s="8">
        <v>32.119999999999997</v>
      </c>
      <c r="C294" s="8">
        <v>118.96</v>
      </c>
      <c r="D294" s="8" t="s">
        <v>299</v>
      </c>
      <c r="E294" s="8" t="s">
        <v>87</v>
      </c>
      <c r="F294" s="8" t="s">
        <v>1109</v>
      </c>
      <c r="G294" s="8">
        <v>1.31</v>
      </c>
      <c r="H294" s="8" t="s">
        <v>2383</v>
      </c>
    </row>
    <row r="295" spans="1:8" x14ac:dyDescent="0.25">
      <c r="A295" s="7" t="s">
        <v>978</v>
      </c>
      <c r="B295" s="8">
        <v>23.42</v>
      </c>
      <c r="C295" s="8">
        <v>85.43</v>
      </c>
      <c r="D295" s="8" t="s">
        <v>299</v>
      </c>
      <c r="E295" s="8" t="s">
        <v>87</v>
      </c>
      <c r="F295" s="8" t="s">
        <v>30</v>
      </c>
      <c r="G295" s="8">
        <v>19789</v>
      </c>
      <c r="H295" s="9" t="s">
        <v>2382</v>
      </c>
    </row>
    <row r="296" spans="1:8" x14ac:dyDescent="0.25">
      <c r="A296" s="7" t="s">
        <v>114</v>
      </c>
      <c r="B296" s="8">
        <v>30</v>
      </c>
      <c r="C296" s="8">
        <v>80</v>
      </c>
      <c r="D296" s="8" t="s">
        <v>118</v>
      </c>
      <c r="E296" s="8" t="s">
        <v>119</v>
      </c>
      <c r="F296" s="8" t="s">
        <v>17</v>
      </c>
      <c r="G296" s="8">
        <v>41.12</v>
      </c>
      <c r="H296" s="9" t="s">
        <v>2382</v>
      </c>
    </row>
    <row r="297" spans="1:8" x14ac:dyDescent="0.25">
      <c r="A297" s="7" t="s">
        <v>543</v>
      </c>
      <c r="B297" s="8">
        <v>42.19</v>
      </c>
      <c r="C297" s="8">
        <v>-8.82</v>
      </c>
      <c r="D297" s="8" t="s">
        <v>299</v>
      </c>
      <c r="E297" s="8" t="s">
        <v>87</v>
      </c>
      <c r="F297" s="8" t="s">
        <v>17</v>
      </c>
      <c r="G297" s="8">
        <v>42.524999999999999</v>
      </c>
      <c r="H297" s="9" t="s">
        <v>2382</v>
      </c>
    </row>
    <row r="298" spans="1:8" x14ac:dyDescent="0.25">
      <c r="A298" s="7" t="s">
        <v>149</v>
      </c>
      <c r="B298" s="8">
        <v>28.08</v>
      </c>
      <c r="C298" s="8">
        <v>-15.46</v>
      </c>
      <c r="D298" s="8" t="s">
        <v>1152</v>
      </c>
      <c r="E298" s="8" t="s">
        <v>0</v>
      </c>
      <c r="F298" s="8" t="s">
        <v>17</v>
      </c>
      <c r="G298" s="8">
        <v>18.649999999999999</v>
      </c>
      <c r="H298" s="9" t="s">
        <v>2382</v>
      </c>
    </row>
    <row r="299" spans="1:8" x14ac:dyDescent="0.25">
      <c r="A299" s="7" t="s">
        <v>545</v>
      </c>
      <c r="B299" s="8">
        <v>40.6</v>
      </c>
      <c r="C299" s="8">
        <v>-3.71</v>
      </c>
      <c r="D299" s="8" t="s">
        <v>299</v>
      </c>
      <c r="E299" s="8" t="s">
        <v>87</v>
      </c>
      <c r="F299" s="8" t="s">
        <v>17</v>
      </c>
      <c r="G299" s="8">
        <v>5.7</v>
      </c>
      <c r="H299" s="9" t="s">
        <v>2382</v>
      </c>
    </row>
    <row r="300" spans="1:8" x14ac:dyDescent="0.25">
      <c r="A300" s="7" t="s">
        <v>547</v>
      </c>
      <c r="B300" s="8">
        <v>42.46</v>
      </c>
      <c r="C300" s="8">
        <v>-3.74</v>
      </c>
      <c r="D300" s="8" t="s">
        <v>299</v>
      </c>
      <c r="E300" s="8" t="s">
        <v>87</v>
      </c>
      <c r="F300" s="8" t="s">
        <v>17</v>
      </c>
      <c r="G300" s="8">
        <v>20.875</v>
      </c>
      <c r="H300" s="9" t="s">
        <v>2382</v>
      </c>
    </row>
    <row r="301" spans="1:8" x14ac:dyDescent="0.25">
      <c r="A301" s="7" t="s">
        <v>549</v>
      </c>
      <c r="B301" s="8">
        <v>42.46</v>
      </c>
      <c r="C301" s="8">
        <v>-3.34</v>
      </c>
      <c r="D301" s="8" t="s">
        <v>299</v>
      </c>
      <c r="E301" s="8" t="s">
        <v>87</v>
      </c>
      <c r="F301" s="8" t="s">
        <v>17</v>
      </c>
      <c r="G301" s="8">
        <v>75.8</v>
      </c>
      <c r="H301" s="9" t="s">
        <v>2382</v>
      </c>
    </row>
    <row r="302" spans="1:8" x14ac:dyDescent="0.25">
      <c r="A302" s="7" t="s">
        <v>551</v>
      </c>
      <c r="B302" s="8">
        <v>40.51</v>
      </c>
      <c r="C302" s="8">
        <v>-3.34</v>
      </c>
      <c r="D302" s="8" t="s">
        <v>299</v>
      </c>
      <c r="E302" s="8" t="s">
        <v>87</v>
      </c>
      <c r="F302" s="8" t="s">
        <v>17</v>
      </c>
      <c r="G302" s="8">
        <v>7.7750000000000004</v>
      </c>
      <c r="H302" s="9" t="s">
        <v>2382</v>
      </c>
    </row>
    <row r="303" spans="1:8" x14ac:dyDescent="0.25">
      <c r="A303" s="7" t="s">
        <v>553</v>
      </c>
      <c r="B303" s="8">
        <v>42.65</v>
      </c>
      <c r="C303" s="8">
        <v>-1.63</v>
      </c>
      <c r="D303" s="8" t="s">
        <v>299</v>
      </c>
      <c r="E303" s="8" t="s">
        <v>87</v>
      </c>
      <c r="F303" s="8" t="s">
        <v>17</v>
      </c>
      <c r="G303" s="8">
        <v>7.95</v>
      </c>
      <c r="H303" s="9" t="s">
        <v>2382</v>
      </c>
    </row>
    <row r="304" spans="1:8" x14ac:dyDescent="0.25">
      <c r="A304" s="7" t="s">
        <v>555</v>
      </c>
      <c r="B304" s="8">
        <v>41.44</v>
      </c>
      <c r="C304" s="8">
        <v>-1.17</v>
      </c>
      <c r="D304" s="8" t="s">
        <v>299</v>
      </c>
      <c r="E304" s="8" t="s">
        <v>87</v>
      </c>
      <c r="F304" s="8" t="s">
        <v>17</v>
      </c>
      <c r="G304" s="8">
        <v>58.975000000000001</v>
      </c>
      <c r="H304" s="9" t="s">
        <v>2382</v>
      </c>
    </row>
    <row r="305" spans="1:8" x14ac:dyDescent="0.25">
      <c r="A305" s="7" t="s">
        <v>557</v>
      </c>
      <c r="B305" s="8">
        <v>38.11</v>
      </c>
      <c r="C305" s="8">
        <v>-2.14</v>
      </c>
      <c r="D305" s="8" t="s">
        <v>299</v>
      </c>
      <c r="E305" s="8" t="s">
        <v>87</v>
      </c>
      <c r="F305" s="8" t="s">
        <v>17</v>
      </c>
      <c r="G305" s="8">
        <v>21.15</v>
      </c>
      <c r="H305" s="9" t="s">
        <v>2382</v>
      </c>
    </row>
    <row r="306" spans="1:8" x14ac:dyDescent="0.25">
      <c r="A306" s="7" t="s">
        <v>144</v>
      </c>
      <c r="B306" s="8">
        <v>28.29</v>
      </c>
      <c r="C306" s="8">
        <v>-16.149999999999999</v>
      </c>
      <c r="D306" s="8" t="s">
        <v>1152</v>
      </c>
      <c r="E306" s="8" t="s">
        <v>0</v>
      </c>
      <c r="F306" s="8" t="s">
        <v>17</v>
      </c>
      <c r="G306" s="8">
        <v>10.775</v>
      </c>
      <c r="H306" s="9" t="s">
        <v>2382</v>
      </c>
    </row>
    <row r="307" spans="1:8" x14ac:dyDescent="0.25">
      <c r="A307" s="7" t="s">
        <v>981</v>
      </c>
      <c r="B307" s="8">
        <v>30.91</v>
      </c>
      <c r="C307" s="8">
        <v>114.36</v>
      </c>
      <c r="D307" s="8" t="s">
        <v>299</v>
      </c>
      <c r="E307" s="8" t="s">
        <v>87</v>
      </c>
      <c r="F307" s="8" t="s">
        <v>17</v>
      </c>
      <c r="G307" s="8">
        <v>82.85</v>
      </c>
      <c r="H307" s="9" t="s">
        <v>2382</v>
      </c>
    </row>
    <row r="308" spans="1:8" x14ac:dyDescent="0.25">
      <c r="A308" s="7" t="s">
        <v>986</v>
      </c>
      <c r="B308" s="8">
        <v>53.55</v>
      </c>
      <c r="C308" s="8">
        <v>-9.99</v>
      </c>
      <c r="D308" s="8" t="s">
        <v>299</v>
      </c>
      <c r="E308" s="8" t="s">
        <v>87</v>
      </c>
      <c r="F308" s="8" t="s">
        <v>17</v>
      </c>
      <c r="G308" s="8">
        <v>147</v>
      </c>
      <c r="H308" s="9" t="s">
        <v>2382</v>
      </c>
    </row>
    <row r="309" spans="1:8" x14ac:dyDescent="0.25">
      <c r="A309" s="7" t="s">
        <v>1005</v>
      </c>
      <c r="B309" s="8">
        <v>53.55</v>
      </c>
      <c r="C309" s="8">
        <v>-9.99</v>
      </c>
      <c r="D309" s="8" t="s">
        <v>299</v>
      </c>
      <c r="E309" s="8" t="s">
        <v>87</v>
      </c>
      <c r="F309" s="8" t="s">
        <v>17</v>
      </c>
      <c r="G309" s="8">
        <v>53</v>
      </c>
      <c r="H309" s="9" t="s">
        <v>2382</v>
      </c>
    </row>
    <row r="310" spans="1:8" x14ac:dyDescent="0.25">
      <c r="A310" s="7" t="s">
        <v>1006</v>
      </c>
      <c r="B310" s="8">
        <v>53.55</v>
      </c>
      <c r="C310" s="8">
        <v>-9.99</v>
      </c>
      <c r="D310" s="8" t="s">
        <v>299</v>
      </c>
      <c r="E310" s="8" t="s">
        <v>87</v>
      </c>
      <c r="F310" s="8" t="s">
        <v>17</v>
      </c>
      <c r="G310" s="8">
        <v>71</v>
      </c>
      <c r="H310" s="9" t="s">
        <v>2382</v>
      </c>
    </row>
    <row r="311" spans="1:8" x14ac:dyDescent="0.25">
      <c r="A311" s="7" t="s">
        <v>990</v>
      </c>
      <c r="B311" s="8">
        <v>53.55</v>
      </c>
      <c r="C311" s="8">
        <v>-9.99</v>
      </c>
      <c r="D311" s="8" t="s">
        <v>299</v>
      </c>
      <c r="E311" s="8" t="s">
        <v>87</v>
      </c>
      <c r="F311" s="8" t="s">
        <v>17</v>
      </c>
      <c r="G311" s="8">
        <v>118</v>
      </c>
      <c r="H311" s="9" t="s">
        <v>2382</v>
      </c>
    </row>
    <row r="312" spans="1:8" x14ac:dyDescent="0.25">
      <c r="A312" s="7" t="s">
        <v>991</v>
      </c>
      <c r="B312" s="8">
        <v>53.55</v>
      </c>
      <c r="C312" s="8">
        <v>-9.99</v>
      </c>
      <c r="D312" s="8" t="s">
        <v>299</v>
      </c>
      <c r="E312" s="8" t="s">
        <v>87</v>
      </c>
      <c r="F312" s="8" t="s">
        <v>17</v>
      </c>
      <c r="G312" s="8">
        <v>153</v>
      </c>
      <c r="H312" s="9" t="s">
        <v>2382</v>
      </c>
    </row>
    <row r="313" spans="1:8" x14ac:dyDescent="0.25">
      <c r="A313" s="7" t="s">
        <v>993</v>
      </c>
      <c r="B313" s="8">
        <v>53.55</v>
      </c>
      <c r="C313" s="8">
        <v>-9.99</v>
      </c>
      <c r="D313" s="8" t="s">
        <v>299</v>
      </c>
      <c r="E313" s="8" t="s">
        <v>87</v>
      </c>
      <c r="F313" s="8" t="s">
        <v>17</v>
      </c>
      <c r="G313" s="8">
        <v>67</v>
      </c>
      <c r="H313" s="9" t="s">
        <v>2382</v>
      </c>
    </row>
    <row r="314" spans="1:8" x14ac:dyDescent="0.25">
      <c r="A314" s="7" t="s">
        <v>994</v>
      </c>
      <c r="B314" s="8">
        <v>53.55</v>
      </c>
      <c r="C314" s="8">
        <v>-9.99</v>
      </c>
      <c r="D314" s="8" t="s">
        <v>299</v>
      </c>
      <c r="E314" s="8" t="s">
        <v>87</v>
      </c>
      <c r="F314" s="8" t="s">
        <v>17</v>
      </c>
      <c r="G314" s="8">
        <v>53</v>
      </c>
      <c r="H314" s="9" t="s">
        <v>2382</v>
      </c>
    </row>
    <row r="315" spans="1:8" x14ac:dyDescent="0.25">
      <c r="A315" s="7" t="s">
        <v>996</v>
      </c>
      <c r="B315" s="8">
        <v>53.55</v>
      </c>
      <c r="C315" s="8">
        <v>-9.99</v>
      </c>
      <c r="D315" s="8" t="s">
        <v>299</v>
      </c>
      <c r="E315" s="8" t="s">
        <v>87</v>
      </c>
      <c r="F315" s="8" t="s">
        <v>17</v>
      </c>
      <c r="G315" s="8">
        <v>70</v>
      </c>
      <c r="H315" s="9" t="s">
        <v>2382</v>
      </c>
    </row>
    <row r="316" spans="1:8" x14ac:dyDescent="0.25">
      <c r="A316" s="7" t="s">
        <v>998</v>
      </c>
      <c r="B316" s="8">
        <v>53.55</v>
      </c>
      <c r="C316" s="8">
        <v>-9.99</v>
      </c>
      <c r="D316" s="8" t="s">
        <v>299</v>
      </c>
      <c r="E316" s="8" t="s">
        <v>87</v>
      </c>
      <c r="F316" s="8" t="s">
        <v>17</v>
      </c>
      <c r="G316" s="8">
        <v>65</v>
      </c>
      <c r="H316" s="8" t="s">
        <v>2382</v>
      </c>
    </row>
    <row r="317" spans="1:8" x14ac:dyDescent="0.25">
      <c r="A317" s="7" t="s">
        <v>1000</v>
      </c>
      <c r="B317" s="8">
        <v>53.55</v>
      </c>
      <c r="C317" s="8">
        <v>-9.99</v>
      </c>
      <c r="D317" s="8" t="s">
        <v>299</v>
      </c>
      <c r="E317" s="8" t="s">
        <v>87</v>
      </c>
      <c r="F317" s="8" t="s">
        <v>17</v>
      </c>
      <c r="G317" s="8">
        <v>72</v>
      </c>
      <c r="H317" s="9" t="s">
        <v>2382</v>
      </c>
    </row>
    <row r="318" spans="1:8" x14ac:dyDescent="0.25">
      <c r="A318" s="7" t="s">
        <v>1003</v>
      </c>
      <c r="B318" s="8">
        <v>53.55</v>
      </c>
      <c r="C318" s="8">
        <v>-9.99</v>
      </c>
      <c r="D318" s="8" t="s">
        <v>299</v>
      </c>
      <c r="E318" s="8" t="s">
        <v>87</v>
      </c>
      <c r="F318" s="8" t="s">
        <v>17</v>
      </c>
      <c r="G318" s="8">
        <v>71</v>
      </c>
      <c r="H318" s="9" t="s">
        <v>2382</v>
      </c>
    </row>
    <row r="319" spans="1:8" x14ac:dyDescent="0.25">
      <c r="A319" s="7" t="s">
        <v>1007</v>
      </c>
      <c r="B319" s="8">
        <v>40</v>
      </c>
      <c r="C319" s="8">
        <v>116.4</v>
      </c>
      <c r="D319" s="8" t="s">
        <v>299</v>
      </c>
      <c r="E319" s="8" t="s">
        <v>87</v>
      </c>
      <c r="F319" s="8" t="s">
        <v>30</v>
      </c>
      <c r="G319" s="8">
        <v>3</v>
      </c>
      <c r="H319" s="9" t="s">
        <v>2383</v>
      </c>
    </row>
    <row r="320" spans="1:8" x14ac:dyDescent="0.25">
      <c r="A320" s="7" t="s">
        <v>74</v>
      </c>
      <c r="B320" s="8">
        <v>31.2</v>
      </c>
      <c r="C320" s="8">
        <v>121.3</v>
      </c>
      <c r="D320" s="8" t="s">
        <v>1088</v>
      </c>
      <c r="E320" s="8" t="s">
        <v>0</v>
      </c>
      <c r="F320" s="8" t="s">
        <v>30</v>
      </c>
      <c r="G320" s="8">
        <v>1.7</v>
      </c>
      <c r="H320" s="8" t="s">
        <v>2383</v>
      </c>
    </row>
    <row r="321" spans="1:8" x14ac:dyDescent="0.25">
      <c r="A321" s="7" t="s">
        <v>1009</v>
      </c>
      <c r="B321" s="8">
        <v>40.799999999999997</v>
      </c>
      <c r="C321" s="8">
        <v>29.36</v>
      </c>
      <c r="D321" s="8" t="s">
        <v>299</v>
      </c>
      <c r="E321" s="8" t="s">
        <v>87</v>
      </c>
      <c r="F321" s="8" t="s">
        <v>30</v>
      </c>
      <c r="G321" s="8">
        <v>14998</v>
      </c>
      <c r="H321" s="9" t="s">
        <v>2383</v>
      </c>
    </row>
    <row r="322" spans="1:8" x14ac:dyDescent="0.25">
      <c r="A322" s="7" t="s">
        <v>1014</v>
      </c>
      <c r="B322" s="8">
        <v>28.98</v>
      </c>
      <c r="C322" s="8">
        <v>50.83</v>
      </c>
      <c r="D322" s="8" t="s">
        <v>299</v>
      </c>
      <c r="E322" s="8" t="s">
        <v>87</v>
      </c>
      <c r="F322" s="8" t="s">
        <v>30</v>
      </c>
      <c r="G322" s="8">
        <v>10.3</v>
      </c>
      <c r="H322" s="9" t="s">
        <v>2383</v>
      </c>
    </row>
    <row r="323" spans="1:8" x14ac:dyDescent="0.25">
      <c r="A323" s="7" t="s">
        <v>540</v>
      </c>
      <c r="B323" s="8">
        <v>31.26</v>
      </c>
      <c r="C323" s="8">
        <v>121.5</v>
      </c>
      <c r="D323" s="8" t="s">
        <v>299</v>
      </c>
      <c r="E323" s="8" t="s">
        <v>87</v>
      </c>
      <c r="F323" s="8" t="s">
        <v>17</v>
      </c>
      <c r="G323" s="8">
        <v>2100</v>
      </c>
      <c r="H323" s="9" t="s">
        <v>2382</v>
      </c>
    </row>
    <row r="324" spans="1:8" x14ac:dyDescent="0.25">
      <c r="A324" s="7" t="s">
        <v>559</v>
      </c>
      <c r="B324" s="8">
        <v>31.34</v>
      </c>
      <c r="C324" s="8">
        <v>121.52</v>
      </c>
      <c r="D324" s="8" t="s">
        <v>299</v>
      </c>
      <c r="E324" s="8" t="s">
        <v>87</v>
      </c>
      <c r="F324" s="8" t="s">
        <v>30</v>
      </c>
      <c r="G324" s="8">
        <v>5.6</v>
      </c>
      <c r="H324" s="9" t="s">
        <v>2383</v>
      </c>
    </row>
    <row r="325" spans="1:8" x14ac:dyDescent="0.25">
      <c r="A325" s="7" t="s">
        <v>388</v>
      </c>
      <c r="B325" s="8">
        <v>50.49</v>
      </c>
      <c r="C325" s="8">
        <v>9.94</v>
      </c>
      <c r="D325" s="8" t="s">
        <v>299</v>
      </c>
      <c r="E325" s="8" t="s">
        <v>332</v>
      </c>
      <c r="F325" s="8" t="s">
        <v>30</v>
      </c>
      <c r="G325" s="8">
        <v>59</v>
      </c>
      <c r="H325" s="9" t="s">
        <v>2382</v>
      </c>
    </row>
    <row r="326" spans="1:8" x14ac:dyDescent="0.25">
      <c r="A326" s="7" t="s">
        <v>563</v>
      </c>
      <c r="B326" s="8">
        <v>51.33</v>
      </c>
      <c r="C326" s="8">
        <v>9.52</v>
      </c>
      <c r="D326" s="8" t="s">
        <v>299</v>
      </c>
      <c r="E326" s="8" t="s">
        <v>87</v>
      </c>
      <c r="F326" s="8" t="s">
        <v>30</v>
      </c>
      <c r="G326" s="8">
        <v>73</v>
      </c>
      <c r="H326" s="9" t="s">
        <v>2382</v>
      </c>
    </row>
    <row r="327" spans="1:8" x14ac:dyDescent="0.25">
      <c r="A327" s="7" t="s">
        <v>566</v>
      </c>
      <c r="B327" s="8">
        <v>53.12</v>
      </c>
      <c r="C327" s="8">
        <v>8.7100000000000009</v>
      </c>
      <c r="D327" s="8" t="s">
        <v>299</v>
      </c>
      <c r="E327" s="8" t="s">
        <v>87</v>
      </c>
      <c r="F327" s="8" t="s">
        <v>30</v>
      </c>
      <c r="G327" s="8">
        <v>114</v>
      </c>
      <c r="H327" s="9" t="s">
        <v>2382</v>
      </c>
    </row>
    <row r="328" spans="1:8" x14ac:dyDescent="0.25">
      <c r="A328" s="7" t="s">
        <v>569</v>
      </c>
      <c r="B328" s="8">
        <v>53.57</v>
      </c>
      <c r="C328" s="8">
        <v>8.57</v>
      </c>
      <c r="D328" s="8" t="s">
        <v>299</v>
      </c>
      <c r="E328" s="8" t="s">
        <v>87</v>
      </c>
      <c r="F328" s="8" t="s">
        <v>30</v>
      </c>
      <c r="G328" s="8">
        <v>183</v>
      </c>
      <c r="H328" s="9" t="s">
        <v>2382</v>
      </c>
    </row>
    <row r="329" spans="1:8" x14ac:dyDescent="0.25">
      <c r="A329" s="7" t="s">
        <v>435</v>
      </c>
      <c r="B329" s="8">
        <v>52.17</v>
      </c>
      <c r="C329" s="8">
        <v>9.06</v>
      </c>
      <c r="D329" s="8" t="s">
        <v>299</v>
      </c>
      <c r="E329" s="8" t="s">
        <v>82</v>
      </c>
      <c r="F329" s="8" t="s">
        <v>30</v>
      </c>
      <c r="G329" s="8">
        <v>29</v>
      </c>
      <c r="H329" s="9" t="s">
        <v>2382</v>
      </c>
    </row>
    <row r="330" spans="1:8" x14ac:dyDescent="0.25">
      <c r="A330" s="7" t="s">
        <v>394</v>
      </c>
      <c r="B330" s="8">
        <v>51.71</v>
      </c>
      <c r="C330" s="8">
        <v>9.5500000000000007</v>
      </c>
      <c r="D330" s="8" t="s">
        <v>299</v>
      </c>
      <c r="E330" s="8" t="s">
        <v>332</v>
      </c>
      <c r="F330" s="8" t="s">
        <v>30</v>
      </c>
      <c r="G330" s="8">
        <v>48</v>
      </c>
      <c r="H330" s="9" t="s">
        <v>2382</v>
      </c>
    </row>
    <row r="331" spans="1:8" x14ac:dyDescent="0.25">
      <c r="A331" s="7" t="s">
        <v>572</v>
      </c>
      <c r="B331" s="8">
        <v>29.6</v>
      </c>
      <c r="C331" s="8">
        <v>53</v>
      </c>
      <c r="D331" s="8" t="s">
        <v>299</v>
      </c>
      <c r="E331" s="8" t="s">
        <v>87</v>
      </c>
      <c r="F331" s="8" t="s">
        <v>17</v>
      </c>
      <c r="G331" s="8">
        <v>472.66666670000001</v>
      </c>
      <c r="H331" s="9" t="s">
        <v>2382</v>
      </c>
    </row>
    <row r="332" spans="1:8" x14ac:dyDescent="0.25">
      <c r="A332" s="7" t="s">
        <v>574</v>
      </c>
      <c r="B332" s="8">
        <v>29.63</v>
      </c>
      <c r="C332" s="8">
        <v>52.5</v>
      </c>
      <c r="D332" s="8" t="s">
        <v>299</v>
      </c>
      <c r="E332" s="8" t="s">
        <v>87</v>
      </c>
      <c r="F332" s="8" t="s">
        <v>17</v>
      </c>
      <c r="G332" s="8">
        <v>240</v>
      </c>
      <c r="H332" s="9" t="s">
        <v>2382</v>
      </c>
    </row>
    <row r="333" spans="1:8" x14ac:dyDescent="0.25">
      <c r="A333" s="7" t="s">
        <v>576</v>
      </c>
      <c r="B333" s="8">
        <v>29.6</v>
      </c>
      <c r="C333" s="8">
        <v>52.5</v>
      </c>
      <c r="D333" s="8" t="s">
        <v>299</v>
      </c>
      <c r="E333" s="8" t="s">
        <v>87</v>
      </c>
      <c r="F333" s="8" t="s">
        <v>17</v>
      </c>
      <c r="G333" s="8">
        <v>248</v>
      </c>
      <c r="H333" s="9" t="s">
        <v>2382</v>
      </c>
    </row>
    <row r="334" spans="1:8" x14ac:dyDescent="0.25">
      <c r="A334" s="7" t="s">
        <v>578</v>
      </c>
      <c r="B334" s="8">
        <v>29.7</v>
      </c>
      <c r="C334" s="8">
        <v>52.5</v>
      </c>
      <c r="D334" s="8" t="s">
        <v>299</v>
      </c>
      <c r="E334" s="8" t="s">
        <v>87</v>
      </c>
      <c r="F334" s="8" t="s">
        <v>17</v>
      </c>
      <c r="G334" s="8">
        <v>448.47272729999997</v>
      </c>
      <c r="H334" s="9" t="s">
        <v>2382</v>
      </c>
    </row>
    <row r="335" spans="1:8" x14ac:dyDescent="0.25">
      <c r="A335" s="7" t="s">
        <v>580</v>
      </c>
      <c r="B335" s="8">
        <v>29.62</v>
      </c>
      <c r="C335" s="8">
        <v>52.5</v>
      </c>
      <c r="D335" s="8" t="s">
        <v>299</v>
      </c>
      <c r="E335" s="8" t="s">
        <v>87</v>
      </c>
      <c r="F335" s="8" t="s">
        <v>17</v>
      </c>
      <c r="G335" s="8">
        <v>215.37391299999999</v>
      </c>
      <c r="H335" s="9" t="s">
        <v>2382</v>
      </c>
    </row>
    <row r="336" spans="1:8" x14ac:dyDescent="0.25">
      <c r="A336" s="7" t="s">
        <v>344</v>
      </c>
      <c r="B336" s="8">
        <v>29.85</v>
      </c>
      <c r="C336" s="8">
        <v>52.65</v>
      </c>
      <c r="D336" s="8" t="s">
        <v>299</v>
      </c>
      <c r="E336" s="8" t="s">
        <v>332</v>
      </c>
      <c r="F336" s="8" t="s">
        <v>17</v>
      </c>
      <c r="G336" s="8">
        <v>324.3428571</v>
      </c>
      <c r="H336" s="9" t="s">
        <v>2382</v>
      </c>
    </row>
    <row r="337" spans="1:8" x14ac:dyDescent="0.25">
      <c r="A337" s="7" t="s">
        <v>295</v>
      </c>
      <c r="B337" s="8">
        <v>32.28</v>
      </c>
      <c r="C337" s="8">
        <v>48.7</v>
      </c>
      <c r="D337" s="8" t="s">
        <v>299</v>
      </c>
      <c r="E337" s="8" t="s">
        <v>300</v>
      </c>
      <c r="F337" s="8" t="s">
        <v>30</v>
      </c>
      <c r="G337" s="8">
        <v>1.4999999999999999E-2</v>
      </c>
      <c r="H337" s="9" t="s">
        <v>2383</v>
      </c>
    </row>
    <row r="338" spans="1:8" x14ac:dyDescent="0.25">
      <c r="A338" s="7" t="s">
        <v>582</v>
      </c>
      <c r="B338" s="8">
        <v>31.3</v>
      </c>
      <c r="C338" s="8">
        <v>48.47</v>
      </c>
      <c r="D338" s="8" t="s">
        <v>299</v>
      </c>
      <c r="E338" s="8" t="s">
        <v>87</v>
      </c>
      <c r="F338" s="8" t="s">
        <v>30</v>
      </c>
      <c r="G338" s="8">
        <v>0.01</v>
      </c>
      <c r="H338" s="9" t="s">
        <v>2383</v>
      </c>
    </row>
    <row r="339" spans="1:8" x14ac:dyDescent="0.25">
      <c r="A339" s="7" t="s">
        <v>438</v>
      </c>
      <c r="B339" s="8">
        <v>48.84</v>
      </c>
      <c r="C339" s="8">
        <v>2.58</v>
      </c>
      <c r="D339" s="8" t="s">
        <v>299</v>
      </c>
      <c r="E339" s="8" t="s">
        <v>82</v>
      </c>
      <c r="F339" s="8" t="s">
        <v>17</v>
      </c>
      <c r="G339" s="8">
        <v>34.4</v>
      </c>
      <c r="H339" s="9" t="s">
        <v>2382</v>
      </c>
    </row>
    <row r="340" spans="1:8" x14ac:dyDescent="0.25">
      <c r="A340" s="7" t="s">
        <v>585</v>
      </c>
      <c r="B340" s="8">
        <v>40</v>
      </c>
      <c r="C340" s="8">
        <v>116.33</v>
      </c>
      <c r="D340" s="8" t="s">
        <v>299</v>
      </c>
      <c r="E340" s="8" t="s">
        <v>87</v>
      </c>
      <c r="F340" s="8" t="s">
        <v>30</v>
      </c>
      <c r="G340" s="8">
        <v>393</v>
      </c>
      <c r="H340" s="9" t="s">
        <v>2383</v>
      </c>
    </row>
    <row r="341" spans="1:8" x14ac:dyDescent="0.25">
      <c r="A341" s="7" t="s">
        <v>594</v>
      </c>
      <c r="B341" s="8">
        <v>32.130000000000003</v>
      </c>
      <c r="C341" s="8">
        <v>118.78</v>
      </c>
      <c r="D341" s="8" t="s">
        <v>299</v>
      </c>
      <c r="E341" s="8" t="s">
        <v>87</v>
      </c>
      <c r="F341" s="8" t="s">
        <v>30</v>
      </c>
      <c r="G341" s="8">
        <v>177</v>
      </c>
      <c r="H341" s="9" t="s">
        <v>2383</v>
      </c>
    </row>
    <row r="342" spans="1:8" x14ac:dyDescent="0.25">
      <c r="A342" s="7" t="s">
        <v>599</v>
      </c>
      <c r="B342" s="8">
        <v>30.27</v>
      </c>
      <c r="C342" s="8">
        <v>120.2</v>
      </c>
      <c r="D342" s="8" t="s">
        <v>299</v>
      </c>
      <c r="E342" s="8" t="s">
        <v>87</v>
      </c>
      <c r="F342" s="8" t="s">
        <v>30</v>
      </c>
      <c r="G342" s="8">
        <v>246</v>
      </c>
      <c r="H342" s="9" t="s">
        <v>2383</v>
      </c>
    </row>
    <row r="343" spans="1:8" x14ac:dyDescent="0.25">
      <c r="A343" s="7" t="s">
        <v>588</v>
      </c>
      <c r="B343" s="8">
        <v>40</v>
      </c>
      <c r="C343" s="8">
        <v>117.33</v>
      </c>
      <c r="D343" s="8" t="s">
        <v>299</v>
      </c>
      <c r="E343" s="8" t="s">
        <v>87</v>
      </c>
      <c r="F343" s="8" t="s">
        <v>30</v>
      </c>
      <c r="G343" s="8">
        <v>324</v>
      </c>
      <c r="H343" s="9" t="s">
        <v>2383</v>
      </c>
    </row>
    <row r="344" spans="1:8" x14ac:dyDescent="0.25">
      <c r="A344" s="7" t="s">
        <v>591</v>
      </c>
      <c r="B344" s="8">
        <v>31.23</v>
      </c>
      <c r="C344" s="8">
        <v>121.43</v>
      </c>
      <c r="D344" s="8" t="s">
        <v>299</v>
      </c>
      <c r="E344" s="8" t="s">
        <v>87</v>
      </c>
      <c r="F344" s="8" t="s">
        <v>30</v>
      </c>
      <c r="G344" s="8">
        <v>267</v>
      </c>
      <c r="H344" s="9" t="s">
        <v>2383</v>
      </c>
    </row>
    <row r="345" spans="1:8" x14ac:dyDescent="0.25">
      <c r="A345" s="7" t="s">
        <v>151</v>
      </c>
      <c r="B345" s="8">
        <v>54.5</v>
      </c>
      <c r="C345" s="8">
        <v>18.600000000000001</v>
      </c>
      <c r="D345" s="8" t="s">
        <v>1088</v>
      </c>
      <c r="E345" s="8" t="s">
        <v>0</v>
      </c>
      <c r="F345" s="8" t="s">
        <v>1109</v>
      </c>
      <c r="G345" s="8">
        <v>451</v>
      </c>
      <c r="H345" s="9" t="s">
        <v>2383</v>
      </c>
    </row>
    <row r="346" spans="1:8" x14ac:dyDescent="0.25">
      <c r="A346" s="7" t="s">
        <v>155</v>
      </c>
      <c r="B346" s="8">
        <v>56</v>
      </c>
      <c r="C346" s="8">
        <v>19</v>
      </c>
      <c r="D346" s="8" t="s">
        <v>1088</v>
      </c>
      <c r="E346" s="8" t="s">
        <v>0</v>
      </c>
      <c r="F346" s="8" t="s">
        <v>1109</v>
      </c>
      <c r="G346" s="8">
        <v>41.5</v>
      </c>
      <c r="H346" s="9" t="s">
        <v>2383</v>
      </c>
    </row>
    <row r="347" spans="1:8" x14ac:dyDescent="0.25">
      <c r="A347" s="7" t="s">
        <v>157</v>
      </c>
      <c r="B347" s="8">
        <v>56.5</v>
      </c>
      <c r="C347" s="8">
        <v>17.5</v>
      </c>
      <c r="D347" s="8" t="s">
        <v>1088</v>
      </c>
      <c r="E347" s="8" t="s">
        <v>0</v>
      </c>
      <c r="F347" s="8" t="s">
        <v>1109</v>
      </c>
      <c r="G347" s="8">
        <v>21</v>
      </c>
      <c r="H347" s="9" t="s">
        <v>2383</v>
      </c>
    </row>
    <row r="348" spans="1:8" x14ac:dyDescent="0.25">
      <c r="A348" s="7" t="s">
        <v>159</v>
      </c>
      <c r="B348" s="8">
        <v>57.5</v>
      </c>
      <c r="C348" s="8">
        <v>19</v>
      </c>
      <c r="D348" s="8" t="s">
        <v>1088</v>
      </c>
      <c r="E348" s="8" t="s">
        <v>0</v>
      </c>
      <c r="F348" s="8" t="s">
        <v>1109</v>
      </c>
      <c r="G348" s="8">
        <v>65</v>
      </c>
      <c r="H348" s="8" t="s">
        <v>2383</v>
      </c>
    </row>
    <row r="349" spans="1:8" x14ac:dyDescent="0.25">
      <c r="A349" s="7" t="s">
        <v>604</v>
      </c>
      <c r="B349" s="8">
        <v>51.32</v>
      </c>
      <c r="C349" s="8">
        <v>9.52</v>
      </c>
      <c r="D349" s="8" t="s">
        <v>299</v>
      </c>
      <c r="E349" s="8" t="s">
        <v>87</v>
      </c>
      <c r="F349" s="8" t="s">
        <v>17</v>
      </c>
      <c r="G349" s="8">
        <v>17</v>
      </c>
      <c r="H349" s="9" t="s">
        <v>2382</v>
      </c>
    </row>
    <row r="350" spans="1:8" x14ac:dyDescent="0.25">
      <c r="A350" s="7" t="s">
        <v>604</v>
      </c>
      <c r="B350" s="8">
        <v>51.32</v>
      </c>
      <c r="C350" s="8">
        <v>9.52</v>
      </c>
      <c r="D350" s="8" t="s">
        <v>299</v>
      </c>
      <c r="E350" s="8" t="s">
        <v>87</v>
      </c>
      <c r="F350" s="8" t="s">
        <v>17</v>
      </c>
      <c r="G350" s="8">
        <v>2</v>
      </c>
      <c r="H350" s="9" t="s">
        <v>2383</v>
      </c>
    </row>
    <row r="351" spans="1:8" x14ac:dyDescent="0.25">
      <c r="A351" s="7" t="s">
        <v>607</v>
      </c>
      <c r="B351" s="8">
        <v>36.08</v>
      </c>
      <c r="C351" s="8">
        <v>114.33</v>
      </c>
      <c r="D351" s="8" t="s">
        <v>299</v>
      </c>
      <c r="E351" s="8" t="s">
        <v>87</v>
      </c>
      <c r="F351" s="8" t="s">
        <v>30</v>
      </c>
      <c r="G351" s="8">
        <v>0.42</v>
      </c>
      <c r="H351" s="9" t="s">
        <v>2383</v>
      </c>
    </row>
    <row r="352" spans="1:8" x14ac:dyDescent="0.25">
      <c r="A352" s="7" t="s">
        <v>161</v>
      </c>
      <c r="B352" s="8">
        <v>12.68</v>
      </c>
      <c r="C352" s="8">
        <v>128.56</v>
      </c>
      <c r="D352" s="8" t="s">
        <v>1151</v>
      </c>
      <c r="E352" s="8" t="s">
        <v>0</v>
      </c>
      <c r="F352" s="8" t="s">
        <v>30</v>
      </c>
      <c r="G352" s="8">
        <v>6.94E-3</v>
      </c>
      <c r="H352" s="9" t="s">
        <v>2383</v>
      </c>
    </row>
    <row r="353" spans="1:8" x14ac:dyDescent="0.25">
      <c r="A353" s="7" t="s">
        <v>177</v>
      </c>
      <c r="B353" s="8">
        <v>1.92</v>
      </c>
      <c r="C353" s="8">
        <v>142.03</v>
      </c>
      <c r="D353" s="8" t="s">
        <v>1151</v>
      </c>
      <c r="E353" s="8" t="s">
        <v>0</v>
      </c>
      <c r="F353" s="8" t="s">
        <v>30</v>
      </c>
      <c r="G353" s="8">
        <v>1.389E-2</v>
      </c>
      <c r="H353" s="9" t="s">
        <v>2383</v>
      </c>
    </row>
    <row r="354" spans="1:8" x14ac:dyDescent="0.25">
      <c r="A354" s="7" t="s">
        <v>179</v>
      </c>
      <c r="B354" s="8">
        <v>-0.05</v>
      </c>
      <c r="C354" s="8">
        <v>142.03</v>
      </c>
      <c r="D354" s="8" t="s">
        <v>1151</v>
      </c>
      <c r="E354" s="8" t="s">
        <v>0</v>
      </c>
      <c r="F354" s="8" t="s">
        <v>30</v>
      </c>
      <c r="G354" s="8">
        <v>0</v>
      </c>
      <c r="H354" s="9" t="s">
        <v>2383</v>
      </c>
    </row>
    <row r="355" spans="1:8" x14ac:dyDescent="0.25">
      <c r="A355" s="7" t="s">
        <v>181</v>
      </c>
      <c r="B355" s="8">
        <v>-2.02</v>
      </c>
      <c r="C355" s="8">
        <v>163.04</v>
      </c>
      <c r="D355" s="8" t="s">
        <v>1151</v>
      </c>
      <c r="E355" s="8" t="s">
        <v>0</v>
      </c>
      <c r="F355" s="8" t="s">
        <v>30</v>
      </c>
      <c r="G355" s="8">
        <v>0</v>
      </c>
      <c r="H355" s="9" t="s">
        <v>2383</v>
      </c>
    </row>
    <row r="356" spans="1:8" x14ac:dyDescent="0.25">
      <c r="A356" s="7" t="s">
        <v>183</v>
      </c>
      <c r="B356" s="8">
        <v>0.61</v>
      </c>
      <c r="C356" s="8">
        <v>163.01</v>
      </c>
      <c r="D356" s="8" t="s">
        <v>1151</v>
      </c>
      <c r="E356" s="8" t="s">
        <v>0</v>
      </c>
      <c r="F356" s="8" t="s">
        <v>30</v>
      </c>
      <c r="G356" s="8">
        <v>6.94E-3</v>
      </c>
      <c r="H356" s="9" t="s">
        <v>2383</v>
      </c>
    </row>
    <row r="357" spans="1:8" x14ac:dyDescent="0.25">
      <c r="A357" s="7" t="s">
        <v>185</v>
      </c>
      <c r="B357" s="8">
        <v>4.01</v>
      </c>
      <c r="C357" s="8">
        <v>163.01</v>
      </c>
      <c r="D357" s="8" t="s">
        <v>1151</v>
      </c>
      <c r="E357" s="8" t="s">
        <v>0</v>
      </c>
      <c r="F357" s="8" t="s">
        <v>30</v>
      </c>
      <c r="G357" s="8">
        <v>3.47E-3</v>
      </c>
      <c r="H357" s="9" t="s">
        <v>2383</v>
      </c>
    </row>
    <row r="358" spans="1:8" x14ac:dyDescent="0.25">
      <c r="A358" s="7" t="s">
        <v>187</v>
      </c>
      <c r="B358" s="8">
        <v>6.16</v>
      </c>
      <c r="C358" s="8">
        <v>160.38</v>
      </c>
      <c r="D358" s="8" t="s">
        <v>1151</v>
      </c>
      <c r="E358" s="8" t="s">
        <v>0</v>
      </c>
      <c r="F358" s="8" t="s">
        <v>30</v>
      </c>
      <c r="G358" s="8">
        <v>6.94E-3</v>
      </c>
      <c r="H358" s="9" t="s">
        <v>2383</v>
      </c>
    </row>
    <row r="359" spans="1:8" x14ac:dyDescent="0.25">
      <c r="A359" s="7" t="s">
        <v>189</v>
      </c>
      <c r="B359" s="8">
        <v>3.71</v>
      </c>
      <c r="C359" s="8">
        <v>150.56</v>
      </c>
      <c r="D359" s="8" t="s">
        <v>1151</v>
      </c>
      <c r="E359" s="8" t="s">
        <v>0</v>
      </c>
      <c r="F359" s="8" t="s">
        <v>30</v>
      </c>
      <c r="G359" s="8">
        <v>6.94E-3</v>
      </c>
      <c r="H359" s="9" t="s">
        <v>2383</v>
      </c>
    </row>
    <row r="360" spans="1:8" x14ac:dyDescent="0.25">
      <c r="A360" s="7" t="s">
        <v>191</v>
      </c>
      <c r="B360" s="8">
        <v>2.2200000000000002</v>
      </c>
      <c r="C360" s="8">
        <v>147.02000000000001</v>
      </c>
      <c r="D360" s="8" t="s">
        <v>1151</v>
      </c>
      <c r="E360" s="8" t="s">
        <v>0</v>
      </c>
      <c r="F360" s="8" t="s">
        <v>30</v>
      </c>
      <c r="G360" s="8">
        <v>2.6669999999999999E-2</v>
      </c>
      <c r="H360" s="9" t="s">
        <v>2383</v>
      </c>
    </row>
    <row r="361" spans="1:8" x14ac:dyDescent="0.25">
      <c r="A361" s="7" t="s">
        <v>193</v>
      </c>
      <c r="B361" s="8">
        <v>1.95</v>
      </c>
      <c r="C361" s="8">
        <v>141.18</v>
      </c>
      <c r="D361" s="8" t="s">
        <v>1151</v>
      </c>
      <c r="E361" s="8" t="s">
        <v>0</v>
      </c>
      <c r="F361" s="8" t="s">
        <v>30</v>
      </c>
      <c r="G361" s="8">
        <v>4.6299999999999996E-3</v>
      </c>
      <c r="H361" s="9" t="s">
        <v>2383</v>
      </c>
    </row>
    <row r="362" spans="1:8" x14ac:dyDescent="0.25">
      <c r="A362" s="7" t="s">
        <v>195</v>
      </c>
      <c r="B362" s="8">
        <v>4.46</v>
      </c>
      <c r="C362" s="8">
        <v>142</v>
      </c>
      <c r="D362" s="8" t="s">
        <v>1151</v>
      </c>
      <c r="E362" s="8" t="s">
        <v>0</v>
      </c>
      <c r="F362" s="8" t="s">
        <v>30</v>
      </c>
      <c r="G362" s="8">
        <v>3.47E-3</v>
      </c>
      <c r="H362" s="9" t="s">
        <v>2383</v>
      </c>
    </row>
    <row r="363" spans="1:8" x14ac:dyDescent="0.25">
      <c r="A363" s="7" t="s">
        <v>165</v>
      </c>
      <c r="B363" s="8">
        <v>12.57</v>
      </c>
      <c r="C363" s="8">
        <v>130.69999999999999</v>
      </c>
      <c r="D363" s="8" t="s">
        <v>1151</v>
      </c>
      <c r="E363" s="8" t="s">
        <v>0</v>
      </c>
      <c r="F363" s="8" t="s">
        <v>30</v>
      </c>
      <c r="G363" s="8">
        <v>1.389E-2</v>
      </c>
      <c r="H363" s="9" t="s">
        <v>2383</v>
      </c>
    </row>
    <row r="364" spans="1:8" x14ac:dyDescent="0.25">
      <c r="A364" s="7" t="s">
        <v>197</v>
      </c>
      <c r="B364" s="8">
        <v>4.68</v>
      </c>
      <c r="C364" s="8">
        <v>140.16</v>
      </c>
      <c r="D364" s="8" t="s">
        <v>1151</v>
      </c>
      <c r="E364" s="8" t="s">
        <v>0</v>
      </c>
      <c r="F364" s="8" t="s">
        <v>30</v>
      </c>
      <c r="G364" s="8">
        <v>1.389E-2</v>
      </c>
      <c r="H364" s="9" t="s">
        <v>2383</v>
      </c>
    </row>
    <row r="365" spans="1:8" x14ac:dyDescent="0.25">
      <c r="A365" s="7" t="s">
        <v>199</v>
      </c>
      <c r="B365" s="8">
        <v>6.97</v>
      </c>
      <c r="C365" s="8">
        <v>158.15</v>
      </c>
      <c r="D365" s="8" t="s">
        <v>1151</v>
      </c>
      <c r="E365" s="8" t="s">
        <v>0</v>
      </c>
      <c r="F365" s="8" t="s">
        <v>30</v>
      </c>
      <c r="G365" s="8">
        <v>6.94E-3</v>
      </c>
      <c r="H365" s="9" t="s">
        <v>2383</v>
      </c>
    </row>
    <row r="366" spans="1:8" x14ac:dyDescent="0.25">
      <c r="A366" s="7" t="s">
        <v>201</v>
      </c>
      <c r="B366" s="8">
        <v>2.39</v>
      </c>
      <c r="C366" s="8">
        <v>142.03</v>
      </c>
      <c r="D366" s="8" t="s">
        <v>1151</v>
      </c>
      <c r="E366" s="8" t="s">
        <v>0</v>
      </c>
      <c r="F366" s="8" t="s">
        <v>30</v>
      </c>
      <c r="G366" s="8">
        <v>6.94E-3</v>
      </c>
      <c r="H366" s="9" t="s">
        <v>2383</v>
      </c>
    </row>
    <row r="367" spans="1:8" x14ac:dyDescent="0.25">
      <c r="A367" s="7" t="s">
        <v>203</v>
      </c>
      <c r="B367" s="8">
        <v>6.64</v>
      </c>
      <c r="C367" s="8">
        <v>141.94999999999999</v>
      </c>
      <c r="D367" s="8" t="s">
        <v>1151</v>
      </c>
      <c r="E367" s="8" t="s">
        <v>0</v>
      </c>
      <c r="F367" s="8" t="s">
        <v>30</v>
      </c>
      <c r="G367" s="8">
        <v>0</v>
      </c>
      <c r="H367" s="9" t="s">
        <v>2383</v>
      </c>
    </row>
    <row r="368" spans="1:8" x14ac:dyDescent="0.25">
      <c r="A368" s="7" t="s">
        <v>205</v>
      </c>
      <c r="B368" s="8">
        <v>10.02</v>
      </c>
      <c r="C368" s="8">
        <v>142</v>
      </c>
      <c r="D368" s="8" t="s">
        <v>1151</v>
      </c>
      <c r="E368" s="8" t="s">
        <v>0</v>
      </c>
      <c r="F368" s="8" t="s">
        <v>30</v>
      </c>
      <c r="G368" s="8">
        <v>1.736E-2</v>
      </c>
      <c r="H368" s="9" t="s">
        <v>2383</v>
      </c>
    </row>
    <row r="369" spans="1:8" x14ac:dyDescent="0.25">
      <c r="A369" s="7" t="s">
        <v>207</v>
      </c>
      <c r="B369" s="8">
        <v>18.03</v>
      </c>
      <c r="C369" s="8">
        <v>140.32</v>
      </c>
      <c r="D369" s="8" t="s">
        <v>1151</v>
      </c>
      <c r="E369" s="8" t="s">
        <v>0</v>
      </c>
      <c r="F369" s="8" t="s">
        <v>30</v>
      </c>
      <c r="G369" s="8">
        <v>2.7779999999999999E-2</v>
      </c>
      <c r="H369" s="9" t="s">
        <v>2383</v>
      </c>
    </row>
    <row r="370" spans="1:8" x14ac:dyDescent="0.25">
      <c r="A370" s="7" t="s">
        <v>209</v>
      </c>
      <c r="B370" s="8">
        <v>20.99</v>
      </c>
      <c r="C370" s="8">
        <v>141.33000000000001</v>
      </c>
      <c r="D370" s="8" t="s">
        <v>1151</v>
      </c>
      <c r="E370" s="8" t="s">
        <v>0</v>
      </c>
      <c r="F370" s="8" t="s">
        <v>30</v>
      </c>
      <c r="G370" s="8">
        <v>5.13E-3</v>
      </c>
      <c r="H370" s="9" t="s">
        <v>2383</v>
      </c>
    </row>
    <row r="371" spans="1:8" x14ac:dyDescent="0.25">
      <c r="A371" s="7" t="s">
        <v>211</v>
      </c>
      <c r="B371" s="8">
        <v>15.74</v>
      </c>
      <c r="C371" s="8">
        <v>140.97999999999999</v>
      </c>
      <c r="D371" s="8" t="s">
        <v>1151</v>
      </c>
      <c r="E371" s="8" t="s">
        <v>0</v>
      </c>
      <c r="F371" s="8" t="s">
        <v>30</v>
      </c>
      <c r="G371" s="8">
        <v>2.5600000000000002E-3</v>
      </c>
      <c r="H371" s="9" t="s">
        <v>2383</v>
      </c>
    </row>
    <row r="372" spans="1:8" x14ac:dyDescent="0.25">
      <c r="A372" s="7" t="s">
        <v>213</v>
      </c>
      <c r="B372" s="8">
        <v>13.53</v>
      </c>
      <c r="C372" s="8">
        <v>140.46</v>
      </c>
      <c r="D372" s="8" t="s">
        <v>1151</v>
      </c>
      <c r="E372" s="8" t="s">
        <v>0</v>
      </c>
      <c r="F372" s="8" t="s">
        <v>30</v>
      </c>
      <c r="G372" s="8">
        <v>9.2599999999999991E-3</v>
      </c>
      <c r="H372" s="9" t="s">
        <v>2383</v>
      </c>
    </row>
    <row r="373" spans="1:8" x14ac:dyDescent="0.25">
      <c r="A373" s="7" t="s">
        <v>215</v>
      </c>
      <c r="B373" s="8">
        <v>5.93</v>
      </c>
      <c r="C373" s="8">
        <v>141.91999999999999</v>
      </c>
      <c r="D373" s="8" t="s">
        <v>1151</v>
      </c>
      <c r="E373" s="8" t="s">
        <v>0</v>
      </c>
      <c r="F373" s="8" t="s">
        <v>30</v>
      </c>
      <c r="G373" s="8">
        <v>0</v>
      </c>
      <c r="H373" s="9" t="s">
        <v>2383</v>
      </c>
    </row>
    <row r="374" spans="1:8" x14ac:dyDescent="0.25">
      <c r="A374" s="7" t="s">
        <v>166</v>
      </c>
      <c r="B374" s="8">
        <v>13.01</v>
      </c>
      <c r="C374" s="8">
        <v>129.96</v>
      </c>
      <c r="D374" s="8" t="s">
        <v>1151</v>
      </c>
      <c r="E374" s="8" t="s">
        <v>0</v>
      </c>
      <c r="F374" s="8" t="s">
        <v>30</v>
      </c>
      <c r="G374" s="8">
        <v>8.3300000000000006E-3</v>
      </c>
      <c r="H374" s="9" t="s">
        <v>2383</v>
      </c>
    </row>
    <row r="375" spans="1:8" x14ac:dyDescent="0.25">
      <c r="A375" s="7" t="s">
        <v>217</v>
      </c>
      <c r="B375" s="8">
        <v>11.48</v>
      </c>
      <c r="C375" s="8">
        <v>138.82</v>
      </c>
      <c r="D375" s="8" t="s">
        <v>1151</v>
      </c>
      <c r="E375" s="8" t="s">
        <v>0</v>
      </c>
      <c r="F375" s="8" t="s">
        <v>30</v>
      </c>
      <c r="G375" s="8">
        <v>0</v>
      </c>
      <c r="H375" s="9" t="s">
        <v>2383</v>
      </c>
    </row>
    <row r="376" spans="1:8" x14ac:dyDescent="0.25">
      <c r="A376" s="7" t="s">
        <v>219</v>
      </c>
      <c r="B376" s="8">
        <v>22.96</v>
      </c>
      <c r="C376" s="8">
        <v>126.36</v>
      </c>
      <c r="D376" s="8" t="s">
        <v>1151</v>
      </c>
      <c r="E376" s="8" t="s">
        <v>0</v>
      </c>
      <c r="F376" s="8" t="s">
        <v>30</v>
      </c>
      <c r="G376" s="8">
        <v>1.389E-2</v>
      </c>
      <c r="H376" s="9" t="s">
        <v>2383</v>
      </c>
    </row>
    <row r="377" spans="1:8" x14ac:dyDescent="0.25">
      <c r="A377" s="7" t="s">
        <v>221</v>
      </c>
      <c r="B377" s="8">
        <v>34.58</v>
      </c>
      <c r="C377" s="8">
        <v>122.4</v>
      </c>
      <c r="D377" s="8" t="s">
        <v>1151</v>
      </c>
      <c r="E377" s="8" t="s">
        <v>0</v>
      </c>
      <c r="F377" s="8" t="s">
        <v>30</v>
      </c>
      <c r="G377" s="8">
        <v>6.94E-3</v>
      </c>
      <c r="H377" s="9" t="s">
        <v>2383</v>
      </c>
    </row>
    <row r="378" spans="1:8" x14ac:dyDescent="0.25">
      <c r="A378" s="7" t="s">
        <v>167</v>
      </c>
      <c r="B378" s="8">
        <v>15.75</v>
      </c>
      <c r="C378" s="8">
        <v>129.94999999999999</v>
      </c>
      <c r="D378" s="8" t="s">
        <v>1151</v>
      </c>
      <c r="E378" s="8" t="s">
        <v>0</v>
      </c>
      <c r="F378" s="8" t="s">
        <v>30</v>
      </c>
      <c r="G378" s="8">
        <v>1.389E-2</v>
      </c>
      <c r="H378" s="9" t="s">
        <v>2383</v>
      </c>
    </row>
    <row r="379" spans="1:8" x14ac:dyDescent="0.25">
      <c r="A379" s="7" t="s">
        <v>168</v>
      </c>
      <c r="B379" s="8">
        <v>18.010000000000002</v>
      </c>
      <c r="C379" s="8">
        <v>129.97999999999999</v>
      </c>
      <c r="D379" s="8" t="s">
        <v>1151</v>
      </c>
      <c r="E379" s="8" t="s">
        <v>0</v>
      </c>
      <c r="F379" s="8" t="s">
        <v>30</v>
      </c>
      <c r="G379" s="8">
        <v>5.2100000000000002E-3</v>
      </c>
      <c r="H379" s="9" t="s">
        <v>2383</v>
      </c>
    </row>
    <row r="380" spans="1:8" x14ac:dyDescent="0.25">
      <c r="A380" s="7" t="s">
        <v>169</v>
      </c>
      <c r="B380" s="8">
        <v>20</v>
      </c>
      <c r="C380" s="8">
        <v>126.99</v>
      </c>
      <c r="D380" s="8" t="s">
        <v>1151</v>
      </c>
      <c r="E380" s="8" t="s">
        <v>0</v>
      </c>
      <c r="F380" s="8" t="s">
        <v>30</v>
      </c>
      <c r="G380" s="8">
        <v>1.389E-2</v>
      </c>
      <c r="H380" s="9" t="s">
        <v>2383</v>
      </c>
    </row>
    <row r="381" spans="1:8" x14ac:dyDescent="0.25">
      <c r="A381" s="7" t="s">
        <v>171</v>
      </c>
      <c r="B381" s="8">
        <v>16.02</v>
      </c>
      <c r="C381" s="8">
        <v>128.88</v>
      </c>
      <c r="D381" s="8" t="s">
        <v>1151</v>
      </c>
      <c r="E381" s="8" t="s">
        <v>0</v>
      </c>
      <c r="F381" s="8" t="s">
        <v>30</v>
      </c>
      <c r="G381" s="8">
        <v>9.2599999999999991E-3</v>
      </c>
      <c r="H381" s="9" t="s">
        <v>2383</v>
      </c>
    </row>
    <row r="382" spans="1:8" x14ac:dyDescent="0.25">
      <c r="A382" s="7" t="s">
        <v>173</v>
      </c>
      <c r="B382" s="8">
        <v>10.02</v>
      </c>
      <c r="C382" s="8">
        <v>129.96</v>
      </c>
      <c r="D382" s="8" t="s">
        <v>1151</v>
      </c>
      <c r="E382" s="8" t="s">
        <v>0</v>
      </c>
      <c r="F382" s="8" t="s">
        <v>30</v>
      </c>
      <c r="G382" s="8">
        <v>0</v>
      </c>
      <c r="H382" s="9" t="s">
        <v>2383</v>
      </c>
    </row>
    <row r="383" spans="1:8" x14ac:dyDescent="0.25">
      <c r="A383" s="7" t="s">
        <v>175</v>
      </c>
      <c r="B383" s="8">
        <v>11.15</v>
      </c>
      <c r="C383" s="8">
        <v>141.31</v>
      </c>
      <c r="D383" s="8" t="s">
        <v>1151</v>
      </c>
      <c r="E383" s="8" t="s">
        <v>0</v>
      </c>
      <c r="F383" s="8" t="s">
        <v>30</v>
      </c>
      <c r="G383" s="8">
        <v>1.389E-2</v>
      </c>
      <c r="H383" s="9" t="s">
        <v>2383</v>
      </c>
    </row>
    <row r="384" spans="1:8" x14ac:dyDescent="0.25">
      <c r="A384" s="7" t="s">
        <v>611</v>
      </c>
      <c r="B384" s="8">
        <v>22.75</v>
      </c>
      <c r="C384" s="8">
        <v>121.15</v>
      </c>
      <c r="D384" s="8" t="s">
        <v>299</v>
      </c>
      <c r="E384" s="8" t="s">
        <v>87</v>
      </c>
      <c r="F384" s="8" t="s">
        <v>30</v>
      </c>
      <c r="G384" s="8">
        <v>28</v>
      </c>
      <c r="H384" s="9" t="s">
        <v>2383</v>
      </c>
    </row>
    <row r="385" spans="1:8" x14ac:dyDescent="0.25">
      <c r="A385" s="7" t="s">
        <v>616</v>
      </c>
      <c r="B385" s="8">
        <v>40.630000000000003</v>
      </c>
      <c r="C385" s="8">
        <v>-8.65</v>
      </c>
      <c r="D385" s="8" t="s">
        <v>299</v>
      </c>
      <c r="E385" s="8" t="s">
        <v>87</v>
      </c>
      <c r="F385" s="8" t="s">
        <v>30</v>
      </c>
      <c r="G385" s="8">
        <v>12</v>
      </c>
      <c r="H385" s="9" t="s">
        <v>2383</v>
      </c>
    </row>
  </sheetData>
  <sortState xmlns:xlrd2="http://schemas.microsoft.com/office/spreadsheetml/2017/richdata2" ref="A2:H385">
    <sortCondition ref="A1:A38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Paper info</vt:lpstr>
      <vt:lpstr>Sample info</vt:lpstr>
      <vt:lpstr>Map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S8477</dc:creator>
  <cp:lastModifiedBy>Changchao Li</cp:lastModifiedBy>
  <cp:lastPrinted>2025-04-25T03:32:11Z</cp:lastPrinted>
  <dcterms:created xsi:type="dcterms:W3CDTF">2024-06-14T08:41:10Z</dcterms:created>
  <dcterms:modified xsi:type="dcterms:W3CDTF">2025-08-11T15:36:47Z</dcterms:modified>
</cp:coreProperties>
</file>