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eronautics\AVD\Prelim\"/>
    </mc:Choice>
  </mc:AlternateContent>
  <xr:revisionPtr revIDLastSave="0" documentId="13_ncr:1_{921595A1-7E7F-4731-B8D0-2203E2D6F4A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atigue" sheetId="2" r:id="rId1"/>
    <sheet name="Aircraft" sheetId="3" r:id="rId2"/>
    <sheet name="Gu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O12" i="2"/>
  <c r="C7" i="2"/>
  <c r="G13" i="2" s="1"/>
  <c r="I34" i="3"/>
  <c r="G34" i="3"/>
  <c r="H34" i="3" s="1"/>
  <c r="M34" i="3" s="1"/>
  <c r="K34" i="3"/>
  <c r="K66" i="3"/>
  <c r="K52" i="3"/>
  <c r="K46" i="3"/>
  <c r="K44" i="3"/>
  <c r="J68" i="3"/>
  <c r="J66" i="3"/>
  <c r="J64" i="3"/>
  <c r="J62" i="3"/>
  <c r="J60" i="3"/>
  <c r="J58" i="3"/>
  <c r="J56" i="3"/>
  <c r="J54" i="3"/>
  <c r="J52" i="3"/>
  <c r="J50" i="3"/>
  <c r="J48" i="3"/>
  <c r="J46" i="3"/>
  <c r="J44" i="3"/>
  <c r="J42" i="3"/>
  <c r="I48" i="3"/>
  <c r="K48" i="3" s="1"/>
  <c r="I50" i="3"/>
  <c r="K50" i="3" s="1"/>
  <c r="I52" i="3"/>
  <c r="I54" i="3"/>
  <c r="K54" i="3" s="1"/>
  <c r="I56" i="3"/>
  <c r="K56" i="3" s="1"/>
  <c r="I58" i="3"/>
  <c r="K58" i="3" s="1"/>
  <c r="I60" i="3"/>
  <c r="K60" i="3" s="1"/>
  <c r="I62" i="3"/>
  <c r="K62" i="3" s="1"/>
  <c r="I64" i="3"/>
  <c r="K64" i="3" s="1"/>
  <c r="I66" i="3"/>
  <c r="I68" i="3"/>
  <c r="K68" i="3" s="1"/>
  <c r="I44" i="3"/>
  <c r="I46" i="3"/>
  <c r="I42" i="3"/>
  <c r="K42" i="3" s="1"/>
  <c r="K40" i="3"/>
  <c r="J40" i="3"/>
  <c r="J38" i="3"/>
  <c r="J36" i="3"/>
  <c r="I40" i="3"/>
  <c r="I38" i="3"/>
  <c r="K38" i="3" s="1"/>
  <c r="I36" i="3"/>
  <c r="K36" i="3" s="1"/>
  <c r="J34" i="3"/>
  <c r="H60" i="3"/>
  <c r="M60" i="3" s="1"/>
  <c r="H58" i="3"/>
  <c r="M58" i="3" s="1"/>
  <c r="G68" i="3"/>
  <c r="H68" i="3" s="1"/>
  <c r="M68" i="3" s="1"/>
  <c r="G66" i="3"/>
  <c r="H66" i="3" s="1"/>
  <c r="M66" i="3" s="1"/>
  <c r="G64" i="3"/>
  <c r="H64" i="3" s="1"/>
  <c r="M64" i="3" s="1"/>
  <c r="G62" i="3"/>
  <c r="H62" i="3" s="1"/>
  <c r="M62" i="3" s="1"/>
  <c r="G60" i="3"/>
  <c r="G58" i="3"/>
  <c r="G56" i="3"/>
  <c r="H56" i="3" s="1"/>
  <c r="M56" i="3" s="1"/>
  <c r="G54" i="3"/>
  <c r="H54" i="3" s="1"/>
  <c r="M54" i="3" s="1"/>
  <c r="G52" i="3"/>
  <c r="H52" i="3" s="1"/>
  <c r="M52" i="3" s="1"/>
  <c r="G50" i="3"/>
  <c r="H50" i="3" s="1"/>
  <c r="M50" i="3" s="1"/>
  <c r="G48" i="3"/>
  <c r="H48" i="3" s="1"/>
  <c r="M48" i="3" s="1"/>
  <c r="G46" i="3"/>
  <c r="H46" i="3" s="1"/>
  <c r="M46" i="3" s="1"/>
  <c r="G44" i="3"/>
  <c r="H44" i="3" s="1"/>
  <c r="M44" i="3" s="1"/>
  <c r="G42" i="3"/>
  <c r="H42" i="3" s="1"/>
  <c r="M42" i="3" s="1"/>
  <c r="G40" i="3"/>
  <c r="H40" i="3" s="1"/>
  <c r="M40" i="3" s="1"/>
  <c r="G38" i="3"/>
  <c r="H38" i="3" s="1"/>
  <c r="M38" i="3" s="1"/>
  <c r="G36" i="3"/>
  <c r="H36" i="3" s="1"/>
  <c r="M36" i="3" s="1"/>
  <c r="O18" i="2"/>
  <c r="O17" i="2"/>
  <c r="O16" i="2"/>
  <c r="O15" i="2"/>
  <c r="O14" i="2"/>
  <c r="O13" i="2"/>
  <c r="E19" i="2"/>
  <c r="F12" i="2" l="1"/>
  <c r="H12" i="2" s="1"/>
  <c r="F16" i="2"/>
  <c r="F13" i="2"/>
  <c r="J13" i="2" s="1"/>
  <c r="L13" i="2" s="1"/>
  <c r="G17" i="2"/>
  <c r="F18" i="2"/>
  <c r="G18" i="2"/>
  <c r="F17" i="2"/>
  <c r="G16" i="2"/>
  <c r="G15" i="2"/>
  <c r="F15" i="2"/>
  <c r="G14" i="2"/>
  <c r="F14" i="2"/>
  <c r="H14" i="2" s="1"/>
  <c r="O19" i="2"/>
  <c r="O21" i="2" s="1"/>
  <c r="O23" i="2" s="1"/>
  <c r="M71" i="3"/>
  <c r="M72" i="3" s="1"/>
  <c r="M70" i="3"/>
  <c r="K12" i="2" l="1"/>
  <c r="O24" i="2"/>
  <c r="K14" i="2"/>
  <c r="J18" i="2"/>
  <c r="L18" i="2" s="1"/>
  <c r="H16" i="2"/>
  <c r="J15" i="2"/>
  <c r="L15" i="2" s="1"/>
  <c r="H18" i="2"/>
  <c r="H17" i="2"/>
  <c r="H13" i="2"/>
  <c r="J16" i="2"/>
  <c r="L16" i="2" s="1"/>
  <c r="J17" i="2"/>
  <c r="L17" i="2" s="1"/>
  <c r="J12" i="2"/>
  <c r="L12" i="2" s="1"/>
  <c r="K17" i="2"/>
  <c r="M17" i="2" s="1"/>
  <c r="H15" i="2"/>
  <c r="J14" i="2"/>
  <c r="L14" i="2" s="1"/>
  <c r="K15" i="2"/>
  <c r="M15" i="2" s="1"/>
  <c r="K13" i="2"/>
  <c r="K16" i="2"/>
  <c r="M16" i="2" s="1"/>
  <c r="K18" i="2"/>
  <c r="I12" i="2" l="1"/>
  <c r="M12" i="2"/>
  <c r="I15" i="2"/>
  <c r="I16" i="2"/>
  <c r="I17" i="2"/>
  <c r="M13" i="2"/>
  <c r="I13" i="2"/>
  <c r="I14" i="2"/>
  <c r="M14" i="2"/>
  <c r="M18" i="2"/>
  <c r="I18" i="2"/>
</calcChain>
</file>

<file path=xl/sharedStrings.xml><?xml version="1.0" encoding="utf-8"?>
<sst xmlns="http://schemas.openxmlformats.org/spreadsheetml/2006/main" count="127" uniqueCount="107">
  <si>
    <t>Stress</t>
  </si>
  <si>
    <t>G conditions</t>
  </si>
  <si>
    <t>Cycles</t>
  </si>
  <si>
    <t>Ratio</t>
  </si>
  <si>
    <t>Mean</t>
  </si>
  <si>
    <t>Alt</t>
  </si>
  <si>
    <t>No cycles</t>
  </si>
  <si>
    <t>n</t>
  </si>
  <si>
    <t>MPa</t>
  </si>
  <si>
    <t>R</t>
  </si>
  <si>
    <t>A</t>
  </si>
  <si>
    <t>ksi</t>
  </si>
  <si>
    <t>N</t>
  </si>
  <si>
    <t>D</t>
  </si>
  <si>
    <t>Scatter Factor</t>
  </si>
  <si>
    <t>Loading Spectrum for single engine unpressurised</t>
  </si>
  <si>
    <t>Gust Spectra</t>
  </si>
  <si>
    <t>Vc</t>
  </si>
  <si>
    <t>knots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</si>
  <si>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NLLF</t>
    </r>
    <r>
      <rPr>
        <b/>
        <sz val="11"/>
        <color theme="1"/>
        <rFont val="Calibri"/>
        <family val="2"/>
        <scheme val="minor"/>
      </rPr>
      <t xml:space="preserve"> gust</t>
    </r>
  </si>
  <si>
    <t>g</t>
  </si>
  <si>
    <t xml:space="preserve">symmetrical 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</si>
  <si>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NLLF</t>
    </r>
    <r>
      <rPr>
        <b/>
        <sz val="11"/>
        <color theme="1"/>
        <rFont val="Calibri"/>
        <family val="2"/>
        <scheme val="minor"/>
      </rPr>
      <t xml:space="preserve"> +manv 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</si>
  <si>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NLLF</t>
    </r>
    <r>
      <rPr>
        <b/>
        <sz val="11"/>
        <color theme="1"/>
        <rFont val="Calibri"/>
        <family val="2"/>
        <scheme val="minor"/>
      </rPr>
      <t xml:space="preserve"> -manv</t>
    </r>
  </si>
  <si>
    <t>1g flight stress</t>
  </si>
  <si>
    <t>psi</t>
  </si>
  <si>
    <t>Sa - alt stress</t>
  </si>
  <si>
    <t>incremental g</t>
  </si>
  <si>
    <t>Difference</t>
  </si>
  <si>
    <t>convert to hr.</t>
  </si>
  <si>
    <t>from S-N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</si>
  <si>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/A</t>
    </r>
    <r>
      <rPr>
        <b/>
        <vertAlign val="subscript"/>
        <sz val="11"/>
        <color theme="1"/>
        <rFont val="Calibri"/>
        <family val="2"/>
        <scheme val="minor"/>
      </rPr>
      <t>NLLF</t>
    </r>
  </si>
  <si>
    <t>Cum Freq. /n mi</t>
  </si>
  <si>
    <t>Cum Freq./ n mi</t>
  </si>
  <si>
    <t>n, Freq. /n mi</t>
  </si>
  <si>
    <t>Freq. /hr.</t>
  </si>
  <si>
    <t>An</t>
  </si>
  <si>
    <t>Sm</t>
  </si>
  <si>
    <t>Sa</t>
  </si>
  <si>
    <r>
      <t>Nx10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</si>
  <si>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(n/N)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>/hr.</t>
    </r>
  </si>
  <si>
    <t>Gust only</t>
  </si>
  <si>
    <t>Total =</t>
  </si>
  <si>
    <r>
      <t>x10</t>
    </r>
    <r>
      <rPr>
        <vertAlign val="superscript"/>
        <sz val="11"/>
        <color theme="1"/>
        <rFont val="Calibri"/>
        <family val="2"/>
        <scheme val="minor"/>
      </rPr>
      <t>-6</t>
    </r>
    <r>
      <rPr>
        <sz val="11"/>
        <color theme="1"/>
        <rFont val="Calibri"/>
        <family val="2"/>
        <scheme val="minor"/>
      </rPr>
      <t>/hr.</t>
    </r>
  </si>
  <si>
    <t>Unfactored Life =</t>
  </si>
  <si>
    <t>when damage equals 1</t>
  </si>
  <si>
    <t>Safe Life =</t>
  </si>
  <si>
    <t>hrs</t>
  </si>
  <si>
    <t>with scatter factor 8</t>
  </si>
  <si>
    <t>Input data</t>
  </si>
  <si>
    <t>Load factor used</t>
  </si>
  <si>
    <t>Max stress</t>
  </si>
  <si>
    <t>[g]</t>
  </si>
  <si>
    <t>[MPa]</t>
  </si>
  <si>
    <t>[--]</t>
  </si>
  <si>
    <t>Units</t>
  </si>
  <si>
    <t>Value</t>
  </si>
  <si>
    <t>Stress for case (1g)</t>
  </si>
  <si>
    <r>
      <t xml:space="preserve">Flight case </t>
    </r>
    <r>
      <rPr>
        <b/>
        <vertAlign val="superscript"/>
        <sz val="11"/>
        <color theme="1"/>
        <rFont val="Calibri"/>
        <family val="2"/>
        <scheme val="minor"/>
      </rPr>
      <t>(1)</t>
    </r>
  </si>
  <si>
    <r>
      <rPr>
        <vertAlign val="superscript"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Flight cases: different stages of the aircraft mission profile, e.g. gust, manouvres, taxiing, landing, single Ground-Air-Ground cycle.</t>
    </r>
  </si>
  <si>
    <r>
      <t xml:space="preserve">Stress </t>
    </r>
    <r>
      <rPr>
        <b/>
        <vertAlign val="superscript"/>
        <sz val="11"/>
        <color theme="1"/>
        <rFont val="Calibri"/>
        <family val="2"/>
        <scheme val="minor"/>
      </rPr>
      <t>(9)</t>
    </r>
  </si>
  <si>
    <r>
      <t xml:space="preserve">Stress </t>
    </r>
    <r>
      <rPr>
        <b/>
        <vertAlign val="superscript"/>
        <sz val="11"/>
        <color theme="1"/>
        <rFont val="Calibri"/>
        <family val="2"/>
        <scheme val="minor"/>
      </rPr>
      <t>(10)</t>
    </r>
  </si>
  <si>
    <r>
      <t xml:space="preserve">Stress </t>
    </r>
    <r>
      <rPr>
        <b/>
        <vertAlign val="superscript"/>
        <sz val="11"/>
        <color theme="1"/>
        <rFont val="Calibri"/>
        <family val="2"/>
        <scheme val="minor"/>
      </rPr>
      <t>(11)</t>
    </r>
  </si>
  <si>
    <r>
      <t xml:space="preserve">Minimum </t>
    </r>
    <r>
      <rPr>
        <b/>
        <vertAlign val="superscript"/>
        <sz val="11"/>
        <color theme="1"/>
        <rFont val="Calibri"/>
        <family val="2"/>
        <scheme val="minor"/>
      </rPr>
      <t>(2)</t>
    </r>
  </si>
  <si>
    <r>
      <t xml:space="preserve">Maximum </t>
    </r>
    <r>
      <rPr>
        <b/>
        <vertAlign val="superscript"/>
        <sz val="11"/>
        <color theme="1"/>
        <rFont val="Calibri"/>
        <family val="2"/>
        <scheme val="minor"/>
      </rPr>
      <t>(3)</t>
    </r>
  </si>
  <si>
    <r>
      <t xml:space="preserve">Applied </t>
    </r>
    <r>
      <rPr>
        <b/>
        <vertAlign val="superscript"/>
        <sz val="11"/>
        <color theme="1"/>
        <rFont val="Calibri"/>
        <family val="2"/>
        <scheme val="minor"/>
      </rPr>
      <t>(4)</t>
    </r>
  </si>
  <si>
    <r>
      <t xml:space="preserve">Minimum </t>
    </r>
    <r>
      <rPr>
        <b/>
        <vertAlign val="superscript"/>
        <sz val="11"/>
        <color theme="1"/>
        <rFont val="Calibri"/>
        <family val="2"/>
        <scheme val="minor"/>
      </rPr>
      <t>(5)</t>
    </r>
  </si>
  <si>
    <r>
      <t xml:space="preserve">Maximum </t>
    </r>
    <r>
      <rPr>
        <b/>
        <vertAlign val="superscript"/>
        <sz val="11"/>
        <color theme="1"/>
        <rFont val="Calibri"/>
        <family val="2"/>
        <scheme val="minor"/>
      </rPr>
      <t>(6)</t>
    </r>
  </si>
  <si>
    <r>
      <t xml:space="preserve">Stress </t>
    </r>
    <r>
      <rPr>
        <b/>
        <vertAlign val="superscript"/>
        <sz val="11"/>
        <color theme="1"/>
        <rFont val="Calibri"/>
        <family val="2"/>
        <scheme val="minor"/>
      </rPr>
      <t>(7)</t>
    </r>
  </si>
  <si>
    <r>
      <t xml:space="preserve">Amplitude </t>
    </r>
    <r>
      <rPr>
        <b/>
        <vertAlign val="superscript"/>
        <sz val="11"/>
        <color theme="1"/>
        <rFont val="Calibri"/>
        <family val="2"/>
        <scheme val="minor"/>
      </rPr>
      <t>(8)</t>
    </r>
  </si>
  <si>
    <r>
      <t xml:space="preserve">Stress </t>
    </r>
    <r>
      <rPr>
        <b/>
        <vertAlign val="superscript"/>
        <sz val="11"/>
        <color theme="1"/>
        <rFont val="Calibri"/>
        <family val="2"/>
        <scheme val="minor"/>
      </rPr>
      <t>(12)</t>
    </r>
  </si>
  <si>
    <r>
      <t xml:space="preserve">From S-N graph </t>
    </r>
    <r>
      <rPr>
        <b/>
        <vertAlign val="superscript"/>
        <sz val="11"/>
        <color theme="1"/>
        <rFont val="Calibri"/>
        <family val="2"/>
        <scheme val="minor"/>
      </rPr>
      <t>(13)</t>
    </r>
  </si>
  <si>
    <r>
      <t xml:space="preserve">Damage </t>
    </r>
    <r>
      <rPr>
        <b/>
        <vertAlign val="superscript"/>
        <sz val="11"/>
        <color theme="1"/>
        <rFont val="Calibri"/>
        <family val="2"/>
        <scheme val="minor"/>
      </rPr>
      <t>(14)</t>
    </r>
  </si>
  <si>
    <r>
      <t xml:space="preserve">Total cycles </t>
    </r>
    <r>
      <rPr>
        <b/>
        <vertAlign val="superscript"/>
        <sz val="11"/>
        <color theme="1"/>
        <rFont val="Calibri"/>
        <family val="2"/>
        <scheme val="minor"/>
      </rPr>
      <t>(15)</t>
    </r>
  </si>
  <si>
    <r>
      <t xml:space="preserve">Total Damage </t>
    </r>
    <r>
      <rPr>
        <b/>
        <vertAlign val="superscript"/>
        <sz val="11"/>
        <color theme="1"/>
        <rFont val="Calibri"/>
        <family val="2"/>
        <scheme val="minor"/>
      </rPr>
      <t>(16)</t>
    </r>
  </si>
  <si>
    <r>
      <t xml:space="preserve">Conversion </t>
    </r>
    <r>
      <rPr>
        <b/>
        <vertAlign val="superscript"/>
        <sz val="11"/>
        <color theme="1"/>
        <rFont val="Calibri"/>
        <family val="2"/>
        <scheme val="minor"/>
      </rPr>
      <t>(17)</t>
    </r>
  </si>
  <si>
    <r>
      <t xml:space="preserve">Number of blocks </t>
    </r>
    <r>
      <rPr>
        <b/>
        <vertAlign val="superscript"/>
        <sz val="11"/>
        <color theme="1"/>
        <rFont val="Calibri"/>
        <family val="2"/>
        <scheme val="minor"/>
      </rPr>
      <t>(18)</t>
    </r>
  </si>
  <si>
    <r>
      <t xml:space="preserve">Fatigue Flight Hours (with scatter factor) </t>
    </r>
    <r>
      <rPr>
        <b/>
        <vertAlign val="superscript"/>
        <sz val="11"/>
        <color theme="1"/>
        <rFont val="Calibri"/>
        <family val="2"/>
        <scheme val="minor"/>
      </rPr>
      <t>(19)</t>
    </r>
  </si>
  <si>
    <r>
      <t xml:space="preserve">Fatigue Flight Cycles (with scatter factor) </t>
    </r>
    <r>
      <rPr>
        <b/>
        <vertAlign val="superscript"/>
        <sz val="11"/>
        <color theme="1"/>
        <rFont val="Calibri"/>
        <family val="2"/>
        <scheme val="minor"/>
      </rPr>
      <t>(20)</t>
    </r>
  </si>
  <si>
    <r>
      <rPr>
        <vertAlign val="superscript"/>
        <sz val="11"/>
        <color theme="1"/>
        <rFont val="Calibri"/>
        <family val="2"/>
        <scheme val="minor"/>
      </rPr>
      <t>(2,3,4)</t>
    </r>
    <r>
      <rPr>
        <sz val="11"/>
        <color theme="1"/>
        <rFont val="Calibri"/>
        <family val="2"/>
        <scheme val="minor"/>
      </rPr>
      <t xml:space="preserve"> min/max g conditions, applied cycles: from statistical analysis of real flight data</t>
    </r>
  </si>
  <si>
    <r>
      <rPr>
        <vertAlign val="superscript"/>
        <sz val="11"/>
        <color theme="1"/>
        <rFont val="Calibri"/>
        <family val="2"/>
        <scheme val="minor"/>
      </rPr>
      <t>(5,6)</t>
    </r>
    <r>
      <rPr>
        <sz val="11"/>
        <color theme="1"/>
        <rFont val="Calibri"/>
        <family val="2"/>
        <scheme val="minor"/>
      </rPr>
      <t xml:space="preserve"> estimation based on linearity between load factor and stress</t>
    </r>
  </si>
  <si>
    <r>
      <rPr>
        <vertAlign val="superscript"/>
        <sz val="11"/>
        <color theme="1"/>
        <rFont val="Calibri"/>
        <family val="2"/>
        <scheme val="minor"/>
      </rPr>
      <t>(7,8,9,10)</t>
    </r>
    <r>
      <rPr>
        <sz val="11"/>
        <color theme="1"/>
        <rFont val="Calibri"/>
        <family val="2"/>
        <scheme val="minor"/>
      </rPr>
      <t xml:space="preserve"> from the definitions of Stress Ratio, Amplitude Ratio, Mean Stress, and Alternating Stress</t>
    </r>
  </si>
  <si>
    <r>
      <rPr>
        <vertAlign val="superscript"/>
        <sz val="11"/>
        <color theme="1"/>
        <rFont val="Calibri"/>
        <family val="2"/>
        <scheme val="minor"/>
      </rPr>
      <t>(11,12)</t>
    </r>
    <r>
      <rPr>
        <sz val="11"/>
        <color theme="1"/>
        <rFont val="Calibri"/>
        <family val="2"/>
        <scheme val="minor"/>
      </rPr>
      <t xml:space="preserve"> conversion to imperial units (so that a graph in imperial units can be used)</t>
    </r>
  </si>
  <si>
    <r>
      <rPr>
        <vertAlign val="superscript"/>
        <sz val="11"/>
        <color theme="1"/>
        <rFont val="Calibri"/>
        <family val="2"/>
        <scheme val="minor"/>
      </rPr>
      <t>(14)</t>
    </r>
    <r>
      <rPr>
        <sz val="11"/>
        <color theme="1"/>
        <rFont val="Calibri"/>
        <family val="2"/>
        <scheme val="minor"/>
      </rPr>
      <t xml:space="preserve"> Estimation of Damage as the ratio of (Applied cycles) over (Cycles to failure).</t>
    </r>
  </si>
  <si>
    <r>
      <rPr>
        <vertAlign val="superscript"/>
        <sz val="11"/>
        <color theme="1"/>
        <rFont val="Calibri"/>
        <family val="2"/>
        <scheme val="minor"/>
      </rPr>
      <t>(13)</t>
    </r>
    <r>
      <rPr>
        <sz val="11"/>
        <color theme="1"/>
        <rFont val="Calibri"/>
        <family val="2"/>
        <scheme val="minor"/>
      </rPr>
      <t xml:space="preserve"> (Cycles to Failure) from the S-N graph for an entire wing (ref: Fatigue, lecture slide:  45)</t>
    </r>
  </si>
  <si>
    <r>
      <rPr>
        <vertAlign val="superscript"/>
        <sz val="11"/>
        <color theme="1"/>
        <rFont val="Calibri"/>
        <family val="2"/>
        <scheme val="minor"/>
      </rPr>
      <t>(15)</t>
    </r>
    <r>
      <rPr>
        <sz val="11"/>
        <color theme="1"/>
        <rFont val="Calibri"/>
        <family val="2"/>
        <scheme val="minor"/>
      </rPr>
      <t xml:space="preserve"> Total number of (Applied Cycles) for one block</t>
    </r>
  </si>
  <si>
    <t>Intermediate calculation: stress for (1g) straight and level flight</t>
  </si>
  <si>
    <r>
      <rPr>
        <vertAlign val="superscript"/>
        <sz val="11"/>
        <color theme="1"/>
        <rFont val="Calibri"/>
        <family val="2"/>
        <scheme val="minor"/>
      </rPr>
      <t>(16)</t>
    </r>
    <r>
      <rPr>
        <sz val="11"/>
        <color theme="1"/>
        <rFont val="Calibri"/>
        <family val="2"/>
        <scheme val="minor"/>
      </rPr>
      <t xml:space="preserve"> Total Damage for one block (i.e. summation of the "Damage" from all "Flight cases").</t>
    </r>
  </si>
  <si>
    <r>
      <rPr>
        <vertAlign val="superscript"/>
        <sz val="11"/>
        <color theme="1"/>
        <rFont val="Calibri"/>
        <family val="2"/>
        <scheme val="minor"/>
      </rPr>
      <t>(17)</t>
    </r>
    <r>
      <rPr>
        <sz val="11"/>
        <color theme="1"/>
        <rFont val="Calibri"/>
        <family val="2"/>
        <scheme val="minor"/>
      </rPr>
      <t xml:space="preserve"> Conversion Factors between S.I and imperial units of pressure</t>
    </r>
  </si>
  <si>
    <r>
      <rPr>
        <vertAlign val="superscript"/>
        <sz val="11"/>
        <color theme="1"/>
        <rFont val="Calibri"/>
        <family val="2"/>
        <scheme val="minor"/>
      </rPr>
      <t>(18)</t>
    </r>
    <r>
      <rPr>
        <sz val="11"/>
        <color theme="1"/>
        <rFont val="Calibri"/>
        <family val="2"/>
        <scheme val="minor"/>
      </rPr>
      <t xml:space="preserve"> Number of blocks until failure due to fatigue occurs (i.e. until Total Damage =1).</t>
    </r>
  </si>
  <si>
    <t xml:space="preserve">      i.e. for one block-&gt; Total Damage is (TD=0.01307); for how many blocks -&gt; (TD)=1?</t>
  </si>
  <si>
    <r>
      <rPr>
        <vertAlign val="superscript"/>
        <sz val="11"/>
        <color theme="1"/>
        <rFont val="Calibri"/>
        <family val="2"/>
        <scheme val="minor"/>
      </rPr>
      <t>(19)</t>
    </r>
    <r>
      <rPr>
        <sz val="11"/>
        <color theme="1"/>
        <rFont val="Calibri"/>
        <family val="2"/>
        <scheme val="minor"/>
      </rPr>
      <t xml:space="preserve"> Total Number of fatigue flight hours, to include scatter factor</t>
    </r>
  </si>
  <si>
    <r>
      <rPr>
        <vertAlign val="superscript"/>
        <sz val="11"/>
        <color theme="1"/>
        <rFont val="Calibri"/>
        <family val="2"/>
        <scheme val="minor"/>
      </rPr>
      <t>(20)</t>
    </r>
    <r>
      <rPr>
        <sz val="11"/>
        <color theme="1"/>
        <rFont val="Calibri"/>
        <family val="2"/>
        <scheme val="minor"/>
      </rPr>
      <t xml:space="preserve"> Total Number of fatigue flight cycles, to include scatter factor</t>
    </r>
  </si>
  <si>
    <r>
      <rPr>
        <b/>
        <sz val="11"/>
        <color theme="1"/>
        <rFont val="Calibri"/>
        <family val="2"/>
        <scheme val="minor"/>
      </rPr>
      <t>Scenario</t>
    </r>
    <r>
      <rPr>
        <sz val="11"/>
        <color theme="1"/>
        <rFont val="Calibri"/>
        <family val="2"/>
        <scheme val="minor"/>
      </rPr>
      <t xml:space="preserve">: fatigue estimation for the entire wing; 
</t>
    </r>
    <r>
      <rPr>
        <b/>
        <sz val="11"/>
        <color theme="1"/>
        <rFont val="Calibri"/>
        <family val="2"/>
        <scheme val="minor"/>
      </rPr>
      <t>Procedure</t>
    </r>
    <r>
      <rPr>
        <sz val="11"/>
        <color theme="1"/>
        <rFont val="Calibri"/>
        <family val="2"/>
        <scheme val="minor"/>
      </rPr>
      <t xml:space="preserve">: for the max load factor used, find the highest stress in  wing, run a fatigue analysis as per table below, use S-N graph for the entire wing to estimate the fatigue flight cycles per flight case, find "Total Damage", determine fatigue flight hours &amp; cycles; 
</t>
    </r>
    <r>
      <rPr>
        <b/>
        <sz val="11"/>
        <color theme="1"/>
        <rFont val="Calibri"/>
        <family val="2"/>
        <scheme val="minor"/>
      </rPr>
      <t>Load factor and max stress</t>
    </r>
    <r>
      <rPr>
        <sz val="11"/>
        <color theme="1"/>
        <rFont val="Calibri"/>
        <family val="2"/>
        <scheme val="minor"/>
      </rPr>
      <t>: linear correlation, e.g. 300MPa for n=3g, then 100MPa for n=1g, 50MPa for n=0.5g, etc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</si>
  <si>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NLLF</t>
    </r>
    <r>
      <rPr>
        <b/>
        <sz val="11"/>
        <color theme="1"/>
        <rFont val="Calibri"/>
        <family val="2"/>
        <scheme val="minor"/>
      </rPr>
      <t xml:space="preserve"> known</t>
    </r>
  </si>
  <si>
    <t>From spectrum</t>
  </si>
  <si>
    <t>Input variable</t>
  </si>
  <si>
    <t>Damage</t>
  </si>
  <si>
    <t>Take-off</t>
  </si>
  <si>
    <t>Climb</t>
  </si>
  <si>
    <t>Cruise-climb</t>
  </si>
  <si>
    <t>Cruise-2 (level)</t>
  </si>
  <si>
    <t>Loiter, turning</t>
  </si>
  <si>
    <t>Descent</t>
  </si>
  <si>
    <t>Landing/taxi</t>
  </si>
  <si>
    <t>1 block of loading: represents 100 flights of 15 hours each, i.e. 1500 flight hours per block</t>
  </si>
  <si>
    <t>320 mpa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</si>
</sst>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00"/>
    <numFmt numFmtId="166" formatCode="0.0"/>
    <numFmt numFmtId="167" formatCode="0.0000000000"/>
    <numFmt numFmtId="168" formatCode="0.0000E+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0" fillId="34" borderId="0" xfId="0" applyFill="1"/>
    <xf numFmtId="0" fontId="16" fillId="34" borderId="0" xfId="0" applyFont="1" applyFill="1"/>
    <xf numFmtId="0" fontId="0" fillId="34" borderId="10" xfId="0" applyFill="1" applyBorder="1"/>
    <xf numFmtId="0" fontId="16" fillId="34" borderId="10" xfId="0" applyFont="1" applyFill="1" applyBorder="1"/>
    <xf numFmtId="0" fontId="0" fillId="34" borderId="0" xfId="0" applyFill="1" applyAlignment="1">
      <alignment vertical="center"/>
    </xf>
    <xf numFmtId="0" fontId="16" fillId="34" borderId="10" xfId="0" applyFont="1" applyFill="1" applyBorder="1" applyAlignment="1">
      <alignment horizontal="left" vertical="center"/>
    </xf>
    <xf numFmtId="0" fontId="18" fillId="34" borderId="10" xfId="0" applyFont="1" applyFill="1" applyBorder="1" applyAlignment="1">
      <alignment horizontal="left" vertical="center"/>
    </xf>
    <xf numFmtId="0" fontId="18" fillId="34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right" vertical="center"/>
    </xf>
    <xf numFmtId="0" fontId="0" fillId="40" borderId="10" xfId="0" applyFill="1" applyBorder="1" applyAlignment="1">
      <alignment vertical="center"/>
    </xf>
    <xf numFmtId="166" fontId="0" fillId="34" borderId="10" xfId="0" applyNumberFormat="1" applyFill="1" applyBorder="1" applyAlignment="1">
      <alignment vertical="center"/>
    </xf>
    <xf numFmtId="11" fontId="0" fillId="34" borderId="10" xfId="0" applyNumberFormat="1" applyFill="1" applyBorder="1" applyAlignment="1">
      <alignment vertical="center"/>
    </xf>
    <xf numFmtId="164" fontId="0" fillId="34" borderId="10" xfId="0" applyNumberFormat="1" applyFill="1" applyBorder="1" applyAlignment="1">
      <alignment vertical="center"/>
    </xf>
    <xf numFmtId="0" fontId="0" fillId="34" borderId="10" xfId="0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0" fillId="34" borderId="0" xfId="0" applyFill="1" applyAlignment="1">
      <alignment horizontal="left" vertical="center"/>
    </xf>
    <xf numFmtId="0" fontId="16" fillId="34" borderId="0" xfId="0" applyFont="1" applyFill="1" applyAlignment="1">
      <alignment vertical="center" wrapText="1"/>
    </xf>
    <xf numFmtId="2" fontId="0" fillId="34" borderId="0" xfId="0" applyNumberFormat="1" applyFill="1" applyAlignment="1">
      <alignment vertical="center"/>
    </xf>
    <xf numFmtId="164" fontId="16" fillId="34" borderId="0" xfId="0" applyNumberFormat="1" applyFont="1" applyFill="1" applyAlignment="1">
      <alignment vertical="center"/>
    </xf>
    <xf numFmtId="0" fontId="16" fillId="38" borderId="10" xfId="0" applyFont="1" applyFill="1" applyBorder="1" applyAlignment="1">
      <alignment vertical="center"/>
    </xf>
    <xf numFmtId="164" fontId="16" fillId="38" borderId="10" xfId="0" applyNumberFormat="1" applyFont="1" applyFill="1" applyBorder="1" applyAlignment="1">
      <alignment vertical="center"/>
    </xf>
    <xf numFmtId="166" fontId="0" fillId="34" borderId="10" xfId="0" applyNumberFormat="1" applyFill="1" applyBorder="1" applyAlignment="1">
      <alignment horizontal="center" vertical="center"/>
    </xf>
    <xf numFmtId="2" fontId="0" fillId="40" borderId="10" xfId="0" applyNumberFormat="1" applyFill="1" applyBorder="1" applyAlignment="1">
      <alignment vertical="center"/>
    </xf>
    <xf numFmtId="0" fontId="16" fillId="35" borderId="10" xfId="0" applyFont="1" applyFill="1" applyBorder="1" applyAlignment="1">
      <alignment vertical="center"/>
    </xf>
    <xf numFmtId="0" fontId="16" fillId="35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vertical="center"/>
    </xf>
    <xf numFmtId="0" fontId="0" fillId="35" borderId="10" xfId="0" applyFill="1" applyBorder="1" applyAlignment="1">
      <alignment horizontal="right" vertical="center" indent="1"/>
    </xf>
    <xf numFmtId="0" fontId="0" fillId="35" borderId="10" xfId="0" applyFill="1" applyBorder="1" applyAlignment="1">
      <alignment horizontal="center" vertical="center"/>
    </xf>
    <xf numFmtId="0" fontId="0" fillId="37" borderId="10" xfId="0" applyFill="1" applyBorder="1" applyAlignment="1">
      <alignment vertical="center"/>
    </xf>
    <xf numFmtId="0" fontId="0" fillId="37" borderId="10" xfId="0" applyFill="1" applyBorder="1" applyAlignment="1">
      <alignment horizontal="right" vertical="center" indent="1"/>
    </xf>
    <xf numFmtId="0" fontId="0" fillId="37" borderId="10" xfId="0" applyFill="1" applyBorder="1" applyAlignment="1">
      <alignment horizontal="center" vertical="center"/>
    </xf>
    <xf numFmtId="165" fontId="16" fillId="39" borderId="10" xfId="0" applyNumberFormat="1" applyFont="1" applyFill="1" applyBorder="1" applyAlignment="1">
      <alignment horizontal="center" vertical="center"/>
    </xf>
    <xf numFmtId="165" fontId="0" fillId="39" borderId="10" xfId="0" applyNumberFormat="1" applyFill="1" applyBorder="1" applyAlignment="1">
      <alignment horizontal="right" vertical="center"/>
    </xf>
    <xf numFmtId="165" fontId="0" fillId="39" borderId="10" xfId="0" applyNumberFormat="1" applyFill="1" applyBorder="1" applyAlignment="1">
      <alignment vertical="center"/>
    </xf>
    <xf numFmtId="0" fontId="16" fillId="39" borderId="10" xfId="0" applyFont="1" applyFill="1" applyBorder="1" applyAlignment="1">
      <alignment horizontal="left" vertical="center"/>
    </xf>
    <xf numFmtId="0" fontId="0" fillId="39" borderId="10" xfId="0" applyFill="1" applyBorder="1" applyAlignment="1">
      <alignment vertical="center"/>
    </xf>
    <xf numFmtId="0" fontId="16" fillId="33" borderId="10" xfId="0" applyFont="1" applyFill="1" applyBorder="1" applyAlignment="1">
      <alignment horizontal="left" vertical="center"/>
    </xf>
    <xf numFmtId="166" fontId="0" fillId="33" borderId="10" xfId="0" applyNumberFormat="1" applyFill="1" applyBorder="1" applyAlignment="1">
      <alignment horizontal="right" vertical="center" indent="1"/>
    </xf>
    <xf numFmtId="166" fontId="0" fillId="33" borderId="10" xfId="0" applyNumberFormat="1" applyFill="1" applyBorder="1" applyAlignment="1">
      <alignment horizontal="center" vertical="center"/>
    </xf>
    <xf numFmtId="0" fontId="16" fillId="36" borderId="10" xfId="0" applyFont="1" applyFill="1" applyBorder="1" applyAlignment="1">
      <alignment vertical="center"/>
    </xf>
    <xf numFmtId="0" fontId="16" fillId="36" borderId="10" xfId="0" applyFont="1" applyFill="1" applyBorder="1" applyAlignment="1">
      <alignment horizontal="right" vertical="center"/>
    </xf>
    <xf numFmtId="1" fontId="16" fillId="36" borderId="10" xfId="0" applyNumberFormat="1" applyFont="1" applyFill="1" applyBorder="1" applyAlignment="1">
      <alignment vertical="center"/>
    </xf>
    <xf numFmtId="0" fontId="16" fillId="38" borderId="10" xfId="0" applyFont="1" applyFill="1" applyBorder="1" applyAlignment="1">
      <alignment horizontal="right" vertical="center"/>
    </xf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168" fontId="0" fillId="34" borderId="0" xfId="0" applyNumberFormat="1" applyFill="1"/>
    <xf numFmtId="0" fontId="16" fillId="36" borderId="10" xfId="0" applyFont="1" applyFill="1" applyBorder="1"/>
    <xf numFmtId="165" fontId="16" fillId="34" borderId="10" xfId="0" applyNumberFormat="1" applyFont="1" applyFill="1" applyBorder="1"/>
    <xf numFmtId="167" fontId="16" fillId="34" borderId="10" xfId="0" applyNumberFormat="1" applyFont="1" applyFill="1" applyBorder="1"/>
    <xf numFmtId="165" fontId="16" fillId="36" borderId="10" xfId="0" applyNumberFormat="1" applyFont="1" applyFill="1" applyBorder="1"/>
    <xf numFmtId="167" fontId="16" fillId="36" borderId="10" xfId="0" applyNumberFormat="1" applyFont="1" applyFill="1" applyBorder="1"/>
    <xf numFmtId="167" fontId="0" fillId="34" borderId="10" xfId="0" applyNumberFormat="1" applyFill="1" applyBorder="1"/>
    <xf numFmtId="0" fontId="16" fillId="35" borderId="10" xfId="0" applyFont="1" applyFill="1" applyBorder="1"/>
    <xf numFmtId="0" fontId="16" fillId="39" borderId="10" xfId="0" applyFont="1" applyFill="1" applyBorder="1"/>
    <xf numFmtId="0" fontId="16" fillId="39" borderId="10" xfId="0" applyFont="1" applyFill="1" applyBorder="1" applyAlignment="1">
      <alignment horizontal="center"/>
    </xf>
    <xf numFmtId="0" fontId="16" fillId="41" borderId="10" xfId="0" applyFont="1" applyFill="1" applyBorder="1" applyAlignment="1">
      <alignment horizontal="center" vertical="center"/>
    </xf>
    <xf numFmtId="0" fontId="16" fillId="42" borderId="10" xfId="0" applyFont="1" applyFill="1" applyBorder="1"/>
    <xf numFmtId="0" fontId="16" fillId="42" borderId="10" xfId="0" applyFont="1" applyFill="1" applyBorder="1" applyAlignment="1">
      <alignment horizontal="center" vertical="center"/>
    </xf>
    <xf numFmtId="2" fontId="0" fillId="34" borderId="10" xfId="0" applyNumberFormat="1" applyFill="1" applyBorder="1"/>
    <xf numFmtId="164" fontId="0" fillId="34" borderId="10" xfId="0" applyNumberFormat="1" applyFill="1" applyBorder="1"/>
    <xf numFmtId="1" fontId="0" fillId="34" borderId="10" xfId="0" applyNumberFormat="1" applyFill="1" applyBorder="1"/>
    <xf numFmtId="0" fontId="0" fillId="34" borderId="13" xfId="0" applyFill="1" applyBorder="1"/>
    <xf numFmtId="0" fontId="0" fillId="34" borderId="15" xfId="0" applyFill="1" applyBorder="1"/>
    <xf numFmtId="0" fontId="0" fillId="34" borderId="14" xfId="0" applyFill="1" applyBorder="1"/>
    <xf numFmtId="0" fontId="22" fillId="34" borderId="0" xfId="0" applyFont="1" applyFill="1"/>
    <xf numFmtId="0" fontId="23" fillId="35" borderId="10" xfId="0" applyFont="1" applyFill="1" applyBorder="1"/>
    <xf numFmtId="0" fontId="0" fillId="34" borderId="0" xfId="0" applyFill="1" applyAlignment="1">
      <alignment horizontal="left" vertical="center"/>
    </xf>
    <xf numFmtId="0" fontId="0" fillId="34" borderId="10" xfId="0" applyFill="1" applyBorder="1" applyAlignment="1">
      <alignment horizontal="left" vertical="top" wrapText="1"/>
    </xf>
    <xf numFmtId="0" fontId="0" fillId="34" borderId="10" xfId="0" applyFill="1" applyBorder="1" applyAlignment="1">
      <alignment horizontal="left" vertical="center"/>
    </xf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right" vertical="center"/>
    </xf>
    <xf numFmtId="0" fontId="16" fillId="41" borderId="13" xfId="0" applyFont="1" applyFill="1" applyBorder="1" applyAlignment="1">
      <alignment horizontal="center" vertical="center"/>
    </xf>
    <xf numFmtId="0" fontId="16" fillId="41" borderId="14" xfId="0" applyFont="1" applyFill="1" applyBorder="1" applyAlignment="1">
      <alignment horizontal="center" vertical="center"/>
    </xf>
    <xf numFmtId="0" fontId="16" fillId="41" borderId="15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421006</xdr:colOff>
      <xdr:row>0</xdr:row>
      <xdr:rowOff>78105</xdr:rowOff>
    </xdr:from>
    <xdr:to>
      <xdr:col>7</xdr:col>
      <xdr:colOff>134654</xdr:colOff>
      <xdr:row>26</xdr:row>
      <xdr:rowOff>93345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6" y="78105"/>
          <a:ext cx="5095273" cy="4789170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314326</xdr:colOff>
      <xdr:row>4</xdr:row>
      <xdr:rowOff>9526</xdr:rowOff>
    </xdr:from>
    <xdr:to>
      <xdr:col>13</xdr:col>
      <xdr:colOff>358141</xdr:colOff>
      <xdr:row>13</xdr:row>
      <xdr:rowOff>117152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5951" y="733426"/>
          <a:ext cx="4714875" cy="173640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180975</xdr:colOff>
          <xdr:row>29</xdr:row>
          <xdr:rowOff>28575</xdr:rowOff>
        </xdr:from>
        <xdr:to>
          <xdr:col>14</xdr:col>
          <xdr:colOff>485775</xdr:colOff>
          <xdr:row>32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49532</xdr:colOff>
      <xdr:row>0</xdr:row>
      <xdr:rowOff>161448</xdr:rowOff>
    </xdr:from>
    <xdr:to>
      <xdr:col>10</xdr:col>
      <xdr:colOff>47624</xdr:colOff>
      <xdr:row>45</xdr:row>
      <xdr:rowOff>164540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2" y="161448"/>
          <a:ext cx="6070280" cy="8039811"/>
        </a:xfrm>
        <a:prstGeom prst="rect">
          <a:avLst/>
        </a:prstGeom>
      </xdr:spPr>
    </xdr:pic>
    <xdr:clientData/>
  </xdr:twoCellAnchor>
  <xdr:twoCellAnchor editAs="oneCell">
    <xdr:from>
      <xdr:col>10</xdr:col>
      <xdr:colOff>170973</xdr:colOff>
      <xdr:row>0</xdr:row>
      <xdr:rowOff>53816</xdr:rowOff>
    </xdr:from>
    <xdr:to>
      <xdr:col>20</xdr:col>
      <xdr:colOff>452437</xdr:colOff>
      <xdr:row>48</xdr:row>
      <xdr:rowOff>110112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3161" y="53816"/>
          <a:ext cx="6353651" cy="8628796"/>
        </a:xfrm>
        <a:prstGeom prst="rect">
          <a:avLst/>
        </a:prstGeom>
      </xdr:spPr>
    </xdr:pic>
    <xdr:clientData/>
  </xdr:twoCellAnchor>
  <xdr:twoCellAnchor editAs="oneCell">
    <xdr:from>
      <xdr:col>0</xdr:col>
      <xdr:colOff>496252</xdr:colOff>
      <xdr:row>50</xdr:row>
      <xdr:rowOff>142874</xdr:rowOff>
    </xdr:from>
    <xdr:to>
      <xdr:col>19</xdr:col>
      <xdr:colOff>485756</xdr:colOff>
      <xdr:row>88</xdr:row>
      <xdr:rowOff>109151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67"/>
        <a:stretch/>
      </xdr:blipFill>
      <xdr:spPr>
        <a:xfrm>
          <a:off x="496252" y="9072562"/>
          <a:ext cx="11526660" cy="6752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1"/>
  <sheetViews>
    <sheetView tabSelected="1" zoomScaleNormal="100" workbookViewId="0">
      <selection activeCell="R24" sqref="R24"/>
    </sheetView>
  </sheetViews>
  <sheetFormatPr defaultColWidth="8.85546875" defaultRowHeight="15" x14ac:dyDescent="0.25"/>
  <cols>
    <col min="1" max="1" width="6" style="5" customWidth="1"/>
    <col min="2" max="2" width="17.5703125" style="5" customWidth="1"/>
    <col min="3" max="3" width="11.7109375" style="5" bestFit="1" customWidth="1"/>
    <col min="4" max="4" width="12.7109375" style="5" customWidth="1"/>
    <col min="5" max="5" width="9.7109375" style="5" bestFit="1" customWidth="1"/>
    <col min="6" max="7" width="11.7109375" style="5" customWidth="1"/>
    <col min="8" max="8" width="8" style="5" bestFit="1" customWidth="1"/>
    <col min="9" max="9" width="12.140625" style="5" bestFit="1" customWidth="1"/>
    <col min="10" max="11" width="8" style="5" bestFit="1" customWidth="1"/>
    <col min="12" max="13" width="8.7109375" style="5" bestFit="1" customWidth="1"/>
    <col min="14" max="14" width="20.7109375" style="5" customWidth="1"/>
    <col min="15" max="15" width="21.5703125" style="5" customWidth="1"/>
    <col min="16" max="16384" width="8.85546875" style="5"/>
  </cols>
  <sheetData>
    <row r="2" spans="2:18" x14ac:dyDescent="0.25">
      <c r="B2" s="24" t="s">
        <v>49</v>
      </c>
      <c r="C2" s="25" t="s">
        <v>56</v>
      </c>
      <c r="D2" s="25" t="s">
        <v>55</v>
      </c>
      <c r="E2" s="68" t="s">
        <v>93</v>
      </c>
      <c r="F2" s="68"/>
      <c r="G2" s="68"/>
      <c r="H2" s="68"/>
      <c r="I2" s="68"/>
      <c r="J2" s="68"/>
      <c r="K2" s="68"/>
      <c r="L2" s="68"/>
      <c r="M2" s="68"/>
      <c r="N2" s="68"/>
      <c r="O2" s="68"/>
    </row>
    <row r="3" spans="2:18" x14ac:dyDescent="0.25">
      <c r="B3" s="26" t="s">
        <v>50</v>
      </c>
      <c r="C3" s="27">
        <v>3.75</v>
      </c>
      <c r="D3" s="28" t="s">
        <v>52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2:18" x14ac:dyDescent="0.25">
      <c r="B4" s="26" t="s">
        <v>51</v>
      </c>
      <c r="C4" s="27">
        <v>152</v>
      </c>
      <c r="D4" s="2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2:18" x14ac:dyDescent="0.25">
      <c r="B5" s="29" t="s">
        <v>14</v>
      </c>
      <c r="C5" s="30">
        <v>8</v>
      </c>
      <c r="D5" s="31" t="s">
        <v>54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7" spans="2:18" x14ac:dyDescent="0.25">
      <c r="B7" s="37" t="s">
        <v>57</v>
      </c>
      <c r="C7" s="38">
        <f>C4/C3</f>
        <v>40.533333333333331</v>
      </c>
      <c r="D7" s="39" t="s">
        <v>53</v>
      </c>
      <c r="E7" s="69" t="s">
        <v>86</v>
      </c>
      <c r="F7" s="69"/>
      <c r="G7" s="69"/>
      <c r="H7" s="69"/>
      <c r="I7" s="69"/>
      <c r="J7" s="69"/>
      <c r="K7" s="69"/>
      <c r="L7" s="69"/>
      <c r="M7" s="69"/>
      <c r="N7" s="69"/>
      <c r="O7" s="69"/>
    </row>
    <row r="9" spans="2:18" ht="17.25" x14ac:dyDescent="0.25">
      <c r="B9" s="70" t="s">
        <v>58</v>
      </c>
      <c r="C9" s="44" t="s">
        <v>63</v>
      </c>
      <c r="D9" s="44" t="s">
        <v>64</v>
      </c>
      <c r="E9" s="44" t="s">
        <v>65</v>
      </c>
      <c r="F9" s="44" t="s">
        <v>66</v>
      </c>
      <c r="G9" s="44" t="s">
        <v>67</v>
      </c>
      <c r="H9" s="44" t="s">
        <v>68</v>
      </c>
      <c r="I9" s="44" t="s">
        <v>69</v>
      </c>
      <c r="J9" s="44" t="s">
        <v>60</v>
      </c>
      <c r="K9" s="44" t="s">
        <v>61</v>
      </c>
      <c r="L9" s="44" t="s">
        <v>62</v>
      </c>
      <c r="M9" s="44" t="s">
        <v>70</v>
      </c>
      <c r="N9" s="44" t="s">
        <v>71</v>
      </c>
      <c r="O9" s="70" t="s">
        <v>72</v>
      </c>
    </row>
    <row r="10" spans="2:18" x14ac:dyDescent="0.25">
      <c r="B10" s="71"/>
      <c r="C10" s="45" t="s">
        <v>1</v>
      </c>
      <c r="D10" s="45" t="s">
        <v>1</v>
      </c>
      <c r="E10" s="45" t="s">
        <v>2</v>
      </c>
      <c r="F10" s="45" t="s">
        <v>0</v>
      </c>
      <c r="G10" s="45" t="s">
        <v>0</v>
      </c>
      <c r="H10" s="45" t="s">
        <v>3</v>
      </c>
      <c r="I10" s="45" t="s">
        <v>3</v>
      </c>
      <c r="J10" s="45" t="s">
        <v>4</v>
      </c>
      <c r="K10" s="45" t="s">
        <v>5</v>
      </c>
      <c r="L10" s="45" t="s">
        <v>4</v>
      </c>
      <c r="M10" s="45" t="s">
        <v>5</v>
      </c>
      <c r="N10" s="45" t="s">
        <v>6</v>
      </c>
      <c r="O10" s="71"/>
    </row>
    <row r="11" spans="2:18" x14ac:dyDescent="0.25">
      <c r="B11" s="6"/>
      <c r="C11" s="7"/>
      <c r="D11" s="7"/>
      <c r="E11" s="8" t="s">
        <v>7</v>
      </c>
      <c r="F11" s="8" t="s">
        <v>8</v>
      </c>
      <c r="G11" s="8" t="s">
        <v>8</v>
      </c>
      <c r="H11" s="8" t="s">
        <v>9</v>
      </c>
      <c r="I11" s="8" t="s">
        <v>10</v>
      </c>
      <c r="J11" s="8" t="s">
        <v>8</v>
      </c>
      <c r="K11" s="8" t="s">
        <v>8</v>
      </c>
      <c r="L11" s="8" t="s">
        <v>11</v>
      </c>
      <c r="M11" s="8" t="s">
        <v>11</v>
      </c>
      <c r="N11" s="8" t="s">
        <v>12</v>
      </c>
      <c r="O11" s="8" t="s">
        <v>13</v>
      </c>
      <c r="R11" s="5" t="s">
        <v>106</v>
      </c>
    </row>
    <row r="12" spans="2:18" x14ac:dyDescent="0.25">
      <c r="B12" s="9" t="s">
        <v>98</v>
      </c>
      <c r="C12" s="23">
        <v>1</v>
      </c>
      <c r="D12" s="23">
        <v>2.5</v>
      </c>
      <c r="E12" s="10">
        <v>100</v>
      </c>
      <c r="F12" s="11">
        <f>C12*$C$7</f>
        <v>40.533333333333331</v>
      </c>
      <c r="G12" s="11">
        <f>D12*$C$7</f>
        <v>101.33333333333333</v>
      </c>
      <c r="H12" s="22">
        <f>F12/G12</f>
        <v>0.4</v>
      </c>
      <c r="I12" s="22">
        <f>K12/J12</f>
        <v>0.42857142857142855</v>
      </c>
      <c r="J12" s="11">
        <f>(G12+F12)*0.5</f>
        <v>70.933333333333337</v>
      </c>
      <c r="K12" s="11">
        <f>0.5*(G12-F12)</f>
        <v>30.4</v>
      </c>
      <c r="L12" s="11">
        <f>J12*C23</f>
        <v>10.288028800000001</v>
      </c>
      <c r="M12" s="11">
        <f>K12*C23</f>
        <v>4.4091551999999998</v>
      </c>
      <c r="N12" s="12">
        <v>100000000</v>
      </c>
      <c r="O12" s="13">
        <f>E12/N12</f>
        <v>9.9999999999999995E-7</v>
      </c>
      <c r="R12" s="12">
        <v>100000000</v>
      </c>
    </row>
    <row r="13" spans="2:18" x14ac:dyDescent="0.25">
      <c r="B13" s="9" t="s">
        <v>99</v>
      </c>
      <c r="C13" s="23">
        <v>1.2</v>
      </c>
      <c r="D13" s="23">
        <v>3.75</v>
      </c>
      <c r="E13" s="10">
        <v>200</v>
      </c>
      <c r="F13" s="11">
        <f t="shared" ref="F13:F18" si="0">C13*$C$7</f>
        <v>48.639999999999993</v>
      </c>
      <c r="G13" s="11">
        <f t="shared" ref="G13:G18" si="1">D13*$C$7</f>
        <v>152</v>
      </c>
      <c r="H13" s="22">
        <f t="shared" ref="H13:H18" si="2">F13/G13</f>
        <v>0.31999999999999995</v>
      </c>
      <c r="I13" s="22">
        <f t="shared" ref="I13:I18" si="3">K13/J13</f>
        <v>0.51515151515151525</v>
      </c>
      <c r="J13" s="11">
        <f>(G13+F13)*0.5</f>
        <v>100.32</v>
      </c>
      <c r="K13" s="11">
        <f t="shared" ref="K13:K18" si="4">0.5*(G13-F13)</f>
        <v>51.680000000000007</v>
      </c>
      <c r="L13" s="11">
        <f>J13*C23</f>
        <v>14.550212159999999</v>
      </c>
      <c r="M13" s="11">
        <f>K13*C23</f>
        <v>7.4955638400000009</v>
      </c>
      <c r="N13" s="12">
        <v>50000000</v>
      </c>
      <c r="O13" s="13">
        <f t="shared" ref="O13:O18" si="5">E13/N13</f>
        <v>3.9999999999999998E-6</v>
      </c>
      <c r="R13" s="12">
        <v>40000000</v>
      </c>
    </row>
    <row r="14" spans="2:18" x14ac:dyDescent="0.25">
      <c r="B14" s="9" t="s">
        <v>100</v>
      </c>
      <c r="C14" s="23">
        <v>-1.5</v>
      </c>
      <c r="D14" s="23">
        <v>3.75</v>
      </c>
      <c r="E14" s="10">
        <v>100</v>
      </c>
      <c r="F14" s="11">
        <f t="shared" si="0"/>
        <v>-60.8</v>
      </c>
      <c r="G14" s="11">
        <f t="shared" si="1"/>
        <v>152</v>
      </c>
      <c r="H14" s="22">
        <f>F14/G14</f>
        <v>-0.39999999999999997</v>
      </c>
      <c r="I14" s="22">
        <f t="shared" si="3"/>
        <v>2.3333333333333335</v>
      </c>
      <c r="J14" s="11">
        <f t="shared" ref="J14:J18" si="6">(G14+F14)*0.5</f>
        <v>45.6</v>
      </c>
      <c r="K14" s="11">
        <f>0.5*(G14-F14)</f>
        <v>106.4</v>
      </c>
      <c r="L14" s="11">
        <f>J14*C23</f>
        <v>6.6137328000000002</v>
      </c>
      <c r="M14" s="11">
        <f>K14*C23</f>
        <v>15.432043200000001</v>
      </c>
      <c r="N14" s="12">
        <v>15000000</v>
      </c>
      <c r="O14" s="13">
        <f t="shared" si="5"/>
        <v>6.6666666666666666E-6</v>
      </c>
      <c r="R14" s="12">
        <v>5000000</v>
      </c>
    </row>
    <row r="15" spans="2:18" x14ac:dyDescent="0.25">
      <c r="B15" s="9" t="s">
        <v>101</v>
      </c>
      <c r="C15" s="23">
        <v>-1.5</v>
      </c>
      <c r="D15" s="23">
        <v>3.75</v>
      </c>
      <c r="E15" s="10">
        <v>100</v>
      </c>
      <c r="F15" s="11">
        <f t="shared" si="0"/>
        <v>-60.8</v>
      </c>
      <c r="G15" s="11">
        <f t="shared" si="1"/>
        <v>152</v>
      </c>
      <c r="H15" s="22">
        <f t="shared" si="2"/>
        <v>-0.39999999999999997</v>
      </c>
      <c r="I15" s="22">
        <f t="shared" si="3"/>
        <v>2.3333333333333335</v>
      </c>
      <c r="J15" s="11">
        <f t="shared" si="6"/>
        <v>45.6</v>
      </c>
      <c r="K15" s="11">
        <f t="shared" si="4"/>
        <v>106.4</v>
      </c>
      <c r="L15" s="11">
        <f>J15*C23</f>
        <v>6.6137328000000002</v>
      </c>
      <c r="M15" s="11">
        <f>K15*C23</f>
        <v>15.432043200000001</v>
      </c>
      <c r="N15" s="12">
        <v>15000000</v>
      </c>
      <c r="O15" s="13">
        <f t="shared" si="5"/>
        <v>6.6666666666666666E-6</v>
      </c>
      <c r="R15" s="12">
        <v>5000000</v>
      </c>
    </row>
    <row r="16" spans="2:18" x14ac:dyDescent="0.25">
      <c r="B16" s="9" t="s">
        <v>102</v>
      </c>
      <c r="C16" s="23">
        <v>-1.5</v>
      </c>
      <c r="D16" s="23">
        <v>3.75</v>
      </c>
      <c r="E16" s="10">
        <v>100</v>
      </c>
      <c r="F16" s="11">
        <f>C16*$C$7</f>
        <v>-60.8</v>
      </c>
      <c r="G16" s="11">
        <f t="shared" si="1"/>
        <v>152</v>
      </c>
      <c r="H16" s="22">
        <f t="shared" si="2"/>
        <v>-0.39999999999999997</v>
      </c>
      <c r="I16" s="22">
        <f t="shared" si="3"/>
        <v>2.3333333333333335</v>
      </c>
      <c r="J16" s="11">
        <f t="shared" si="6"/>
        <v>45.6</v>
      </c>
      <c r="K16" s="11">
        <f t="shared" si="4"/>
        <v>106.4</v>
      </c>
      <c r="L16" s="11">
        <f>J16*C23</f>
        <v>6.6137328000000002</v>
      </c>
      <c r="M16" s="11">
        <f>K16*C23</f>
        <v>15.432043200000001</v>
      </c>
      <c r="N16" s="12">
        <v>15000000</v>
      </c>
      <c r="O16" s="13">
        <f t="shared" si="5"/>
        <v>6.6666666666666666E-6</v>
      </c>
      <c r="R16" s="12">
        <v>5000000</v>
      </c>
    </row>
    <row r="17" spans="1:18" x14ac:dyDescent="0.25">
      <c r="B17" s="9" t="s">
        <v>103</v>
      </c>
      <c r="C17" s="23">
        <v>-1.5</v>
      </c>
      <c r="D17" s="23">
        <v>3.75</v>
      </c>
      <c r="E17" s="10">
        <v>200</v>
      </c>
      <c r="F17" s="11">
        <f t="shared" si="0"/>
        <v>-60.8</v>
      </c>
      <c r="G17" s="11">
        <f t="shared" si="1"/>
        <v>152</v>
      </c>
      <c r="H17" s="22">
        <f t="shared" si="2"/>
        <v>-0.39999999999999997</v>
      </c>
      <c r="I17" s="22">
        <f t="shared" si="3"/>
        <v>2.3333333333333335</v>
      </c>
      <c r="J17" s="11">
        <f t="shared" si="6"/>
        <v>45.6</v>
      </c>
      <c r="K17" s="11">
        <f t="shared" si="4"/>
        <v>106.4</v>
      </c>
      <c r="L17" s="11">
        <f>J17*C23</f>
        <v>6.6137328000000002</v>
      </c>
      <c r="M17" s="11">
        <f>K17*C23</f>
        <v>15.432043200000001</v>
      </c>
      <c r="N17" s="12">
        <v>15000000</v>
      </c>
      <c r="O17" s="13">
        <f t="shared" si="5"/>
        <v>1.3333333333333333E-5</v>
      </c>
      <c r="R17" s="12">
        <v>2000000</v>
      </c>
    </row>
    <row r="18" spans="1:18" x14ac:dyDescent="0.25">
      <c r="B18" s="9" t="s">
        <v>104</v>
      </c>
      <c r="C18" s="23">
        <v>0</v>
      </c>
      <c r="D18" s="23">
        <v>1</v>
      </c>
      <c r="E18" s="10">
        <v>100</v>
      </c>
      <c r="F18" s="11">
        <f t="shared" si="0"/>
        <v>0</v>
      </c>
      <c r="G18" s="11">
        <f t="shared" si="1"/>
        <v>40.533333333333331</v>
      </c>
      <c r="H18" s="22">
        <f t="shared" si="2"/>
        <v>0</v>
      </c>
      <c r="I18" s="22">
        <f t="shared" si="3"/>
        <v>1</v>
      </c>
      <c r="J18" s="11">
        <f t="shared" si="6"/>
        <v>20.266666666666666</v>
      </c>
      <c r="K18" s="11">
        <f t="shared" si="4"/>
        <v>20.266666666666666</v>
      </c>
      <c r="L18" s="11">
        <f>J18*C23</f>
        <v>2.9394367999999997</v>
      </c>
      <c r="M18" s="11">
        <f>K18*C23</f>
        <v>2.9394367999999997</v>
      </c>
      <c r="N18" s="12">
        <v>90000000</v>
      </c>
      <c r="O18" s="13">
        <f t="shared" si="5"/>
        <v>1.111111111111111E-6</v>
      </c>
      <c r="R18" s="12">
        <v>70000000</v>
      </c>
    </row>
    <row r="19" spans="1:18" ht="17.25" x14ac:dyDescent="0.25">
      <c r="B19" s="14"/>
      <c r="C19" s="14"/>
      <c r="D19" s="43" t="s">
        <v>73</v>
      </c>
      <c r="E19" s="20">
        <f>SUM(E12:E18)</f>
        <v>900</v>
      </c>
      <c r="F19" s="14"/>
      <c r="G19" s="14"/>
      <c r="H19" s="14"/>
      <c r="I19" s="14"/>
      <c r="J19" s="14"/>
      <c r="K19" s="14"/>
      <c r="L19" s="14"/>
      <c r="M19" s="14"/>
      <c r="N19" s="43" t="s">
        <v>74</v>
      </c>
      <c r="O19" s="21">
        <f>SUM(O12:O18)</f>
        <v>3.9444444444444447E-5</v>
      </c>
    </row>
    <row r="20" spans="1:18" x14ac:dyDescent="0.25">
      <c r="D20" s="15"/>
      <c r="E20" s="15"/>
      <c r="N20" s="15"/>
      <c r="O20" s="19"/>
    </row>
    <row r="21" spans="1:18" ht="17.25" x14ac:dyDescent="0.25">
      <c r="C21" s="32" t="s">
        <v>11</v>
      </c>
      <c r="D21" s="32" t="s">
        <v>8</v>
      </c>
      <c r="E21" s="15"/>
      <c r="F21" s="72" t="s">
        <v>105</v>
      </c>
      <c r="G21" s="72"/>
      <c r="H21" s="72"/>
      <c r="I21" s="72"/>
      <c r="J21" s="72"/>
      <c r="K21" s="72"/>
      <c r="L21" s="72"/>
      <c r="M21" s="72"/>
      <c r="N21" s="43" t="s">
        <v>76</v>
      </c>
      <c r="O21" s="21">
        <f>1/O19</f>
        <v>25352.112676056335</v>
      </c>
    </row>
    <row r="22" spans="1:18" ht="17.25" x14ac:dyDescent="0.25">
      <c r="B22" s="35" t="s">
        <v>75</v>
      </c>
      <c r="C22" s="33">
        <v>1</v>
      </c>
      <c r="D22" s="33">
        <v>6.8947599999999998</v>
      </c>
      <c r="E22" s="15"/>
      <c r="G22" s="16"/>
      <c r="H22" s="16"/>
      <c r="I22" s="16"/>
      <c r="J22" s="16"/>
      <c r="K22" s="16"/>
      <c r="L22" s="16"/>
      <c r="M22" s="16"/>
      <c r="N22" s="16"/>
      <c r="O22" s="16"/>
    </row>
    <row r="23" spans="1:18" ht="17.25" x14ac:dyDescent="0.25">
      <c r="B23" s="36"/>
      <c r="C23" s="34">
        <v>0.145038</v>
      </c>
      <c r="D23" s="34">
        <v>1</v>
      </c>
      <c r="E23" s="15"/>
      <c r="F23" s="17"/>
      <c r="G23" s="17"/>
      <c r="I23" s="16"/>
      <c r="J23" s="16"/>
      <c r="K23" s="16"/>
      <c r="L23" s="40"/>
      <c r="M23" s="40"/>
      <c r="N23" s="41" t="s">
        <v>77</v>
      </c>
      <c r="O23" s="42">
        <f>O21*1500/C5</f>
        <v>4753521.1267605629</v>
      </c>
    </row>
    <row r="24" spans="1:18" ht="17.25" x14ac:dyDescent="0.25">
      <c r="C24" s="18"/>
      <c r="D24" s="18"/>
      <c r="E24" s="15"/>
      <c r="F24" s="17"/>
      <c r="G24" s="17"/>
      <c r="I24" s="16"/>
      <c r="J24" s="16"/>
      <c r="K24" s="16"/>
      <c r="L24" s="40"/>
      <c r="M24" s="40"/>
      <c r="N24" s="41" t="s">
        <v>78</v>
      </c>
      <c r="O24" s="42">
        <f>O21*100/C5</f>
        <v>316901.40845070418</v>
      </c>
    </row>
    <row r="25" spans="1:18" x14ac:dyDescent="0.25">
      <c r="A25" s="16"/>
      <c r="C25" s="18"/>
      <c r="D25" s="18"/>
      <c r="E25" s="15"/>
    </row>
    <row r="26" spans="1:18" ht="17.25" x14ac:dyDescent="0.25">
      <c r="A26" s="16"/>
      <c r="B26" s="67" t="s">
        <v>59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</row>
    <row r="27" spans="1:18" ht="17.25" x14ac:dyDescent="0.25">
      <c r="A27" s="16"/>
      <c r="B27" s="67" t="s">
        <v>79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</row>
    <row r="28" spans="1:18" ht="17.25" x14ac:dyDescent="0.25">
      <c r="B28" s="67" t="s">
        <v>80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</row>
    <row r="29" spans="1:18" ht="17.25" x14ac:dyDescent="0.25">
      <c r="B29" s="67" t="s">
        <v>81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</row>
    <row r="30" spans="1:18" ht="17.25" x14ac:dyDescent="0.25">
      <c r="B30" s="67" t="s">
        <v>82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</row>
    <row r="31" spans="1:18" ht="17.25" x14ac:dyDescent="0.25">
      <c r="B31" s="67" t="s">
        <v>84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</row>
    <row r="32" spans="1:18" ht="17.25" x14ac:dyDescent="0.25">
      <c r="B32" s="67" t="s">
        <v>83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</row>
    <row r="33" spans="2:15" ht="17.25" x14ac:dyDescent="0.25">
      <c r="B33" s="67" t="s">
        <v>85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</row>
    <row r="34" spans="2:15" ht="17.25" x14ac:dyDescent="0.25">
      <c r="B34" s="67" t="s">
        <v>87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</row>
    <row r="35" spans="2:15" ht="17.25" x14ac:dyDescent="0.25">
      <c r="B35" s="67" t="s">
        <v>88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</row>
    <row r="36" spans="2:15" ht="17.25" x14ac:dyDescent="0.25">
      <c r="B36" s="67" t="s">
        <v>89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</row>
    <row r="37" spans="2:15" x14ac:dyDescent="0.25">
      <c r="B37" s="67" t="s">
        <v>90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</row>
    <row r="38" spans="2:15" ht="17.25" x14ac:dyDescent="0.25">
      <c r="B38" s="67" t="s">
        <v>91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</row>
    <row r="39" spans="2:15" ht="17.25" x14ac:dyDescent="0.25">
      <c r="B39" s="67" t="s">
        <v>92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</row>
    <row r="40" spans="2:15" x14ac:dyDescent="0.25">
      <c r="E40" s="18"/>
      <c r="F40" s="18"/>
      <c r="G40" s="18"/>
    </row>
    <row r="41" spans="2:15" x14ac:dyDescent="0.25">
      <c r="E41" s="18"/>
    </row>
  </sheetData>
  <mergeCells count="19">
    <mergeCell ref="B26:O26"/>
    <mergeCell ref="E2:O5"/>
    <mergeCell ref="E7:O7"/>
    <mergeCell ref="O9:O10"/>
    <mergeCell ref="B9:B10"/>
    <mergeCell ref="F21:M21"/>
    <mergeCell ref="B27:O27"/>
    <mergeCell ref="B28:O28"/>
    <mergeCell ref="B29:O29"/>
    <mergeCell ref="B39:O39"/>
    <mergeCell ref="B30:O30"/>
    <mergeCell ref="B31:O31"/>
    <mergeCell ref="B32:O32"/>
    <mergeCell ref="B33:O33"/>
    <mergeCell ref="B34:O34"/>
    <mergeCell ref="B35:O35"/>
    <mergeCell ref="B36:O36"/>
    <mergeCell ref="B37:O37"/>
    <mergeCell ref="B38:O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1:O72"/>
  <sheetViews>
    <sheetView workbookViewId="0">
      <selection activeCell="G70" sqref="G70"/>
    </sheetView>
  </sheetViews>
  <sheetFormatPr defaultColWidth="8.85546875" defaultRowHeight="15" x14ac:dyDescent="0.25"/>
  <cols>
    <col min="1" max="1" width="8.85546875" style="1"/>
    <col min="2" max="2" width="9" style="1" bestFit="1" customWidth="1"/>
    <col min="3" max="3" width="14.85546875" style="1" customWidth="1"/>
    <col min="4" max="4" width="9.28515625" style="1" bestFit="1" customWidth="1"/>
    <col min="5" max="5" width="14.85546875" style="1" customWidth="1"/>
    <col min="6" max="6" width="8.85546875" style="1"/>
    <col min="7" max="7" width="12.7109375" style="1" customWidth="1"/>
    <col min="8" max="8" width="12" style="1" bestFit="1" customWidth="1"/>
    <col min="9" max="9" width="14.28515625" style="1" customWidth="1"/>
    <col min="10" max="12" width="8.85546875" style="1"/>
    <col min="13" max="13" width="15.28515625" style="1" customWidth="1"/>
    <col min="14" max="16384" width="8.85546875" style="1"/>
  </cols>
  <sheetData>
    <row r="21" spans="2:13" x14ac:dyDescent="0.25">
      <c r="I21" s="53" t="s">
        <v>96</v>
      </c>
      <c r="J21" s="53" t="s">
        <v>56</v>
      </c>
      <c r="K21" s="53" t="s">
        <v>55</v>
      </c>
      <c r="L21" s="2"/>
      <c r="M21" s="2" t="s">
        <v>15</v>
      </c>
    </row>
    <row r="22" spans="2:13" x14ac:dyDescent="0.25">
      <c r="I22" s="66" t="s">
        <v>14</v>
      </c>
      <c r="J22" s="66">
        <v>8</v>
      </c>
      <c r="K22" s="53"/>
      <c r="L22" s="2"/>
      <c r="M22" s="2" t="s">
        <v>16</v>
      </c>
    </row>
    <row r="23" spans="2:13" x14ac:dyDescent="0.25">
      <c r="I23" s="53" t="s">
        <v>17</v>
      </c>
      <c r="J23" s="53">
        <v>140</v>
      </c>
      <c r="K23" s="53" t="s">
        <v>18</v>
      </c>
      <c r="L23" s="2"/>
    </row>
    <row r="24" spans="2:13" ht="18" x14ac:dyDescent="0.35">
      <c r="I24" s="57" t="s">
        <v>19</v>
      </c>
      <c r="J24" s="53">
        <v>2.5</v>
      </c>
      <c r="K24" s="53" t="s">
        <v>20</v>
      </c>
      <c r="L24" s="2" t="s">
        <v>21</v>
      </c>
    </row>
    <row r="25" spans="2:13" ht="18" x14ac:dyDescent="0.35">
      <c r="I25" s="53" t="s">
        <v>22</v>
      </c>
      <c r="J25" s="53">
        <v>2.8</v>
      </c>
      <c r="K25" s="53" t="s">
        <v>20</v>
      </c>
      <c r="L25" s="2"/>
    </row>
    <row r="26" spans="2:13" ht="18" x14ac:dyDescent="0.35">
      <c r="I26" s="53" t="s">
        <v>23</v>
      </c>
      <c r="J26" s="53">
        <v>-2.5</v>
      </c>
      <c r="K26" s="53" t="s">
        <v>20</v>
      </c>
      <c r="L26" s="2"/>
    </row>
    <row r="27" spans="2:13" x14ac:dyDescent="0.25">
      <c r="I27" s="53" t="s">
        <v>24</v>
      </c>
      <c r="J27" s="53">
        <v>5500</v>
      </c>
      <c r="K27" s="53" t="s">
        <v>25</v>
      </c>
      <c r="L27" s="2"/>
    </row>
    <row r="28" spans="2:13" x14ac:dyDescent="0.25">
      <c r="I28" s="53" t="s">
        <v>26</v>
      </c>
      <c r="J28" s="53">
        <v>5500</v>
      </c>
      <c r="K28" s="53" t="s">
        <v>27</v>
      </c>
      <c r="L28" s="2"/>
    </row>
    <row r="29" spans="2:13" x14ac:dyDescent="0.25">
      <c r="I29" s="2"/>
      <c r="J29" s="2"/>
      <c r="K29" s="2"/>
      <c r="L29" s="2"/>
    </row>
    <row r="30" spans="2:13" ht="18" x14ac:dyDescent="0.25">
      <c r="B30" s="73" t="s">
        <v>95</v>
      </c>
      <c r="C30" s="74"/>
      <c r="D30" s="74"/>
      <c r="E30" s="75"/>
      <c r="F30" s="56"/>
      <c r="G30" s="56" t="s">
        <v>28</v>
      </c>
      <c r="H30" s="56" t="s">
        <v>29</v>
      </c>
      <c r="I30" s="58" t="s">
        <v>94</v>
      </c>
      <c r="J30" s="56"/>
      <c r="K30" s="56"/>
      <c r="L30" s="56" t="s">
        <v>30</v>
      </c>
      <c r="M30" s="56" t="s">
        <v>97</v>
      </c>
    </row>
    <row r="31" spans="2:13" ht="18.75" x14ac:dyDescent="0.35">
      <c r="B31" s="54" t="s">
        <v>31</v>
      </c>
      <c r="C31" s="54" t="s">
        <v>32</v>
      </c>
      <c r="D31" s="54" t="s">
        <v>31</v>
      </c>
      <c r="E31" s="54" t="s">
        <v>33</v>
      </c>
      <c r="F31" s="54"/>
      <c r="G31" s="55" t="s">
        <v>34</v>
      </c>
      <c r="H31" s="55" t="s">
        <v>35</v>
      </c>
      <c r="I31" s="55" t="s">
        <v>36</v>
      </c>
      <c r="J31" s="55" t="s">
        <v>37</v>
      </c>
      <c r="K31" s="55" t="s">
        <v>38</v>
      </c>
      <c r="L31" s="55" t="s">
        <v>39</v>
      </c>
      <c r="M31" s="55" t="s">
        <v>40</v>
      </c>
    </row>
    <row r="32" spans="2:13" x14ac:dyDescent="0.25">
      <c r="B32" s="4"/>
      <c r="C32" s="4"/>
      <c r="D32" s="47"/>
      <c r="E32" s="47"/>
      <c r="F32" s="3"/>
      <c r="G32" s="3"/>
      <c r="H32" s="3"/>
      <c r="I32" s="3"/>
      <c r="J32" s="3"/>
      <c r="K32" s="3"/>
      <c r="L32" s="3"/>
      <c r="M32" s="3"/>
    </row>
    <row r="33" spans="2:13" x14ac:dyDescent="0.25">
      <c r="B33" s="48">
        <v>0.1</v>
      </c>
      <c r="C33" s="49">
        <v>0.79903999999999997</v>
      </c>
      <c r="D33" s="50">
        <v>-0.1</v>
      </c>
      <c r="E33" s="51">
        <v>0.886903</v>
      </c>
      <c r="F33" s="3"/>
      <c r="G33" s="3"/>
      <c r="H33" s="3"/>
      <c r="I33" s="3"/>
      <c r="J33" s="3"/>
      <c r="K33" s="3"/>
      <c r="L33" s="3"/>
      <c r="M33" s="3"/>
    </row>
    <row r="34" spans="2:13" x14ac:dyDescent="0.25">
      <c r="B34" s="48"/>
      <c r="C34" s="49"/>
      <c r="D34" s="50"/>
      <c r="E34" s="51"/>
      <c r="F34" s="3"/>
      <c r="G34" s="52">
        <f>C33-C35</f>
        <v>0.55927799999999994</v>
      </c>
      <c r="H34" s="3">
        <f>G34*J23</f>
        <v>78.298919999999995</v>
      </c>
      <c r="I34" s="3">
        <f>0.5*(B33+B35)*J24</f>
        <v>0.3125</v>
      </c>
      <c r="J34" s="3">
        <f>J27</f>
        <v>5500</v>
      </c>
      <c r="K34" s="3">
        <f>J28*I34</f>
        <v>1718.75</v>
      </c>
      <c r="L34" s="59">
        <v>30</v>
      </c>
      <c r="M34" s="3">
        <f>H34/L34</f>
        <v>2.6099639999999997</v>
      </c>
    </row>
    <row r="35" spans="2:13" x14ac:dyDescent="0.25">
      <c r="B35" s="48">
        <v>0.15</v>
      </c>
      <c r="C35" s="49">
        <v>0.239762</v>
      </c>
      <c r="D35" s="50">
        <v>-0.15</v>
      </c>
      <c r="E35" s="51">
        <v>0.29039999999999999</v>
      </c>
      <c r="F35" s="3"/>
      <c r="G35" s="3"/>
      <c r="H35" s="3"/>
      <c r="I35" s="3"/>
      <c r="J35" s="3"/>
      <c r="K35" s="3"/>
      <c r="L35" s="59"/>
      <c r="M35" s="3"/>
    </row>
    <row r="36" spans="2:13" x14ac:dyDescent="0.25">
      <c r="B36" s="48"/>
      <c r="C36" s="49"/>
      <c r="D36" s="50"/>
      <c r="E36" s="51"/>
      <c r="F36" s="3"/>
      <c r="G36" s="52">
        <f>C35-C37</f>
        <v>0.15710830000000001</v>
      </c>
      <c r="H36" s="3">
        <f>G36*J23</f>
        <v>21.995162000000001</v>
      </c>
      <c r="I36" s="3">
        <f>0.5*(B35+B37)*J24</f>
        <v>0.4375</v>
      </c>
      <c r="J36" s="3">
        <f>J27</f>
        <v>5500</v>
      </c>
      <c r="K36" s="3">
        <f>J28*I36</f>
        <v>2406.25</v>
      </c>
      <c r="L36" s="59">
        <v>8</v>
      </c>
      <c r="M36" s="3">
        <f>H36/L36</f>
        <v>2.7493952500000001</v>
      </c>
    </row>
    <row r="37" spans="2:13" x14ac:dyDescent="0.25">
      <c r="B37" s="48">
        <v>0.2</v>
      </c>
      <c r="C37" s="49">
        <v>8.2653699999999997E-2</v>
      </c>
      <c r="D37" s="50">
        <v>-0.2</v>
      </c>
      <c r="E37" s="51">
        <v>7.93185E-2</v>
      </c>
      <c r="F37" s="3"/>
      <c r="G37" s="3"/>
      <c r="H37" s="3"/>
      <c r="I37" s="3"/>
      <c r="J37" s="3"/>
      <c r="K37" s="3"/>
      <c r="L37" s="59"/>
      <c r="M37" s="3"/>
    </row>
    <row r="38" spans="2:13" x14ac:dyDescent="0.25">
      <c r="B38" s="48"/>
      <c r="C38" s="49"/>
      <c r="D38" s="50"/>
      <c r="E38" s="51"/>
      <c r="F38" s="3"/>
      <c r="G38" s="52">
        <f>C37-C39</f>
        <v>5.6658E-2</v>
      </c>
      <c r="H38" s="3">
        <f>G38*J23</f>
        <v>7.9321200000000003</v>
      </c>
      <c r="I38" s="3">
        <f>0.5*(B37+B39)*J24</f>
        <v>0.5625</v>
      </c>
      <c r="J38" s="3">
        <f>J27</f>
        <v>5500</v>
      </c>
      <c r="K38" s="3">
        <f>J28*I38</f>
        <v>3093.75</v>
      </c>
      <c r="L38" s="59">
        <v>5</v>
      </c>
      <c r="M38" s="3">
        <f>H38/L38</f>
        <v>1.5864240000000001</v>
      </c>
    </row>
    <row r="39" spans="2:13" x14ac:dyDescent="0.25">
      <c r="B39" s="48">
        <v>0.25</v>
      </c>
      <c r="C39" s="49">
        <v>2.59957E-2</v>
      </c>
      <c r="D39" s="50">
        <v>-0.25</v>
      </c>
      <c r="E39" s="51">
        <v>2.50615E-2</v>
      </c>
      <c r="F39" s="3"/>
      <c r="G39" s="3"/>
      <c r="H39" s="3"/>
      <c r="I39" s="3"/>
      <c r="J39" s="3"/>
      <c r="K39" s="3"/>
      <c r="L39" s="59"/>
      <c r="M39" s="3"/>
    </row>
    <row r="40" spans="2:13" x14ac:dyDescent="0.25">
      <c r="B40" s="48"/>
      <c r="C40" s="49"/>
      <c r="D40" s="50"/>
      <c r="E40" s="51"/>
      <c r="F40" s="3"/>
      <c r="G40" s="52">
        <f>C39-C41</f>
        <v>1.6561030000000001E-2</v>
      </c>
      <c r="H40" s="3">
        <f>G40*J23</f>
        <v>2.3185442000000003</v>
      </c>
      <c r="I40" s="3">
        <f>0.5*(B39+B41)*J24</f>
        <v>0.6875</v>
      </c>
      <c r="J40" s="3">
        <f>J27</f>
        <v>5500</v>
      </c>
      <c r="K40" s="3">
        <f>J28*I40</f>
        <v>3781.25</v>
      </c>
      <c r="L40" s="59">
        <v>2.5</v>
      </c>
      <c r="M40" s="3">
        <f>H40/L40</f>
        <v>0.92741768000000013</v>
      </c>
    </row>
    <row r="41" spans="2:13" x14ac:dyDescent="0.25">
      <c r="B41" s="48">
        <v>0.3</v>
      </c>
      <c r="C41" s="49">
        <v>9.4346699999999992E-3</v>
      </c>
      <c r="D41" s="50">
        <v>-0.3</v>
      </c>
      <c r="E41" s="51">
        <v>8.6445700000000007E-3</v>
      </c>
      <c r="F41" s="3"/>
      <c r="G41" s="3"/>
      <c r="H41" s="3"/>
      <c r="I41" s="3"/>
      <c r="J41" s="3"/>
      <c r="K41" s="3"/>
      <c r="L41" s="59"/>
      <c r="M41" s="3"/>
    </row>
    <row r="42" spans="2:13" x14ac:dyDescent="0.25">
      <c r="B42" s="48"/>
      <c r="C42" s="49"/>
      <c r="D42" s="50"/>
      <c r="E42" s="51"/>
      <c r="F42" s="3"/>
      <c r="G42" s="52">
        <f>C41-C43</f>
        <v>5.6907499999999996E-3</v>
      </c>
      <c r="H42" s="3">
        <f>G42*J23</f>
        <v>0.796705</v>
      </c>
      <c r="I42" s="3">
        <f>0.5*(B41+B43)*J24</f>
        <v>0.81249999999999989</v>
      </c>
      <c r="J42" s="3">
        <f>J27</f>
        <v>5500</v>
      </c>
      <c r="K42" s="3">
        <f>J28*I42</f>
        <v>4468.7499999999991</v>
      </c>
      <c r="L42" s="59">
        <v>1</v>
      </c>
      <c r="M42" s="3">
        <f>H42/L42</f>
        <v>0.796705</v>
      </c>
    </row>
    <row r="43" spans="2:13" x14ac:dyDescent="0.25">
      <c r="B43" s="48">
        <v>0.35</v>
      </c>
      <c r="C43" s="49">
        <v>3.74392E-3</v>
      </c>
      <c r="D43" s="50">
        <v>-0.35</v>
      </c>
      <c r="E43" s="51">
        <v>3.1371599999999999E-3</v>
      </c>
      <c r="F43" s="3"/>
      <c r="G43" s="3"/>
      <c r="H43" s="3"/>
      <c r="I43" s="3"/>
      <c r="J43" s="3"/>
      <c r="K43" s="3"/>
      <c r="L43" s="59"/>
      <c r="M43" s="3"/>
    </row>
    <row r="44" spans="2:13" x14ac:dyDescent="0.25">
      <c r="B44" s="48"/>
      <c r="C44" s="49"/>
      <c r="D44" s="50"/>
      <c r="E44" s="51"/>
      <c r="F44" s="3"/>
      <c r="G44" s="52">
        <f>C43-C45</f>
        <v>2.1771999999999998E-3</v>
      </c>
      <c r="H44" s="3">
        <f>G44*J23</f>
        <v>0.30480799999999997</v>
      </c>
      <c r="I44" s="3">
        <f>0.5*(B43+B45)*J24</f>
        <v>0.9375</v>
      </c>
      <c r="J44" s="3">
        <f>J27</f>
        <v>5500</v>
      </c>
      <c r="K44" s="3">
        <f>J28*I44</f>
        <v>5156.25</v>
      </c>
      <c r="L44" s="59">
        <v>0.45</v>
      </c>
      <c r="M44" s="3">
        <f t="shared" ref="M44:M68" si="0">H44/L44</f>
        <v>0.67735111111111102</v>
      </c>
    </row>
    <row r="45" spans="2:13" x14ac:dyDescent="0.25">
      <c r="B45" s="48">
        <v>0.4</v>
      </c>
      <c r="C45" s="49">
        <v>1.56672E-3</v>
      </c>
      <c r="D45" s="50">
        <v>-0.4</v>
      </c>
      <c r="E45" s="51">
        <v>1.1756E-3</v>
      </c>
      <c r="F45" s="3"/>
      <c r="G45" s="3"/>
      <c r="H45" s="3"/>
      <c r="I45" s="3"/>
      <c r="J45" s="3"/>
      <c r="K45" s="3"/>
      <c r="L45" s="59"/>
      <c r="M45" s="3"/>
    </row>
    <row r="46" spans="2:13" x14ac:dyDescent="0.25">
      <c r="B46" s="48"/>
      <c r="C46" s="49"/>
      <c r="D46" s="50"/>
      <c r="E46" s="51"/>
      <c r="F46" s="3"/>
      <c r="G46" s="52">
        <f>C45-C47</f>
        <v>8.8990999999999994E-4</v>
      </c>
      <c r="H46" s="3">
        <f>G46*J23</f>
        <v>0.12458739999999999</v>
      </c>
      <c r="I46" s="3">
        <f>0.5*(B45+B47)*J24</f>
        <v>1.0625</v>
      </c>
      <c r="J46" s="3">
        <f>J27</f>
        <v>5500</v>
      </c>
      <c r="K46" s="3">
        <f>J28*I46</f>
        <v>5843.75</v>
      </c>
      <c r="L46" s="59">
        <v>0.3</v>
      </c>
      <c r="M46" s="3">
        <f t="shared" si="0"/>
        <v>0.41529133333333329</v>
      </c>
    </row>
    <row r="47" spans="2:13" x14ac:dyDescent="0.25">
      <c r="B47" s="48">
        <v>0.45</v>
      </c>
      <c r="C47" s="49">
        <v>6.7681000000000002E-4</v>
      </c>
      <c r="D47" s="50">
        <v>-0.45</v>
      </c>
      <c r="E47" s="51">
        <v>4.4961900000000001E-4</v>
      </c>
      <c r="F47" s="3"/>
      <c r="G47" s="3"/>
      <c r="H47" s="3"/>
      <c r="I47" s="3"/>
      <c r="J47" s="3"/>
      <c r="K47" s="3"/>
      <c r="L47" s="59"/>
      <c r="M47" s="3"/>
    </row>
    <row r="48" spans="2:13" x14ac:dyDescent="0.25">
      <c r="B48" s="48"/>
      <c r="C48" s="49"/>
      <c r="D48" s="50"/>
      <c r="E48" s="51"/>
      <c r="F48" s="3"/>
      <c r="G48" s="52">
        <f>C47-C49</f>
        <v>3.7990000000000002E-4</v>
      </c>
      <c r="H48" s="3">
        <f>G48*J23</f>
        <v>5.3186000000000004E-2</v>
      </c>
      <c r="I48" s="3">
        <f>0.5*(B47+B49)*J24</f>
        <v>1.1875</v>
      </c>
      <c r="J48" s="3">
        <f>J27</f>
        <v>5500</v>
      </c>
      <c r="K48" s="3">
        <f>J28*I48</f>
        <v>6531.25</v>
      </c>
      <c r="L48" s="59">
        <v>0.2</v>
      </c>
      <c r="M48" s="3">
        <f t="shared" si="0"/>
        <v>0.26593</v>
      </c>
    </row>
    <row r="49" spans="2:13" x14ac:dyDescent="0.25">
      <c r="B49" s="48">
        <v>0.5</v>
      </c>
      <c r="C49" s="49">
        <v>2.9691E-4</v>
      </c>
      <c r="D49" s="50">
        <v>-0.5</v>
      </c>
      <c r="E49" s="51">
        <v>1.74053E-4</v>
      </c>
      <c r="F49" s="3"/>
      <c r="G49" s="3"/>
      <c r="H49" s="3"/>
      <c r="I49" s="3"/>
      <c r="J49" s="3"/>
      <c r="K49" s="3"/>
      <c r="L49" s="59"/>
      <c r="M49" s="3"/>
    </row>
    <row r="50" spans="2:13" x14ac:dyDescent="0.25">
      <c r="B50" s="48"/>
      <c r="C50" s="49"/>
      <c r="D50" s="50"/>
      <c r="E50" s="51"/>
      <c r="F50" s="3"/>
      <c r="G50" s="52">
        <f>C49-C51</f>
        <v>1.65809E-4</v>
      </c>
      <c r="H50" s="3">
        <f>G50*J23</f>
        <v>2.3213259999999999E-2</v>
      </c>
      <c r="I50" s="3">
        <f>0.5*(B49+B51)*J24</f>
        <v>1.3125</v>
      </c>
      <c r="J50" s="3">
        <f>J27</f>
        <v>5500</v>
      </c>
      <c r="K50" s="3">
        <f>J28*I50</f>
        <v>7218.75</v>
      </c>
      <c r="L50" s="59">
        <v>0.12</v>
      </c>
      <c r="M50" s="3">
        <f t="shared" si="0"/>
        <v>0.19344383333333334</v>
      </c>
    </row>
    <row r="51" spans="2:13" x14ac:dyDescent="0.25">
      <c r="B51" s="48">
        <v>0.55000000000000004</v>
      </c>
      <c r="C51" s="49">
        <v>1.31101E-4</v>
      </c>
      <c r="D51" s="50">
        <v>-0.55000000000000004</v>
      </c>
      <c r="E51" s="51">
        <v>6.77344E-5</v>
      </c>
      <c r="F51" s="3"/>
      <c r="G51" s="3"/>
      <c r="H51" s="3"/>
      <c r="I51" s="3"/>
      <c r="J51" s="3"/>
      <c r="K51" s="3"/>
      <c r="L51" s="59"/>
      <c r="M51" s="3"/>
    </row>
    <row r="52" spans="2:13" x14ac:dyDescent="0.25">
      <c r="B52" s="48"/>
      <c r="C52" s="49"/>
      <c r="D52" s="50"/>
      <c r="E52" s="51"/>
      <c r="F52" s="3"/>
      <c r="G52" s="52">
        <f>C51-C53</f>
        <v>7.3196700000000003E-5</v>
      </c>
      <c r="H52" s="3">
        <f>G52*J23</f>
        <v>1.0247538E-2</v>
      </c>
      <c r="I52" s="3">
        <f>0.5*(B51+B53)*J24</f>
        <v>1.4375</v>
      </c>
      <c r="J52" s="3">
        <f>J27</f>
        <v>5500</v>
      </c>
      <c r="K52" s="3">
        <f>J28*I52</f>
        <v>7906.25</v>
      </c>
      <c r="L52" s="59">
        <v>0.1</v>
      </c>
      <c r="M52" s="3">
        <f t="shared" si="0"/>
        <v>0.10247538</v>
      </c>
    </row>
    <row r="53" spans="2:13" x14ac:dyDescent="0.25">
      <c r="B53" s="48">
        <v>0.6</v>
      </c>
      <c r="C53" s="49">
        <v>5.7904300000000001E-5</v>
      </c>
      <c r="D53" s="50">
        <v>-0.6</v>
      </c>
      <c r="E53" s="51">
        <v>2.6380599999999999E-5</v>
      </c>
      <c r="F53" s="3"/>
      <c r="G53" s="3"/>
      <c r="H53" s="3"/>
      <c r="I53" s="3"/>
      <c r="J53" s="3"/>
      <c r="K53" s="3"/>
      <c r="L53" s="59"/>
      <c r="M53" s="3"/>
    </row>
    <row r="54" spans="2:13" x14ac:dyDescent="0.25">
      <c r="B54" s="48"/>
      <c r="C54" s="49"/>
      <c r="D54" s="50"/>
      <c r="E54" s="51"/>
      <c r="F54" s="3"/>
      <c r="G54" s="52">
        <f>C53-C55</f>
        <v>3.2343199999999999E-5</v>
      </c>
      <c r="H54" s="3">
        <f>G54*J23</f>
        <v>4.5280479999999998E-3</v>
      </c>
      <c r="I54" s="3">
        <f>0.5*(B53+B55)*J24</f>
        <v>1.5625</v>
      </c>
      <c r="J54" s="3">
        <f>J27</f>
        <v>5500</v>
      </c>
      <c r="K54" s="3">
        <f>J28*I54</f>
        <v>8593.75</v>
      </c>
      <c r="L54" s="59">
        <v>7.0000000000000007E-2</v>
      </c>
      <c r="M54" s="3">
        <f t="shared" si="0"/>
        <v>6.4686399999999991E-2</v>
      </c>
    </row>
    <row r="55" spans="2:13" x14ac:dyDescent="0.25">
      <c r="B55" s="48">
        <v>0.65</v>
      </c>
      <c r="C55" s="49">
        <v>2.5561100000000002E-5</v>
      </c>
      <c r="D55" s="50">
        <v>-0.65</v>
      </c>
      <c r="E55" s="51">
        <v>1.0276E-5</v>
      </c>
      <c r="F55" s="3"/>
      <c r="G55" s="3"/>
      <c r="H55" s="3"/>
      <c r="I55" s="3"/>
      <c r="J55" s="3"/>
      <c r="K55" s="3"/>
      <c r="L55" s="59"/>
      <c r="M55" s="3"/>
    </row>
    <row r="56" spans="2:13" x14ac:dyDescent="0.25">
      <c r="B56" s="48"/>
      <c r="C56" s="49"/>
      <c r="D56" s="50"/>
      <c r="E56" s="51"/>
      <c r="F56" s="3"/>
      <c r="G56" s="52">
        <f>C55-C57</f>
        <v>1.4284700000000002E-5</v>
      </c>
      <c r="H56" s="3">
        <f>G56*J23</f>
        <v>1.9998580000000002E-3</v>
      </c>
      <c r="I56" s="3">
        <f>0.5*(B55+B57)*J24</f>
        <v>1.6875</v>
      </c>
      <c r="J56" s="3">
        <f>J27</f>
        <v>5500</v>
      </c>
      <c r="K56" s="3">
        <f>J28*I56</f>
        <v>9281.25</v>
      </c>
      <c r="L56" s="59">
        <v>0.05</v>
      </c>
      <c r="M56" s="3">
        <f t="shared" si="0"/>
        <v>3.9997160000000004E-2</v>
      </c>
    </row>
    <row r="57" spans="2:13" x14ac:dyDescent="0.25">
      <c r="B57" s="48">
        <v>0.7</v>
      </c>
      <c r="C57" s="49">
        <v>1.1276399999999999E-5</v>
      </c>
      <c r="D57" s="50">
        <v>-0.7</v>
      </c>
      <c r="E57" s="51">
        <v>4.0018700000000002E-6</v>
      </c>
      <c r="F57" s="3"/>
      <c r="G57" s="3"/>
      <c r="H57" s="3"/>
      <c r="I57" s="3"/>
      <c r="J57" s="3"/>
      <c r="K57" s="3"/>
      <c r="L57" s="59"/>
      <c r="M57" s="3"/>
    </row>
    <row r="58" spans="2:13" x14ac:dyDescent="0.25">
      <c r="B58" s="48"/>
      <c r="C58" s="49"/>
      <c r="D58" s="50"/>
      <c r="E58" s="51"/>
      <c r="F58" s="3"/>
      <c r="G58" s="52">
        <f>C57-C59</f>
        <v>6.3056799999999991E-6</v>
      </c>
      <c r="H58" s="3">
        <f>G58*J23</f>
        <v>8.8279519999999987E-4</v>
      </c>
      <c r="I58" s="3">
        <f>0.5*(B57+B59)*J24</f>
        <v>1.8125</v>
      </c>
      <c r="J58" s="3">
        <f>J27</f>
        <v>5500</v>
      </c>
      <c r="K58" s="3">
        <f>J28*I58</f>
        <v>9968.75</v>
      </c>
      <c r="L58" s="59">
        <v>0.04</v>
      </c>
      <c r="M58" s="3">
        <f t="shared" si="0"/>
        <v>2.2069879999999997E-2</v>
      </c>
    </row>
    <row r="59" spans="2:13" x14ac:dyDescent="0.25">
      <c r="B59" s="48">
        <v>0.75</v>
      </c>
      <c r="C59" s="49">
        <v>4.9707200000000002E-6</v>
      </c>
      <c r="D59" s="50">
        <v>-0.75</v>
      </c>
      <c r="E59" s="51">
        <v>1.5578200000000001E-6</v>
      </c>
      <c r="F59" s="3"/>
      <c r="G59" s="3"/>
      <c r="H59" s="3"/>
      <c r="I59" s="3"/>
      <c r="J59" s="3"/>
      <c r="K59" s="3"/>
      <c r="L59" s="59"/>
      <c r="M59" s="3"/>
    </row>
    <row r="60" spans="2:13" x14ac:dyDescent="0.25">
      <c r="B60" s="48"/>
      <c r="C60" s="49"/>
      <c r="D60" s="50"/>
      <c r="E60" s="51"/>
      <c r="F60" s="3"/>
      <c r="G60" s="52">
        <f>C59-C61</f>
        <v>2.7836400000000002E-6</v>
      </c>
      <c r="H60" s="3">
        <f>G60*J23</f>
        <v>3.8970960000000001E-4</v>
      </c>
      <c r="I60" s="3">
        <f>0.5*(B59+B61)*J24</f>
        <v>1.9375</v>
      </c>
      <c r="J60" s="3">
        <f>J27</f>
        <v>5500</v>
      </c>
      <c r="K60" s="3">
        <f>J28*I60</f>
        <v>10656.25</v>
      </c>
      <c r="L60" s="59">
        <v>3.5000000000000003E-2</v>
      </c>
      <c r="M60" s="3">
        <f t="shared" si="0"/>
        <v>1.113456E-2</v>
      </c>
    </row>
    <row r="61" spans="2:13" x14ac:dyDescent="0.25">
      <c r="B61" s="48">
        <v>0.8</v>
      </c>
      <c r="C61" s="49">
        <v>2.1870800000000001E-6</v>
      </c>
      <c r="D61" s="50">
        <v>-0.8</v>
      </c>
      <c r="E61" s="51">
        <v>6.0562200000000005E-7</v>
      </c>
      <c r="F61" s="3"/>
      <c r="G61" s="3"/>
      <c r="H61" s="3"/>
      <c r="I61" s="3"/>
      <c r="J61" s="3"/>
      <c r="K61" s="3"/>
      <c r="L61" s="59"/>
      <c r="M61" s="3"/>
    </row>
    <row r="62" spans="2:13" x14ac:dyDescent="0.25">
      <c r="B62" s="48"/>
      <c r="C62" s="49"/>
      <c r="D62" s="50"/>
      <c r="E62" s="51"/>
      <c r="F62" s="3"/>
      <c r="G62" s="52">
        <f>C61-C63</f>
        <v>1.228854E-6</v>
      </c>
      <c r="H62" s="3">
        <f>G62*J23</f>
        <v>1.7203956000000001E-4</v>
      </c>
      <c r="I62" s="3">
        <f>0.5*(B61+B63)*J24</f>
        <v>2.0625</v>
      </c>
      <c r="J62" s="3">
        <f>J27</f>
        <v>5500</v>
      </c>
      <c r="K62" s="3">
        <f>J28*I62</f>
        <v>11343.75</v>
      </c>
      <c r="L62" s="59">
        <v>0.03</v>
      </c>
      <c r="M62" s="3">
        <f t="shared" si="0"/>
        <v>5.7346520000000007E-3</v>
      </c>
    </row>
    <row r="63" spans="2:13" x14ac:dyDescent="0.25">
      <c r="B63" s="48">
        <v>0.85</v>
      </c>
      <c r="C63" s="49">
        <v>9.5822600000000007E-7</v>
      </c>
      <c r="D63" s="50">
        <v>-0.85</v>
      </c>
      <c r="E63" s="51">
        <v>2.3468499999999999E-7</v>
      </c>
      <c r="F63" s="3"/>
      <c r="G63" s="3"/>
      <c r="H63" s="3"/>
      <c r="I63" s="3"/>
      <c r="J63" s="3"/>
      <c r="K63" s="3"/>
      <c r="L63" s="59"/>
      <c r="M63" s="3"/>
    </row>
    <row r="64" spans="2:13" x14ac:dyDescent="0.25">
      <c r="B64" s="48"/>
      <c r="C64" s="49"/>
      <c r="D64" s="50"/>
      <c r="E64" s="51"/>
      <c r="F64" s="3"/>
      <c r="G64" s="52">
        <f>C63-C65</f>
        <v>5.4245700000000008E-7</v>
      </c>
      <c r="H64" s="3">
        <f>G64*J23</f>
        <v>7.5943980000000016E-5</v>
      </c>
      <c r="I64" s="3">
        <f>0.5*(B63+B65)*J24</f>
        <v>2.1875</v>
      </c>
      <c r="J64" s="3">
        <f>J27</f>
        <v>5500</v>
      </c>
      <c r="K64" s="3">
        <f>J28*I64</f>
        <v>12031.25</v>
      </c>
      <c r="L64" s="59">
        <v>0.02</v>
      </c>
      <c r="M64" s="3">
        <f t="shared" si="0"/>
        <v>3.7971990000000007E-3</v>
      </c>
    </row>
    <row r="65" spans="2:15" x14ac:dyDescent="0.25">
      <c r="B65" s="48">
        <v>0.9</v>
      </c>
      <c r="C65" s="49">
        <v>4.15769E-7</v>
      </c>
      <c r="D65" s="50">
        <v>-0.9</v>
      </c>
      <c r="E65" s="51">
        <v>9.0173299999999999E-8</v>
      </c>
      <c r="F65" s="3"/>
      <c r="G65" s="3"/>
      <c r="H65" s="3"/>
      <c r="I65" s="3"/>
      <c r="J65" s="3"/>
      <c r="K65" s="3"/>
      <c r="L65" s="59"/>
      <c r="M65" s="3"/>
    </row>
    <row r="66" spans="2:15" x14ac:dyDescent="0.25">
      <c r="B66" s="48"/>
      <c r="C66" s="49"/>
      <c r="D66" s="50"/>
      <c r="E66" s="51"/>
      <c r="F66" s="3"/>
      <c r="G66" s="52">
        <f>C65-C67</f>
        <v>2.3946400000000001E-7</v>
      </c>
      <c r="H66" s="3">
        <f>G66*J23</f>
        <v>3.3524959999999999E-5</v>
      </c>
      <c r="I66" s="3">
        <f>0.5*(B65+B67)*J24</f>
        <v>2.3125</v>
      </c>
      <c r="J66" s="3">
        <f>J27</f>
        <v>5500</v>
      </c>
      <c r="K66" s="3">
        <f>J28*I66</f>
        <v>12718.75</v>
      </c>
      <c r="L66" s="59">
        <v>1.4999999999999999E-2</v>
      </c>
      <c r="M66" s="3">
        <f t="shared" si="0"/>
        <v>2.2349973333333334E-3</v>
      </c>
    </row>
    <row r="67" spans="2:15" x14ac:dyDescent="0.25">
      <c r="B67" s="48">
        <v>0.95</v>
      </c>
      <c r="C67" s="49">
        <v>1.7630499999999999E-7</v>
      </c>
      <c r="D67" s="50">
        <v>-0.95</v>
      </c>
      <c r="E67" s="51">
        <v>3.3873299999999998E-8</v>
      </c>
      <c r="F67" s="3"/>
      <c r="G67" s="3"/>
      <c r="H67" s="3"/>
      <c r="I67" s="3"/>
      <c r="J67" s="3"/>
      <c r="K67" s="3"/>
      <c r="L67" s="59"/>
      <c r="M67" s="3"/>
    </row>
    <row r="68" spans="2:15" x14ac:dyDescent="0.25">
      <c r="B68" s="48"/>
      <c r="C68" s="49"/>
      <c r="D68" s="50"/>
      <c r="E68" s="51"/>
      <c r="F68" s="3"/>
      <c r="G68" s="52">
        <f>C67-C69</f>
        <v>1.0571309999999999E-7</v>
      </c>
      <c r="H68" s="3">
        <f>G68*J23</f>
        <v>1.4799834E-5</v>
      </c>
      <c r="I68" s="3">
        <f>0.5*(B67+B69)*J24</f>
        <v>2.4375</v>
      </c>
      <c r="J68" s="3">
        <f>J27</f>
        <v>5500</v>
      </c>
      <c r="K68" s="3">
        <f>J28*I68</f>
        <v>13406.25</v>
      </c>
      <c r="L68" s="59">
        <v>0.01</v>
      </c>
      <c r="M68" s="3">
        <f t="shared" si="0"/>
        <v>1.4799834E-3</v>
      </c>
    </row>
    <row r="69" spans="2:15" x14ac:dyDescent="0.25">
      <c r="B69" s="48">
        <v>1</v>
      </c>
      <c r="C69" s="49">
        <v>7.0591899999999996E-8</v>
      </c>
      <c r="D69" s="50">
        <v>-1</v>
      </c>
      <c r="E69" s="51">
        <v>1.1939500000000001E-8</v>
      </c>
      <c r="F69" s="3"/>
      <c r="G69" s="3"/>
      <c r="H69" s="3"/>
      <c r="I69" s="3"/>
      <c r="J69" s="3"/>
      <c r="K69" s="3"/>
      <c r="L69" s="3"/>
      <c r="M69" s="3"/>
    </row>
    <row r="70" spans="2:15" ht="17.25" x14ac:dyDescent="0.25">
      <c r="J70" s="62" t="s">
        <v>41</v>
      </c>
      <c r="K70" s="64"/>
      <c r="L70" s="63" t="s">
        <v>42</v>
      </c>
      <c r="M70" s="60">
        <f>SUM(M34:M68)</f>
        <v>10.475532419511111</v>
      </c>
      <c r="N70" s="1" t="s">
        <v>43</v>
      </c>
    </row>
    <row r="71" spans="2:15" x14ac:dyDescent="0.25">
      <c r="I71" s="46"/>
      <c r="J71" s="62" t="s">
        <v>41</v>
      </c>
      <c r="K71" s="64" t="s">
        <v>44</v>
      </c>
      <c r="L71" s="63"/>
      <c r="M71" s="61">
        <f>(1/SUM(M35:M69))*1000000</f>
        <v>127136.39328588477</v>
      </c>
      <c r="O71" s="1" t="s">
        <v>45</v>
      </c>
    </row>
    <row r="72" spans="2:15" x14ac:dyDescent="0.25">
      <c r="I72" s="46"/>
      <c r="J72" s="62" t="s">
        <v>41</v>
      </c>
      <c r="K72" s="64" t="s">
        <v>46</v>
      </c>
      <c r="L72" s="63"/>
      <c r="M72" s="61">
        <f>M71/J22</f>
        <v>15892.049160735596</v>
      </c>
      <c r="N72" s="1" t="s">
        <v>47</v>
      </c>
      <c r="O72" s="65" t="s">
        <v>48</v>
      </c>
    </row>
  </sheetData>
  <mergeCells count="1">
    <mergeCell ref="B30:E30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r:id="rId5">
            <anchor moveWithCells="1">
              <from>
                <xdr:col>13</xdr:col>
                <xdr:colOff>180975</xdr:colOff>
                <xdr:row>29</xdr:row>
                <xdr:rowOff>28575</xdr:rowOff>
              </from>
              <to>
                <xdr:col>14</xdr:col>
                <xdr:colOff>485775</xdr:colOff>
                <xdr:row>32</xdr:row>
                <xdr:rowOff>114300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80" zoomScaleNormal="80" workbookViewId="0">
      <selection activeCell="W57" sqref="W57"/>
    </sheetView>
  </sheetViews>
  <sheetFormatPr defaultColWidth="8.85546875" defaultRowHeight="15" x14ac:dyDescent="0.25"/>
  <cols>
    <col min="1" max="16384" width="8.85546875" style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392164ECB764B8E1B27AE38CA7CBD" ma:contentTypeVersion="16" ma:contentTypeDescription="Create a new document." ma:contentTypeScope="" ma:versionID="c22811283d2c3437cf5e164313088b38">
  <xsd:schema xmlns:xsd="http://www.w3.org/2001/XMLSchema" xmlns:xs="http://www.w3.org/2001/XMLSchema" xmlns:p="http://schemas.microsoft.com/office/2006/metadata/properties" xmlns:ns3="2c601e7d-f708-4733-a99f-183ec664d58f" xmlns:ns4="7dd34de0-932a-4686-ba67-e5a29e6f55fa" targetNamespace="http://schemas.microsoft.com/office/2006/metadata/properties" ma:root="true" ma:fieldsID="5cbabd2bc3478c8aa776022218831daa" ns3:_="" ns4:_="">
    <xsd:import namespace="2c601e7d-f708-4733-a99f-183ec664d58f"/>
    <xsd:import namespace="7dd34de0-932a-4686-ba67-e5a29e6f55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01e7d-f708-4733-a99f-183ec664d5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d34de0-932a-4686-ba67-e5a29e6f55f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601e7d-f708-4733-a99f-183ec664d58f" xsi:nil="true"/>
  </documentManagement>
</p:properties>
</file>

<file path=customXml/itemProps1.xml><?xml version="1.0" encoding="utf-8"?>
<ds:datastoreItem xmlns:ds="http://schemas.openxmlformats.org/officeDocument/2006/customXml" ds:itemID="{D5A16EFF-E1C0-4DEE-96A1-6AC64D7558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601e7d-f708-4733-a99f-183ec664d58f"/>
    <ds:schemaRef ds:uri="7dd34de0-932a-4686-ba67-e5a29e6f55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0BF1C3-5735-40A1-9312-764F467BF9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CEFDC0-14DF-43C8-8ADC-05CA92B98307}">
  <ds:schemaRefs>
    <ds:schemaRef ds:uri="http://schemas.microsoft.com/office/2006/documentManagement/types"/>
    <ds:schemaRef ds:uri="2c601e7d-f708-4733-a99f-183ec664d58f"/>
    <ds:schemaRef ds:uri="http://purl.org/dc/elements/1.1/"/>
    <ds:schemaRef ds:uri="http://schemas.microsoft.com/office/2006/metadata/properties"/>
    <ds:schemaRef ds:uri="7dd34de0-932a-4686-ba67-e5a29e6f55fa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Fatigue</vt:lpstr>
      <vt:lpstr>Aircraft</vt:lpstr>
      <vt:lpstr>Gust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Iannucci, Lorenzo</dc:creator>
  <cp:keywords/>
  <dc:description/>
  <cp:lastModifiedBy>Johnny Chan</cp:lastModifiedBy>
  <cp:revision/>
  <dcterms:created xsi:type="dcterms:W3CDTF">2022-01-14T22:00:44Z</dcterms:created>
  <dcterms:modified xsi:type="dcterms:W3CDTF">2025-03-01T21:21:16Z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0x010100DC8392164ECB764B8E1B27AE38CA7CBD</vt:lpwstr>
  </property>
</Properties>
</file>