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"/>
    </mc:Choice>
  </mc:AlternateContent>
  <xr:revisionPtr revIDLastSave="0" documentId="8_{7A288F15-0612-47F6-9341-F792FE70557E}" xr6:coauthVersionLast="47" xr6:coauthVersionMax="47" xr10:uidLastSave="{00000000-0000-0000-0000-000000000000}"/>
  <bookViews>
    <workbookView xWindow="-120" yWindow="-120" windowWidth="29040" windowHeight="15720" xr2:uid="{7BD6CCC4-2C4C-462E-AABA-02632A28E384}"/>
  </bookViews>
  <sheets>
    <sheet name="데이터계산" sheetId="1" r:id="rId1"/>
    <sheet name="삽입용데이터" sheetId="6" r:id="rId2"/>
    <sheet name="실험장치" sheetId="7" r:id="rId3"/>
    <sheet name="다이얼게이지스프링력이영향을줄까" sheetId="5" r:id="rId4"/>
    <sheet name="파악용그래프" sheetId="2" r:id="rId5"/>
    <sheet name="재료의탄성계수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9" i="1" l="1"/>
  <c r="AG2" i="6"/>
  <c r="AE2" i="6"/>
  <c r="AC2" i="6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X17" i="6" a="1"/>
  <c r="Y19" i="6" s="1"/>
  <c r="X11" i="6" a="1"/>
  <c r="Y13" i="6" s="1"/>
  <c r="X5" i="6" a="1"/>
  <c r="X5" i="6" s="1"/>
  <c r="G17" i="6" a="1"/>
  <c r="G18" i="6" s="1"/>
  <c r="G11" i="6" a="1"/>
  <c r="G12" i="6" s="1"/>
  <c r="G5" i="6" a="1"/>
  <c r="G6" i="6" s="1"/>
  <c r="V31" i="1"/>
  <c r="V30" i="1"/>
  <c r="V29" i="1"/>
  <c r="B30" i="1"/>
  <c r="AD29" i="1" s="1"/>
  <c r="B29" i="1"/>
  <c r="H20" i="1" s="1"/>
  <c r="B28" i="1"/>
  <c r="I20" i="1"/>
  <c r="I19" i="1"/>
  <c r="I18" i="1"/>
  <c r="I14" i="1"/>
  <c r="I13" i="1"/>
  <c r="I12" i="1"/>
  <c r="I6" i="1"/>
  <c r="I8" i="1"/>
  <c r="I7" i="1"/>
  <c r="J30" i="1"/>
  <c r="O5" i="6" a="1"/>
  <c r="O5" i="6" s="1"/>
  <c r="L5" i="6" a="1"/>
  <c r="L5" i="6" s="1"/>
  <c r="I5" i="6" a="1"/>
  <c r="I5" i="6" s="1"/>
  <c r="H5" i="6" a="1"/>
  <c r="H5" i="6" s="1"/>
  <c r="F41" i="5"/>
  <c r="O43" i="5"/>
  <c r="N43" i="5"/>
  <c r="P43" i="5" s="1"/>
  <c r="M43" i="5"/>
  <c r="K43" i="5"/>
  <c r="J43" i="5"/>
  <c r="L43" i="5" s="1"/>
  <c r="G43" i="5"/>
  <c r="F43" i="5"/>
  <c r="H43" i="5" s="1"/>
  <c r="O42" i="5"/>
  <c r="N42" i="5"/>
  <c r="P42" i="5" s="1"/>
  <c r="M42" i="5"/>
  <c r="K42" i="5"/>
  <c r="J42" i="5"/>
  <c r="L42" i="5" s="1"/>
  <c r="G42" i="5"/>
  <c r="F42" i="5"/>
  <c r="H42" i="5" s="1"/>
  <c r="P41" i="5"/>
  <c r="P44" i="5" s="1"/>
  <c r="Q44" i="5" s="1"/>
  <c r="O41" i="5"/>
  <c r="N41" i="5"/>
  <c r="K41" i="5"/>
  <c r="J41" i="5"/>
  <c r="L41" i="5" s="1"/>
  <c r="L44" i="5" s="1"/>
  <c r="M44" i="5" s="1"/>
  <c r="G41" i="5"/>
  <c r="Z43" i="5" a="1"/>
  <c r="AA47" i="5" s="1"/>
  <c r="Z37" i="5" a="1"/>
  <c r="AA41" i="5" s="1"/>
  <c r="W43" i="5" a="1"/>
  <c r="X47" i="5" s="1"/>
  <c r="W37" i="5" a="1"/>
  <c r="X41" i="5" s="1"/>
  <c r="Z31" i="5" a="1"/>
  <c r="Z31" i="5" s="1"/>
  <c r="W31" i="5" a="1"/>
  <c r="W31" i="5" s="1"/>
  <c r="T43" i="5" a="1"/>
  <c r="U47" i="5" s="1"/>
  <c r="T37" i="5" a="1"/>
  <c r="U41" i="5" s="1"/>
  <c r="T31" i="5" a="1"/>
  <c r="T31" i="5" s="1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7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7" i="5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29" i="1"/>
  <c r="AA31" i="1"/>
  <c r="N6" i="1"/>
  <c r="M29" i="1" s="1"/>
  <c r="Y7" i="6" l="1"/>
  <c r="G5" i="6"/>
  <c r="Y17" i="6"/>
  <c r="X18" i="6"/>
  <c r="Y18" i="6"/>
  <c r="X17" i="6"/>
  <c r="X19" i="6"/>
  <c r="Y12" i="6"/>
  <c r="X13" i="6"/>
  <c r="X11" i="6"/>
  <c r="Y11" i="6"/>
  <c r="X12" i="6"/>
  <c r="Y5" i="6"/>
  <c r="X7" i="6"/>
  <c r="Y6" i="6"/>
  <c r="X6" i="6"/>
  <c r="G17" i="6"/>
  <c r="G11" i="6"/>
  <c r="H14" i="1"/>
  <c r="Z29" i="1"/>
  <c r="Z30" i="1"/>
  <c r="Z31" i="1"/>
  <c r="AD31" i="1"/>
  <c r="AD30" i="1"/>
  <c r="H41" i="5"/>
  <c r="H44" i="5" s="1"/>
  <c r="I44" i="5" s="1"/>
  <c r="Q13" i="6"/>
  <c r="M16" i="6"/>
  <c r="L16" i="6"/>
  <c r="N15" i="6"/>
  <c r="Q21" i="6"/>
  <c r="N12" i="6"/>
  <c r="M12" i="6"/>
  <c r="L12" i="6"/>
  <c r="Q5" i="6"/>
  <c r="L29" i="1"/>
  <c r="H8" i="1"/>
  <c r="N16" i="6"/>
  <c r="I22" i="6"/>
  <c r="J15" i="6"/>
  <c r="I10" i="6"/>
  <c r="P21" i="6"/>
  <c r="P13" i="6"/>
  <c r="P5" i="6"/>
  <c r="K21" i="6"/>
  <c r="I15" i="6"/>
  <c r="K9" i="6"/>
  <c r="O21" i="6"/>
  <c r="O13" i="6"/>
  <c r="K14" i="6"/>
  <c r="Q10" i="6"/>
  <c r="J14" i="6"/>
  <c r="P10" i="6"/>
  <c r="J19" i="6"/>
  <c r="J7" i="6"/>
  <c r="O10" i="6"/>
  <c r="I18" i="6"/>
  <c r="J11" i="6"/>
  <c r="I6" i="6"/>
  <c r="Q22" i="6"/>
  <c r="Q14" i="6"/>
  <c r="Q6" i="6"/>
  <c r="J22" i="6"/>
  <c r="I17" i="6"/>
  <c r="J10" i="6"/>
  <c r="J21" i="6"/>
  <c r="J9" i="6"/>
  <c r="Q18" i="6"/>
  <c r="I21" i="6"/>
  <c r="I9" i="6"/>
  <c r="P18" i="6"/>
  <c r="I14" i="6"/>
  <c r="O18" i="6"/>
  <c r="I19" i="6"/>
  <c r="K13" i="6"/>
  <c r="I7" i="6"/>
  <c r="Q17" i="6"/>
  <c r="Q9" i="6"/>
  <c r="K18" i="6"/>
  <c r="J13" i="6"/>
  <c r="K6" i="6"/>
  <c r="P17" i="6"/>
  <c r="P9" i="6"/>
  <c r="J18" i="6"/>
  <c r="I13" i="6"/>
  <c r="J6" i="6"/>
  <c r="O17" i="6"/>
  <c r="O9" i="6"/>
  <c r="K17" i="6"/>
  <c r="I11" i="6"/>
  <c r="K5" i="6"/>
  <c r="P22" i="6"/>
  <c r="P14" i="6"/>
  <c r="P6" i="6"/>
  <c r="K22" i="6"/>
  <c r="J17" i="6"/>
  <c r="K10" i="6"/>
  <c r="J5" i="6"/>
  <c r="O22" i="6"/>
  <c r="O14" i="6"/>
  <c r="O6" i="6"/>
  <c r="J16" i="6"/>
  <c r="J8" i="6"/>
  <c r="M8" i="6"/>
  <c r="O16" i="6"/>
  <c r="O8" i="6"/>
  <c r="H16" i="6"/>
  <c r="I20" i="6"/>
  <c r="I16" i="6"/>
  <c r="I12" i="6"/>
  <c r="I8" i="6"/>
  <c r="L20" i="6"/>
  <c r="L8" i="6"/>
  <c r="Q19" i="6"/>
  <c r="Q15" i="6"/>
  <c r="Q11" i="6"/>
  <c r="Q7" i="6"/>
  <c r="N11" i="6"/>
  <c r="Q20" i="6"/>
  <c r="Q16" i="6"/>
  <c r="Q12" i="6"/>
  <c r="Q8" i="6"/>
  <c r="K20" i="6"/>
  <c r="K16" i="6"/>
  <c r="K12" i="6"/>
  <c r="K8" i="6"/>
  <c r="N20" i="6"/>
  <c r="N8" i="6"/>
  <c r="P20" i="6"/>
  <c r="P16" i="6"/>
  <c r="P12" i="6"/>
  <c r="P8" i="6"/>
  <c r="J20" i="6"/>
  <c r="J12" i="6"/>
  <c r="M20" i="6"/>
  <c r="O20" i="6"/>
  <c r="O12" i="6"/>
  <c r="H15" i="6"/>
  <c r="K19" i="6"/>
  <c r="K15" i="6"/>
  <c r="K11" i="6"/>
  <c r="K7" i="6"/>
  <c r="N19" i="6"/>
  <c r="N7" i="6"/>
  <c r="P19" i="6"/>
  <c r="P15" i="6"/>
  <c r="P11" i="6"/>
  <c r="P7" i="6"/>
  <c r="H14" i="6"/>
  <c r="O19" i="6"/>
  <c r="O15" i="6"/>
  <c r="O11" i="6"/>
  <c r="O7" i="6"/>
  <c r="L11" i="6"/>
  <c r="M15" i="6"/>
  <c r="L15" i="6"/>
  <c r="N10" i="6"/>
  <c r="M6" i="6"/>
  <c r="L22" i="6"/>
  <c r="L18" i="6"/>
  <c r="L14" i="6"/>
  <c r="L10" i="6"/>
  <c r="L6" i="6"/>
  <c r="M11" i="6"/>
  <c r="N6" i="6"/>
  <c r="M10" i="6"/>
  <c r="N21" i="6"/>
  <c r="N17" i="6"/>
  <c r="N13" i="6"/>
  <c r="N9" i="6"/>
  <c r="N5" i="6"/>
  <c r="M19" i="6"/>
  <c r="L7" i="6"/>
  <c r="N18" i="6"/>
  <c r="M14" i="6"/>
  <c r="M21" i="6"/>
  <c r="M17" i="6"/>
  <c r="M13" i="6"/>
  <c r="M9" i="6"/>
  <c r="M5" i="6"/>
  <c r="M7" i="6"/>
  <c r="L19" i="6"/>
  <c r="N22" i="6"/>
  <c r="N14" i="6"/>
  <c r="M22" i="6"/>
  <c r="M18" i="6"/>
  <c r="L21" i="6"/>
  <c r="L17" i="6"/>
  <c r="L13" i="6"/>
  <c r="L9" i="6"/>
  <c r="H13" i="6"/>
  <c r="H11" i="6"/>
  <c r="H22" i="6"/>
  <c r="H21" i="6"/>
  <c r="H8" i="6"/>
  <c r="H7" i="6"/>
  <c r="H18" i="6"/>
  <c r="H6" i="6"/>
  <c r="H12" i="6"/>
  <c r="H10" i="6"/>
  <c r="H9" i="6"/>
  <c r="H20" i="6"/>
  <c r="H19" i="6"/>
  <c r="H17" i="6"/>
  <c r="Z43" i="5"/>
  <c r="AA43" i="5"/>
  <c r="AA44" i="5"/>
  <c r="Z45" i="5"/>
  <c r="Z46" i="5"/>
  <c r="AA46" i="5"/>
  <c r="Z47" i="5"/>
  <c r="Z44" i="5"/>
  <c r="AA45" i="5"/>
  <c r="Z37" i="5"/>
  <c r="AA37" i="5"/>
  <c r="Z38" i="5"/>
  <c r="AA38" i="5"/>
  <c r="Z39" i="5"/>
  <c r="AA39" i="5"/>
  <c r="Z40" i="5"/>
  <c r="AA40" i="5"/>
  <c r="Z41" i="5"/>
  <c r="W43" i="5"/>
  <c r="X43" i="5"/>
  <c r="W44" i="5"/>
  <c r="X44" i="5"/>
  <c r="W45" i="5"/>
  <c r="X45" i="5"/>
  <c r="W46" i="5"/>
  <c r="X46" i="5"/>
  <c r="W47" i="5"/>
  <c r="W37" i="5"/>
  <c r="X37" i="5"/>
  <c r="W38" i="5"/>
  <c r="X38" i="5"/>
  <c r="W39" i="5"/>
  <c r="X39" i="5"/>
  <c r="W40" i="5"/>
  <c r="X40" i="5"/>
  <c r="W41" i="5"/>
  <c r="AA35" i="5"/>
  <c r="Z35" i="5"/>
  <c r="AA33" i="5"/>
  <c r="AA31" i="5"/>
  <c r="AA34" i="5"/>
  <c r="Z34" i="5"/>
  <c r="Z33" i="5"/>
  <c r="AA32" i="5"/>
  <c r="Z32" i="5"/>
  <c r="W35" i="5"/>
  <c r="X33" i="5"/>
  <c r="X32" i="5"/>
  <c r="W32" i="5"/>
  <c r="X31" i="5"/>
  <c r="X35" i="5"/>
  <c r="X34" i="5"/>
  <c r="W34" i="5"/>
  <c r="W33" i="5"/>
  <c r="T43" i="5"/>
  <c r="U43" i="5"/>
  <c r="T44" i="5"/>
  <c r="U44" i="5"/>
  <c r="T45" i="5"/>
  <c r="U45" i="5"/>
  <c r="T46" i="5"/>
  <c r="U46" i="5"/>
  <c r="T47" i="5"/>
  <c r="T37" i="5"/>
  <c r="U37" i="5"/>
  <c r="T38" i="5"/>
  <c r="U38" i="5"/>
  <c r="T39" i="5"/>
  <c r="U39" i="5"/>
  <c r="T40" i="5"/>
  <c r="U40" i="5"/>
  <c r="T41" i="5"/>
  <c r="T33" i="5"/>
  <c r="U32" i="5"/>
  <c r="U31" i="5"/>
  <c r="U35" i="5"/>
  <c r="T35" i="5"/>
  <c r="U34" i="5"/>
  <c r="T34" i="5"/>
  <c r="U33" i="5"/>
  <c r="T32" i="5"/>
  <c r="V12" i="1"/>
  <c r="P35" i="1" s="1"/>
  <c r="V13" i="1"/>
  <c r="P36" i="1" s="1"/>
  <c r="V14" i="1"/>
  <c r="P37" i="1" s="1"/>
  <c r="V15" i="1"/>
  <c r="P38" i="1" s="1"/>
  <c r="V16" i="1"/>
  <c r="P39" i="1" s="1"/>
  <c r="V17" i="1"/>
  <c r="P40" i="1" s="1"/>
  <c r="V18" i="1"/>
  <c r="P41" i="1" s="1"/>
  <c r="V19" i="1"/>
  <c r="P42" i="1" s="1"/>
  <c r="V20" i="1"/>
  <c r="P43" i="1" s="1"/>
  <c r="V21" i="1"/>
  <c r="P44" i="1" s="1"/>
  <c r="V22" i="1"/>
  <c r="P45" i="1" s="1"/>
  <c r="V23" i="1"/>
  <c r="P46" i="1" s="1"/>
  <c r="R12" i="1"/>
  <c r="N35" i="1" s="1"/>
  <c r="R13" i="1"/>
  <c r="N36" i="1" s="1"/>
  <c r="R14" i="1"/>
  <c r="N37" i="1" s="1"/>
  <c r="R15" i="1"/>
  <c r="N38" i="1" s="1"/>
  <c r="R16" i="1"/>
  <c r="N39" i="1" s="1"/>
  <c r="R17" i="1"/>
  <c r="N40" i="1" s="1"/>
  <c r="R18" i="1"/>
  <c r="N41" i="1" s="1"/>
  <c r="R19" i="1"/>
  <c r="N42" i="1" s="1"/>
  <c r="R20" i="1"/>
  <c r="N43" i="1" s="1"/>
  <c r="R21" i="1"/>
  <c r="N44" i="1" s="1"/>
  <c r="R22" i="1"/>
  <c r="N45" i="1" s="1"/>
  <c r="R23" i="1"/>
  <c r="N46" i="1" s="1"/>
  <c r="N12" i="1"/>
  <c r="L35" i="1" s="1"/>
  <c r="N13" i="1"/>
  <c r="L36" i="1" s="1"/>
  <c r="N14" i="1"/>
  <c r="L37" i="1" s="1"/>
  <c r="N15" i="1"/>
  <c r="L38" i="1" s="1"/>
  <c r="N16" i="1"/>
  <c r="L39" i="1" s="1"/>
  <c r="N17" i="1"/>
  <c r="L40" i="1" s="1"/>
  <c r="N18" i="1"/>
  <c r="L41" i="1" s="1"/>
  <c r="N19" i="1"/>
  <c r="L42" i="1" s="1"/>
  <c r="N20" i="1"/>
  <c r="L43" i="1" s="1"/>
  <c r="N21" i="1"/>
  <c r="L44" i="1" s="1"/>
  <c r="N22" i="1"/>
  <c r="L45" i="1" s="1"/>
  <c r="N23" i="1"/>
  <c r="L46" i="1" s="1"/>
  <c r="V7" i="1"/>
  <c r="P30" i="1" s="1"/>
  <c r="V8" i="1"/>
  <c r="P31" i="1" s="1"/>
  <c r="V9" i="1"/>
  <c r="P32" i="1" s="1"/>
  <c r="V10" i="1"/>
  <c r="P33" i="1" s="1"/>
  <c r="V11" i="1"/>
  <c r="P34" i="1" s="1"/>
  <c r="V6" i="1"/>
  <c r="P29" i="1" s="1"/>
  <c r="R7" i="1"/>
  <c r="N30" i="1" s="1"/>
  <c r="R8" i="1"/>
  <c r="N31" i="1" s="1"/>
  <c r="R9" i="1"/>
  <c r="N32" i="1" s="1"/>
  <c r="R10" i="1"/>
  <c r="N33" i="1" s="1"/>
  <c r="R11" i="1"/>
  <c r="N34" i="1" s="1"/>
  <c r="R6" i="1"/>
  <c r="N29" i="1" s="1"/>
  <c r="N7" i="1"/>
  <c r="N8" i="1"/>
  <c r="L31" i="1" s="1"/>
  <c r="N9" i="1"/>
  <c r="L32" i="1" s="1"/>
  <c r="N10" i="1"/>
  <c r="L33" i="1" s="1"/>
  <c r="N11" i="1"/>
  <c r="L34" i="1" s="1"/>
  <c r="Z6" i="1" l="1" a="1"/>
  <c r="AA6" i="1" s="1"/>
  <c r="L30" i="1"/>
  <c r="AB6" i="1" a="1"/>
  <c r="AB6" i="1" s="1"/>
  <c r="T30" i="1" s="1"/>
  <c r="Z12" i="1" a="1"/>
  <c r="Z12" i="1" s="1"/>
  <c r="AB12" i="1" a="1"/>
  <c r="AB12" i="1" s="1"/>
  <c r="AD12" i="1" a="1"/>
  <c r="AD12" i="1" s="1"/>
  <c r="X31" i="1" s="1"/>
  <c r="Z18" i="1" a="1"/>
  <c r="AD6" i="1" a="1"/>
  <c r="AB18" i="1" a="1"/>
  <c r="AD18" i="1" a="1"/>
  <c r="O29" i="1"/>
  <c r="M46" i="1"/>
  <c r="O46" i="1"/>
  <c r="Q46" i="1"/>
  <c r="O34" i="1"/>
  <c r="M45" i="1"/>
  <c r="O45" i="1"/>
  <c r="Q45" i="1"/>
  <c r="O33" i="1"/>
  <c r="M44" i="1"/>
  <c r="O44" i="1"/>
  <c r="Q44" i="1"/>
  <c r="O32" i="1"/>
  <c r="M43" i="1"/>
  <c r="O43" i="1"/>
  <c r="Q43" i="1"/>
  <c r="O31" i="1"/>
  <c r="M42" i="1"/>
  <c r="O42" i="1"/>
  <c r="Q42" i="1"/>
  <c r="O30" i="1"/>
  <c r="M41" i="1"/>
  <c r="O41" i="1"/>
  <c r="Q41" i="1"/>
  <c r="Q29" i="1"/>
  <c r="M40" i="1"/>
  <c r="O40" i="1"/>
  <c r="Q40" i="1"/>
  <c r="M34" i="1"/>
  <c r="Q34" i="1"/>
  <c r="M39" i="1"/>
  <c r="O39" i="1"/>
  <c r="Q39" i="1"/>
  <c r="M33" i="1"/>
  <c r="Q33" i="1"/>
  <c r="M38" i="1"/>
  <c r="O38" i="1"/>
  <c r="Q38" i="1"/>
  <c r="M32" i="1"/>
  <c r="Q32" i="1"/>
  <c r="M37" i="1"/>
  <c r="O37" i="1"/>
  <c r="Q37" i="1"/>
  <c r="M31" i="1"/>
  <c r="Q31" i="1"/>
  <c r="M36" i="1"/>
  <c r="O36" i="1"/>
  <c r="Q36" i="1"/>
  <c r="M30" i="1"/>
  <c r="Q30" i="1"/>
  <c r="M35" i="1"/>
  <c r="O35" i="1"/>
  <c r="Q35" i="1"/>
  <c r="Z7" i="1" l="1"/>
  <c r="AA7" i="1"/>
  <c r="Z8" i="1"/>
  <c r="AA8" i="1"/>
  <c r="AA9" i="1"/>
  <c r="Z10" i="1"/>
  <c r="Z5" i="6" a="1"/>
  <c r="Z6" i="6" s="1"/>
  <c r="Z9" i="1"/>
  <c r="AA10" i="1"/>
  <c r="Z6" i="1"/>
  <c r="T29" i="1" s="1"/>
  <c r="AD15" i="1"/>
  <c r="AB9" i="1"/>
  <c r="AC8" i="1"/>
  <c r="AB10" i="1"/>
  <c r="AC6" i="1"/>
  <c r="AC10" i="1"/>
  <c r="AD13" i="1"/>
  <c r="Y31" i="1" s="1"/>
  <c r="AC9" i="1"/>
  <c r="AC7" i="1"/>
  <c r="AD14" i="1"/>
  <c r="AB7" i="1"/>
  <c r="U30" i="1" s="1"/>
  <c r="AB8" i="1"/>
  <c r="AE15" i="1"/>
  <c r="AE14" i="1"/>
  <c r="AD16" i="1"/>
  <c r="AE12" i="1"/>
  <c r="AE13" i="1"/>
  <c r="AE16" i="1"/>
  <c r="Z14" i="1"/>
  <c r="AC14" i="1"/>
  <c r="AB13" i="1"/>
  <c r="Y30" i="1" s="1"/>
  <c r="AA13" i="1"/>
  <c r="Z16" i="1"/>
  <c r="AC15" i="1"/>
  <c r="AC13" i="1"/>
  <c r="AA15" i="1"/>
  <c r="AA16" i="1"/>
  <c r="AA14" i="1"/>
  <c r="AA12" i="1"/>
  <c r="AB16" i="1"/>
  <c r="AC12" i="1"/>
  <c r="AC16" i="1"/>
  <c r="AB14" i="1"/>
  <c r="AB15" i="1"/>
  <c r="Z15" i="1"/>
  <c r="Z13" i="1"/>
  <c r="Y29" i="1" s="1"/>
  <c r="AD18" i="1"/>
  <c r="AE18" i="1"/>
  <c r="AD21" i="1"/>
  <c r="AE20" i="1"/>
  <c r="AE19" i="1"/>
  <c r="AD22" i="1"/>
  <c r="AD19" i="1"/>
  <c r="AD20" i="1"/>
  <c r="AE22" i="1"/>
  <c r="AE21" i="1"/>
  <c r="AD6" i="1"/>
  <c r="AD8" i="1"/>
  <c r="AE9" i="1"/>
  <c r="AD9" i="1"/>
  <c r="AE7" i="1"/>
  <c r="AD7" i="1"/>
  <c r="AE10" i="1"/>
  <c r="AD10" i="1"/>
  <c r="AE6" i="1"/>
  <c r="AE8" i="1"/>
  <c r="Z18" i="1"/>
  <c r="AA21" i="1"/>
  <c r="AA20" i="1"/>
  <c r="AA22" i="1"/>
  <c r="Z20" i="1"/>
  <c r="Z22" i="1"/>
  <c r="AA18" i="1"/>
  <c r="Z21" i="1"/>
  <c r="AA19" i="1"/>
  <c r="Z19" i="1"/>
  <c r="AB18" i="1"/>
  <c r="AC19" i="1"/>
  <c r="AB22" i="1"/>
  <c r="AB20" i="1"/>
  <c r="AB19" i="1"/>
  <c r="AC18" i="1"/>
  <c r="AC21" i="1"/>
  <c r="AC22" i="1"/>
  <c r="AB21" i="1"/>
  <c r="AC20" i="1"/>
  <c r="Z18" i="6" l="1"/>
  <c r="AC20" i="6"/>
  <c r="AG9" i="6"/>
  <c r="AB8" i="6"/>
  <c r="AD7" i="6"/>
  <c r="AB15" i="6"/>
  <c r="AB18" i="6"/>
  <c r="Z19" i="6"/>
  <c r="AC14" i="6"/>
  <c r="AC21" i="6"/>
  <c r="AG21" i="6"/>
  <c r="AG13" i="6"/>
  <c r="AC11" i="6"/>
  <c r="AA14" i="6"/>
  <c r="AE16" i="6"/>
  <c r="AG16" i="6"/>
  <c r="AC6" i="6"/>
  <c r="AE6" i="6"/>
  <c r="AG19" i="6"/>
  <c r="AF13" i="6"/>
  <c r="AA20" i="6"/>
  <c r="AC17" i="6"/>
  <c r="AG14" i="6"/>
  <c r="AA6" i="6"/>
  <c r="AC5" i="6"/>
  <c r="AB21" i="6"/>
  <c r="AD14" i="6"/>
  <c r="AF21" i="6"/>
  <c r="AG6" i="6"/>
  <c r="AB10" i="6"/>
  <c r="AA11" i="6"/>
  <c r="AG17" i="6"/>
  <c r="AF11" i="6"/>
  <c r="AB9" i="6"/>
  <c r="AA19" i="6"/>
  <c r="AD17" i="6"/>
  <c r="AC7" i="6"/>
  <c r="AB7" i="6"/>
  <c r="AD20" i="6"/>
  <c r="AC10" i="6"/>
  <c r="AF18" i="6"/>
  <c r="AA8" i="6"/>
  <c r="AB17" i="6"/>
  <c r="AF15" i="6"/>
  <c r="AA15" i="6"/>
  <c r="AE7" i="6"/>
  <c r="AF12" i="6"/>
  <c r="AG10" i="6"/>
  <c r="AD11" i="6"/>
  <c r="AE18" i="6"/>
  <c r="AA17" i="6"/>
  <c r="AF17" i="6"/>
  <c r="AF14" i="6"/>
  <c r="AF22" i="6"/>
  <c r="AC18" i="6"/>
  <c r="AD10" i="6"/>
  <c r="Z17" i="6"/>
  <c r="AA13" i="6"/>
  <c r="AF8" i="6"/>
  <c r="Z11" i="6"/>
  <c r="Z12" i="6"/>
  <c r="Z13" i="6"/>
  <c r="AA7" i="6"/>
  <c r="AE5" i="6"/>
  <c r="AC9" i="6"/>
  <c r="AG5" i="6"/>
  <c r="AB6" i="6"/>
  <c r="AE8" i="6"/>
  <c r="AC12" i="6"/>
  <c r="AF10" i="6"/>
  <c r="AG15" i="6"/>
  <c r="AF19" i="6"/>
  <c r="Z21" i="6"/>
  <c r="AG12" i="6"/>
  <c r="AG7" i="6"/>
  <c r="Z15" i="6"/>
  <c r="AD21" i="6"/>
  <c r="AD9" i="6"/>
  <c r="AE15" i="6"/>
  <c r="AD8" i="6"/>
  <c r="AE12" i="6"/>
  <c r="AC15" i="6"/>
  <c r="AF9" i="6"/>
  <c r="Z20" i="6"/>
  <c r="AD18" i="6"/>
  <c r="AA16" i="6"/>
  <c r="AF6" i="6"/>
  <c r="Z14" i="6"/>
  <c r="AF5" i="6"/>
  <c r="AB20" i="6"/>
  <c r="AA12" i="6"/>
  <c r="AB19" i="6"/>
  <c r="AG8" i="6"/>
  <c r="Z16" i="6"/>
  <c r="Z8" i="6"/>
  <c r="Z9" i="6"/>
  <c r="Z7" i="6"/>
  <c r="AD5" i="6"/>
  <c r="AA21" i="6"/>
  <c r="AD13" i="6"/>
  <c r="AC13" i="6"/>
  <c r="AC8" i="6"/>
  <c r="AG20" i="6"/>
  <c r="AB13" i="6"/>
  <c r="AB14" i="6"/>
  <c r="AE13" i="6"/>
  <c r="AE11" i="6"/>
  <c r="AB11" i="6"/>
  <c r="AB5" i="6"/>
  <c r="AE21" i="6"/>
  <c r="AB12" i="6"/>
  <c r="AC22" i="6"/>
  <c r="AE22" i="6"/>
  <c r="AA9" i="6"/>
  <c r="AG11" i="6"/>
  <c r="AE10" i="6"/>
  <c r="AD15" i="6"/>
  <c r="AD22" i="6"/>
  <c r="AF16" i="6"/>
  <c r="AD12" i="6"/>
  <c r="AA5" i="6"/>
  <c r="AG22" i="6"/>
  <c r="AA22" i="6"/>
  <c r="AC16" i="6"/>
  <c r="AA10" i="6"/>
  <c r="AF7" i="6"/>
  <c r="AF20" i="6"/>
  <c r="AG18" i="6"/>
  <c r="AD19" i="6"/>
  <c r="AB16" i="6"/>
  <c r="AC19" i="6"/>
  <c r="AE19" i="6"/>
  <c r="AE9" i="6"/>
  <c r="AD6" i="6"/>
  <c r="Z5" i="6"/>
  <c r="Z22" i="6"/>
  <c r="AE20" i="6"/>
  <c r="Z10" i="6"/>
  <c r="AB22" i="6"/>
  <c r="AE17" i="6"/>
  <c r="AD16" i="6"/>
  <c r="AA18" i="6"/>
  <c r="AE14" i="6"/>
  <c r="T31" i="1"/>
  <c r="AC29" i="1"/>
  <c r="AC31" i="1"/>
  <c r="U31" i="1"/>
  <c r="AB30" i="1"/>
  <c r="AB31" i="1"/>
  <c r="X30" i="1"/>
  <c r="AB29" i="1"/>
  <c r="X29" i="1"/>
  <c r="AC30" i="1"/>
  <c r="AK5" i="6" l="1" a="1"/>
  <c r="AD32" i="1"/>
  <c r="Z32" i="1"/>
  <c r="F1" i="4" l="1" a="1"/>
  <c r="F1" i="4" s="1"/>
  <c r="M3" i="4" s="1" a="1"/>
  <c r="M3" i="4" s="1"/>
  <c r="N3" i="4" s="1"/>
  <c r="G1" i="4" a="1"/>
  <c r="G1" i="4" s="1"/>
  <c r="M4" i="4" s="1" a="1"/>
  <c r="M4" i="4" s="1"/>
  <c r="N4" i="4" s="1"/>
  <c r="AK5" i="6"/>
  <c r="AS5" i="6"/>
  <c r="AQ6" i="6"/>
  <c r="AP5" i="6"/>
  <c r="AR5" i="6"/>
  <c r="AK7" i="6"/>
  <c r="AU6" i="6"/>
  <c r="AL7" i="6"/>
  <c r="AU5" i="6"/>
  <c r="AT7" i="6"/>
  <c r="AO7" i="6"/>
  <c r="AQ7" i="6"/>
  <c r="AK6" i="6"/>
  <c r="AO6" i="6"/>
  <c r="AM7" i="6"/>
  <c r="AO5" i="6"/>
  <c r="AM6" i="6"/>
  <c r="AN7" i="6"/>
  <c r="AN6" i="6"/>
  <c r="AL6" i="6"/>
  <c r="AT6" i="6"/>
  <c r="AV7" i="6"/>
  <c r="AS6" i="6"/>
  <c r="AM5" i="6"/>
  <c r="AR7" i="6"/>
  <c r="AS7" i="6"/>
  <c r="AN5" i="6"/>
  <c r="AL5" i="6"/>
  <c r="AV5" i="6"/>
  <c r="AQ5" i="6"/>
  <c r="AR6" i="6"/>
  <c r="AT5" i="6"/>
  <c r="AU7" i="6"/>
  <c r="AP6" i="6"/>
  <c r="AP7" i="6"/>
  <c r="AV6" i="6"/>
  <c r="V32" i="1"/>
  <c r="AA32" i="1"/>
  <c r="AQ8" i="6" s="1" a="1"/>
  <c r="AE32" i="1"/>
  <c r="AU8" i="6" s="1" a="1"/>
  <c r="P4" i="4" a="1"/>
  <c r="O3" i="4" a="1"/>
  <c r="O4" i="4" a="1"/>
  <c r="P3" i="4" a="1"/>
  <c r="N46" i="5" l="1"/>
  <c r="N47" i="5" s="1"/>
  <c r="J45" i="5"/>
  <c r="N45" i="5"/>
  <c r="F46" i="5"/>
  <c r="F47" i="5" s="1"/>
  <c r="J46" i="5"/>
  <c r="J47" i="5" s="1"/>
  <c r="AV8" i="6"/>
  <c r="AU8" i="6"/>
  <c r="AR8" i="6"/>
  <c r="AQ8" i="6"/>
  <c r="F45" i="5"/>
  <c r="E1" i="4" a="1"/>
  <c r="E1" i="4" s="1"/>
  <c r="M2" i="4" s="1" a="1"/>
  <c r="M2" i="4" s="1"/>
  <c r="N2" i="4" s="1"/>
  <c r="P4" i="4"/>
  <c r="AB34" i="1" s="1"/>
  <c r="AS10" i="6" s="1"/>
  <c r="O4" i="4"/>
  <c r="AB33" i="1" s="1"/>
  <c r="AS9" i="6" s="1"/>
  <c r="P3" i="4"/>
  <c r="X34" i="1" s="1"/>
  <c r="AO10" i="6" s="1"/>
  <c r="O3" i="4"/>
  <c r="X33" i="1" s="1"/>
  <c r="AO9" i="6" s="1"/>
  <c r="W32" i="1"/>
  <c r="AM8" i="6" s="1" a="1"/>
  <c r="P2" i="4" a="1"/>
  <c r="O2" i="4" a="1"/>
  <c r="AM8" i="6" l="1"/>
  <c r="AN8" i="6"/>
  <c r="X35" i="1"/>
  <c r="AO11" i="6" s="1"/>
  <c r="AB35" i="1"/>
  <c r="AS11" i="6" s="1"/>
  <c r="O2" i="4"/>
  <c r="T33" i="1" s="1"/>
  <c r="AK9" i="6" s="1"/>
  <c r="P2" i="4"/>
  <c r="T34" i="1" s="1"/>
  <c r="AK10" i="6" s="1"/>
  <c r="T35" i="1" l="1"/>
  <c r="AK1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<sst xmlns="http://schemas.openxmlformats.org/spreadsheetml/2006/main" count="287" uniqueCount="141">
  <si>
    <t>P (gf)</t>
    <phoneticPr fontId="1" type="noConversion"/>
  </si>
  <si>
    <t>y (mm)</t>
    <phoneticPr fontId="1" type="noConversion"/>
  </si>
  <si>
    <t>try1</t>
    <phoneticPr fontId="1" type="noConversion"/>
  </si>
  <si>
    <t>try2</t>
    <phoneticPr fontId="1" type="noConversion"/>
  </si>
  <si>
    <t>try3</t>
    <phoneticPr fontId="1" type="noConversion"/>
  </si>
  <si>
    <t>L (mm)</t>
    <phoneticPr fontId="1" type="noConversion"/>
  </si>
  <si>
    <t>Yellow</t>
    <phoneticPr fontId="1" type="noConversion"/>
  </si>
  <si>
    <t>Black</t>
    <phoneticPr fontId="1" type="noConversion"/>
  </si>
  <si>
    <t>Silver</t>
    <phoneticPr fontId="1" type="noConversion"/>
  </si>
  <si>
    <t>b</t>
    <phoneticPr fontId="1" type="noConversion"/>
  </si>
  <si>
    <t>h</t>
    <phoneticPr fontId="1" type="noConversion"/>
  </si>
  <si>
    <t>I</t>
    <phoneticPr fontId="1" type="noConversion"/>
  </si>
  <si>
    <t>avg</t>
    <phoneticPr fontId="1" type="noConversion"/>
  </si>
  <si>
    <t>b!=0?</t>
    <phoneticPr fontId="1" type="noConversion"/>
  </si>
  <si>
    <t xml:space="preserve"> </t>
    <phoneticPr fontId="1" type="noConversion"/>
  </si>
  <si>
    <t>a</t>
  </si>
  <si>
    <t>fit opt</t>
    <phoneticPr fontId="1" type="noConversion"/>
  </si>
  <si>
    <t xml:space="preserve">Fitting line </t>
    <phoneticPr fontId="1" type="noConversion"/>
  </si>
  <si>
    <t>Sa</t>
    <phoneticPr fontId="1" type="noConversion"/>
  </si>
  <si>
    <t>E (kgf/cm^2)</t>
    <phoneticPr fontId="1" type="noConversion"/>
  </si>
  <si>
    <t>Y</t>
    <phoneticPr fontId="1" type="noConversion"/>
  </si>
  <si>
    <t>B</t>
    <phoneticPr fontId="1" type="noConversion"/>
  </si>
  <si>
    <t>S</t>
    <phoneticPr fontId="1" type="noConversion"/>
  </si>
  <si>
    <t>material</t>
    <phoneticPr fontId="1" type="noConversion"/>
  </si>
  <si>
    <t>E_avg</t>
    <phoneticPr fontId="1" type="noConversion"/>
  </si>
  <si>
    <t>-</t>
    <phoneticPr fontId="1" type="noConversion"/>
  </si>
  <si>
    <t>철</t>
  </si>
  <si>
    <t>연강(C 0.12~0.2%)</t>
  </si>
  <si>
    <t>경강(C 0.4~0.5%)</t>
  </si>
  <si>
    <t>주 강</t>
  </si>
  <si>
    <t>주 철</t>
  </si>
  <si>
    <t>니켈강(Ni 2~3%)</t>
  </si>
  <si>
    <t>니 켈</t>
  </si>
  <si>
    <t>텅스텐</t>
  </si>
  <si>
    <t>구 리</t>
  </si>
  <si>
    <t>인청동</t>
  </si>
  <si>
    <t>포 금</t>
  </si>
  <si>
    <t>황 동(7.3)</t>
  </si>
  <si>
    <t>알루미늄</t>
  </si>
  <si>
    <t>듀랄루민</t>
  </si>
  <si>
    <t>주 석</t>
  </si>
  <si>
    <t>납</t>
  </si>
  <si>
    <t>금</t>
  </si>
  <si>
    <t>은</t>
  </si>
  <si>
    <t>select</t>
    <phoneticPr fontId="1" type="noConversion"/>
  </si>
  <si>
    <t>E</t>
    <phoneticPr fontId="1" type="noConversion"/>
  </si>
  <si>
    <t>err</t>
    <phoneticPr fontId="1" type="noConversion"/>
  </si>
  <si>
    <t>k</t>
    <phoneticPr fontId="1" type="noConversion"/>
  </si>
  <si>
    <t>400 (L)</t>
  </si>
  <si>
    <t>300 (3L/4)</t>
  </si>
  <si>
    <t>200 (L/2)</t>
  </si>
  <si>
    <t>y (mm)</t>
  </si>
  <si>
    <t>0.510</t>
  </si>
  <si>
    <t>0.460</t>
  </si>
  <si>
    <t>0.217</t>
  </si>
  <si>
    <t>1.090</t>
  </si>
  <si>
    <t>0.807</t>
  </si>
  <si>
    <t>0.423</t>
  </si>
  <si>
    <t>1.687</t>
  </si>
  <si>
    <t>1.240</t>
  </si>
  <si>
    <t>0.617</t>
  </si>
  <si>
    <t>2.203</t>
  </si>
  <si>
    <t>1.607</t>
  </si>
  <si>
    <t>0.827</t>
  </si>
  <si>
    <t>2.820</t>
  </si>
  <si>
    <t>2.033</t>
  </si>
  <si>
    <t>1.023</t>
  </si>
  <si>
    <t>3.360</t>
  </si>
  <si>
    <t>2.397</t>
  </si>
  <si>
    <t>1.223</t>
  </si>
  <si>
    <t>0.323</t>
  </si>
  <si>
    <t>0.230</t>
  </si>
  <si>
    <t>0.133</t>
  </si>
  <si>
    <t>0.737</t>
  </si>
  <si>
    <t>0.453</t>
  </si>
  <si>
    <t>0.263</t>
  </si>
  <si>
    <t>1.050</t>
  </si>
  <si>
    <t>0.743</t>
  </si>
  <si>
    <t>0.393</t>
  </si>
  <si>
    <t>1.343</t>
  </si>
  <si>
    <t>0.940</t>
  </si>
  <si>
    <t>0.517</t>
  </si>
  <si>
    <t>1.707</t>
  </si>
  <si>
    <t>1.227</t>
  </si>
  <si>
    <t>0.637</t>
  </si>
  <si>
    <t>2.053</t>
  </si>
  <si>
    <t>1.403</t>
  </si>
  <si>
    <t>0.767</t>
  </si>
  <si>
    <t>0.933</t>
  </si>
  <si>
    <t>0.337</t>
  </si>
  <si>
    <t>2.010</t>
  </si>
  <si>
    <t>1.167</t>
  </si>
  <si>
    <t>0.640</t>
  </si>
  <si>
    <t>2.710</t>
  </si>
  <si>
    <t>1.857</t>
  </si>
  <si>
    <t>0.980</t>
  </si>
  <si>
    <t>3.587</t>
  </si>
  <si>
    <t>2.440</t>
  </si>
  <si>
    <t>1.300</t>
  </si>
  <si>
    <t>4.227</t>
  </si>
  <si>
    <t>2.990</t>
  </si>
  <si>
    <t>1.627</t>
  </si>
  <si>
    <t>5.157</t>
  </si>
  <si>
    <t>3.517</t>
  </si>
  <si>
    <t>1.953</t>
  </si>
  <si>
    <t>장치명</t>
    <phoneticPr fontId="1" type="noConversion"/>
  </si>
  <si>
    <t>모델명</t>
    <phoneticPr fontId="1" type="noConversion"/>
  </si>
  <si>
    <t>측정단위</t>
    <phoneticPr fontId="1" type="noConversion"/>
  </si>
  <si>
    <t>측정불확도</t>
    <phoneticPr fontId="1" type="noConversion"/>
  </si>
  <si>
    <t>비고</t>
    <phoneticPr fontId="1" type="noConversion"/>
  </si>
  <si>
    <t>다이얼 인디케이터</t>
    <phoneticPr fontId="1" type="noConversion"/>
  </si>
  <si>
    <t>ID-SX 543</t>
    <phoneticPr fontId="1" type="noConversion"/>
  </si>
  <si>
    <t>0.00 mm (0.000 mm 선택 가능)</t>
    <phoneticPr fontId="1" type="noConversion"/>
  </si>
  <si>
    <t>측정력</t>
    <phoneticPr fontId="1" type="noConversion"/>
  </si>
  <si>
    <t>0.001 mm</t>
    <phoneticPr fontId="1" type="noConversion"/>
  </si>
  <si>
    <t>1.5N</t>
    <phoneticPr fontId="1" type="noConversion"/>
  </si>
  <si>
    <t>외팔보</t>
    <phoneticPr fontId="1" type="noConversion"/>
  </si>
  <si>
    <t>재료</t>
    <phoneticPr fontId="1" type="noConversion"/>
  </si>
  <si>
    <t>물성을 모르는 3 가지 금속</t>
    <phoneticPr fontId="1" type="noConversion"/>
  </si>
  <si>
    <t>제원</t>
    <phoneticPr fontId="1" type="noConversion"/>
  </si>
  <si>
    <t>850 * 3.1 * 25.25  (mm)</t>
    <phoneticPr fontId="1" type="noConversion"/>
  </si>
  <si>
    <t>무게추, 추 걸이</t>
    <phoneticPr fontId="1" type="noConversion"/>
  </si>
  <si>
    <t>불확도</t>
    <phoneticPr fontId="1" type="noConversion"/>
  </si>
  <si>
    <t>줄자</t>
    <phoneticPr fontId="1" type="noConversion"/>
  </si>
  <si>
    <t>mm</t>
    <phoneticPr fontId="1" type="noConversion"/>
  </si>
  <si>
    <t>± 0.5 mm</t>
    <phoneticPr fontId="1" type="noConversion"/>
  </si>
  <si>
    <t>추 무게</t>
    <phoneticPr fontId="1" type="noConversion"/>
  </si>
  <si>
    <t>20 gf</t>
    <phoneticPr fontId="1" type="noConversion"/>
  </si>
  <si>
    <t>추 걸이 무게</t>
    <phoneticPr fontId="1" type="noConversion"/>
  </si>
  <si>
    <t>용수철 저울 이용하여 무게 측정.</t>
    <phoneticPr fontId="1" type="noConversion"/>
  </si>
  <si>
    <t>용수철 저울</t>
    <phoneticPr fontId="1" type="noConversion"/>
  </si>
  <si>
    <t>g (gf)</t>
    <phoneticPr fontId="1" type="noConversion"/>
  </si>
  <si>
    <t>± 5 g (gf)</t>
    <phoneticPr fontId="1" type="noConversion"/>
  </si>
  <si>
    <t>±5 gf</t>
    <phoneticPr fontId="1" type="noConversion"/>
  </si>
  <si>
    <t>E_err</t>
    <phoneticPr fontId="1" type="noConversion"/>
  </si>
  <si>
    <t>h (mm)</t>
    <phoneticPr fontId="1" type="noConversion"/>
  </si>
  <si>
    <t>b (mm)</t>
    <phoneticPr fontId="1" type="noConversion"/>
  </si>
  <si>
    <t>I (mm^4)</t>
    <phoneticPr fontId="1" type="noConversion"/>
  </si>
  <si>
    <t>Yellow</t>
  </si>
  <si>
    <t>Black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</si>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</sst>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E+00"/>
    <numFmt numFmtId="177" formatCode="&quot;±&quot;0.00&quot; %&quot;"/>
    <numFmt numFmtId="178" formatCode="&quot;±&quot;0.0000"/>
    <numFmt numFmtId="179" formatCode="0.00_);[Red]\(0.00\)"/>
    <numFmt numFmtId="180" formatCode="0_);[Red]\(0\)"/>
    <numFmt numFmtId="181" formatCode="&quot;±&quot;0.00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666666"/>
      <name val="Dotum"/>
      <family val="3"/>
    </font>
    <font>
      <b/>
      <sz val="10"/>
      <color rgb="FF666666"/>
      <name val="Dotum"/>
      <family val="3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HY신명조"/>
      <family val="1"/>
      <charset val="129"/>
    </font>
    <font>
      <sz val="10"/>
      <color theme="1"/>
      <name val="HY신명조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FFF95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/>
      <diagonal style="medium">
        <color indexed="64"/>
      </diagonal>
    </border>
    <border diagonalUp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>
      <left/>
      <right/>
      <top/>
      <bottom/>
      <diagonal style="medium">
        <color indexed="64"/>
      </diagonal>
    </border>
    <border diagonalUp="1">
      <left/>
      <right style="medium">
        <color indexed="64"/>
      </right>
      <top/>
      <bottom/>
      <diagonal style="medium">
        <color indexed="64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Up="1">
      <left style="medium">
        <color indexed="64"/>
      </left>
      <right/>
      <top/>
      <bottom/>
      <diagonal style="medium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 diagonalUp="1" diagonalDown="1">
      <left style="medium">
        <color indexed="64"/>
      </left>
      <right/>
      <top style="thin">
        <color indexed="64"/>
      </top>
      <bottom/>
      <diagonal style="hair">
        <color indexed="64"/>
      </diagonal>
    </border>
    <border diagonalUp="1" diagonalDown="1">
      <left/>
      <right style="medium">
        <color indexed="64"/>
      </right>
      <top style="thin">
        <color indexed="64"/>
      </top>
      <bottom/>
      <diagonal style="hair">
        <color indexed="64"/>
      </diagonal>
    </border>
    <border diagonalUp="1" diagonalDown="1">
      <left style="medium">
        <color indexed="64"/>
      </left>
      <right/>
      <top/>
      <bottom/>
      <diagonal style="hair">
        <color indexed="64"/>
      </diagonal>
    </border>
    <border diagonalUp="1" diagonalDown="1">
      <left/>
      <right style="medium">
        <color indexed="64"/>
      </right>
      <top/>
      <bottom/>
      <diagonal style="hair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hair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hair">
        <color indexed="64"/>
      </diagonal>
    </border>
    <border diagonalUp="1" diagonalDown="1">
      <left/>
      <right/>
      <top style="thin">
        <color indexed="64"/>
      </top>
      <bottom/>
      <diagonal style="hair">
        <color indexed="64"/>
      </diagonal>
    </border>
    <border diagonalUp="1" diagonalDown="1">
      <left/>
      <right/>
      <top/>
      <bottom/>
      <diagonal style="hair">
        <color indexed="64"/>
      </diagonal>
    </border>
    <border diagonalUp="1" diagonalDown="1">
      <left/>
      <right/>
      <top/>
      <bottom style="medium">
        <color indexed="64"/>
      </bottom>
      <diagonal style="hair">
        <color indexed="64"/>
      </diagonal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1" xfId="0" applyBorder="1">
      <alignment vertical="center"/>
    </xf>
    <xf numFmtId="0" fontId="0" fillId="0" borderId="2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77" fontId="0" fillId="0" borderId="2" xfId="0" applyNumberFormat="1" applyBorder="1" applyAlignment="1">
      <alignment horizontal="left" vertical="center"/>
    </xf>
    <xf numFmtId="177" fontId="0" fillId="0" borderId="11" xfId="0" applyNumberFormat="1" applyBorder="1" applyAlignment="1">
      <alignment horizontal="left" vertical="center"/>
    </xf>
    <xf numFmtId="177" fontId="0" fillId="0" borderId="14" xfId="0" applyNumberFormat="1" applyBorder="1" applyAlignment="1">
      <alignment horizontal="left" vertical="center"/>
    </xf>
    <xf numFmtId="177" fontId="0" fillId="0" borderId="5" xfId="0" applyNumberForma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left" vertical="center"/>
    </xf>
    <xf numFmtId="178" fontId="0" fillId="0" borderId="2" xfId="0" applyNumberFormat="1" applyBorder="1" applyAlignment="1">
      <alignment horizontal="left" vertical="center"/>
    </xf>
    <xf numFmtId="0" fontId="0" fillId="2" borderId="0" xfId="0" applyFill="1">
      <alignment vertical="center"/>
    </xf>
    <xf numFmtId="0" fontId="4" fillId="3" borderId="24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right" vertical="center"/>
    </xf>
    <xf numFmtId="177" fontId="0" fillId="0" borderId="23" xfId="0" applyNumberFormat="1" applyBorder="1" applyAlignment="1">
      <alignment horizontal="left" vertical="center"/>
    </xf>
    <xf numFmtId="177" fontId="0" fillId="0" borderId="22" xfId="0" applyNumberFormat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177" fontId="0" fillId="0" borderId="4" xfId="0" applyNumberFormat="1" applyBorder="1" applyAlignment="1">
      <alignment horizontal="left" vertical="center"/>
    </xf>
    <xf numFmtId="11" fontId="0" fillId="0" borderId="21" xfId="0" applyNumberFormat="1" applyBorder="1">
      <alignment vertical="center"/>
    </xf>
    <xf numFmtId="11" fontId="0" fillId="0" borderId="1" xfId="0" applyNumberFormat="1" applyBorder="1">
      <alignment vertical="center"/>
    </xf>
    <xf numFmtId="11" fontId="0" fillId="0" borderId="3" xfId="0" applyNumberFormat="1" applyBorder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177" fontId="0" fillId="0" borderId="0" xfId="0" applyNumberFormat="1">
      <alignment vertical="center"/>
    </xf>
    <xf numFmtId="0" fontId="0" fillId="5" borderId="0" xfId="0" applyFill="1">
      <alignment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180" fontId="8" fillId="5" borderId="7" xfId="0" applyNumberFormat="1" applyFont="1" applyFill="1" applyBorder="1">
      <alignment vertical="center"/>
    </xf>
    <xf numFmtId="179" fontId="8" fillId="5" borderId="1" xfId="0" applyNumberFormat="1" applyFont="1" applyFill="1" applyBorder="1">
      <alignment vertical="center"/>
    </xf>
    <xf numFmtId="0" fontId="8" fillId="5" borderId="21" xfId="0" applyFont="1" applyFill="1" applyBorder="1">
      <alignment vertical="center"/>
    </xf>
    <xf numFmtId="177" fontId="8" fillId="5" borderId="2" xfId="0" applyNumberFormat="1" applyFont="1" applyFill="1" applyBorder="1" applyAlignment="1">
      <alignment horizontal="left" vertical="center"/>
    </xf>
    <xf numFmtId="0" fontId="8" fillId="5" borderId="21" xfId="0" applyFont="1" applyFill="1" applyBorder="1" applyAlignment="1">
      <alignment horizontal="right" vertical="center"/>
    </xf>
    <xf numFmtId="0" fontId="8" fillId="5" borderId="1" xfId="0" applyFont="1" applyFill="1" applyBorder="1">
      <alignment vertical="center"/>
    </xf>
    <xf numFmtId="0" fontId="8" fillId="5" borderId="1" xfId="0" applyFont="1" applyFill="1" applyBorder="1" applyAlignment="1">
      <alignment horizontal="right" vertical="center"/>
    </xf>
    <xf numFmtId="0" fontId="8" fillId="5" borderId="16" xfId="0" applyFont="1" applyFill="1" applyBorder="1">
      <alignment vertical="center"/>
    </xf>
    <xf numFmtId="0" fontId="7" fillId="5" borderId="9" xfId="0" applyFont="1" applyFill="1" applyBorder="1" applyAlignment="1">
      <alignment horizontal="center" vertical="center"/>
    </xf>
    <xf numFmtId="177" fontId="8" fillId="5" borderId="11" xfId="0" applyNumberFormat="1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right" vertical="center"/>
    </xf>
    <xf numFmtId="177" fontId="8" fillId="5" borderId="14" xfId="0" applyNumberFormat="1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right" vertical="center"/>
    </xf>
    <xf numFmtId="180" fontId="8" fillId="5" borderId="8" xfId="0" applyNumberFormat="1" applyFont="1" applyFill="1" applyBorder="1">
      <alignment vertical="center"/>
    </xf>
    <xf numFmtId="179" fontId="8" fillId="5" borderId="3" xfId="0" applyNumberFormat="1" applyFont="1" applyFill="1" applyBorder="1">
      <alignment vertical="center"/>
    </xf>
    <xf numFmtId="0" fontId="8" fillId="5" borderId="3" xfId="0" applyFont="1" applyFill="1" applyBorder="1">
      <alignment vertical="center"/>
    </xf>
    <xf numFmtId="177" fontId="8" fillId="5" borderId="5" xfId="0" applyNumberFormat="1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8" fillId="5" borderId="23" xfId="0" applyFont="1" applyFill="1" applyBorder="1" applyAlignment="1">
      <alignment horizontal="right" vertical="center"/>
    </xf>
    <xf numFmtId="177" fontId="8" fillId="5" borderId="23" xfId="0" applyNumberFormat="1" applyFont="1" applyFill="1" applyBorder="1" applyAlignment="1">
      <alignment horizontal="left" vertical="center"/>
    </xf>
    <xf numFmtId="11" fontId="8" fillId="5" borderId="21" xfId="0" applyNumberFormat="1" applyFont="1" applyFill="1" applyBorder="1">
      <alignment vertical="center"/>
    </xf>
    <xf numFmtId="177" fontId="8" fillId="5" borderId="22" xfId="0" applyNumberFormat="1" applyFont="1" applyFill="1" applyBorder="1" applyAlignment="1">
      <alignment horizontal="left" vertical="center"/>
    </xf>
    <xf numFmtId="0" fontId="8" fillId="5" borderId="0" xfId="0" applyFont="1" applyFill="1" applyAlignment="1">
      <alignment horizontal="right" vertical="center"/>
    </xf>
    <xf numFmtId="177" fontId="8" fillId="5" borderId="0" xfId="0" applyNumberFormat="1" applyFont="1" applyFill="1" applyAlignment="1">
      <alignment horizontal="left" vertical="center"/>
    </xf>
    <xf numFmtId="11" fontId="8" fillId="5" borderId="1" xfId="0" applyNumberFormat="1" applyFont="1" applyFill="1" applyBorder="1">
      <alignment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11" fontId="7" fillId="5" borderId="15" xfId="0" applyNumberFormat="1" applyFont="1" applyFill="1" applyBorder="1">
      <alignment vertical="center"/>
    </xf>
    <xf numFmtId="177" fontId="7" fillId="5" borderId="11" xfId="0" applyNumberFormat="1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180" fontId="8" fillId="5" borderId="6" xfId="0" applyNumberFormat="1" applyFont="1" applyFill="1" applyBorder="1">
      <alignment vertical="center"/>
    </xf>
    <xf numFmtId="179" fontId="8" fillId="5" borderId="21" xfId="0" applyNumberFormat="1" applyFont="1" applyFill="1" applyBorder="1">
      <alignment vertical="center"/>
    </xf>
    <xf numFmtId="0" fontId="8" fillId="5" borderId="26" xfId="0" applyFont="1" applyFill="1" applyBorder="1">
      <alignment vertical="center"/>
    </xf>
    <xf numFmtId="178" fontId="8" fillId="5" borderId="22" xfId="0" applyNumberFormat="1" applyFont="1" applyFill="1" applyBorder="1" applyAlignment="1">
      <alignment horizontal="left" vertical="center"/>
    </xf>
    <xf numFmtId="0" fontId="8" fillId="5" borderId="27" xfId="0" applyFont="1" applyFill="1" applyBorder="1">
      <alignment vertical="center"/>
    </xf>
    <xf numFmtId="178" fontId="8" fillId="5" borderId="2" xfId="0" applyNumberFormat="1" applyFont="1" applyFill="1" applyBorder="1" applyAlignment="1">
      <alignment horizontal="left" vertical="center"/>
    </xf>
    <xf numFmtId="0" fontId="8" fillId="5" borderId="46" xfId="0" applyFont="1" applyFill="1" applyBorder="1" applyAlignment="1">
      <alignment horizontal="right" vertical="center"/>
    </xf>
    <xf numFmtId="181" fontId="0" fillId="0" borderId="2" xfId="0" applyNumberFormat="1" applyBorder="1" applyAlignment="1">
      <alignment horizontal="left" vertical="center"/>
    </xf>
    <xf numFmtId="181" fontId="0" fillId="0" borderId="11" xfId="0" applyNumberFormat="1" applyBorder="1" applyAlignment="1">
      <alignment horizontal="left" vertical="center"/>
    </xf>
    <xf numFmtId="181" fontId="0" fillId="0" borderId="14" xfId="0" applyNumberFormat="1" applyBorder="1" applyAlignment="1">
      <alignment horizontal="left" vertical="center"/>
    </xf>
    <xf numFmtId="181" fontId="0" fillId="0" borderId="5" xfId="0" applyNumberFormat="1" applyBorder="1" applyAlignment="1">
      <alignment horizontal="left" vertical="center"/>
    </xf>
    <xf numFmtId="181" fontId="8" fillId="5" borderId="2" xfId="0" applyNumberFormat="1" applyFont="1" applyFill="1" applyBorder="1" applyAlignment="1">
      <alignment horizontal="left" vertical="center"/>
    </xf>
    <xf numFmtId="181" fontId="8" fillId="5" borderId="11" xfId="0" applyNumberFormat="1" applyFont="1" applyFill="1" applyBorder="1" applyAlignment="1">
      <alignment horizontal="left" vertical="center"/>
    </xf>
    <xf numFmtId="181" fontId="8" fillId="5" borderId="14" xfId="0" applyNumberFormat="1" applyFont="1" applyFill="1" applyBorder="1" applyAlignment="1">
      <alignment horizontal="left" vertical="center"/>
    </xf>
    <xf numFmtId="181" fontId="8" fillId="5" borderId="5" xfId="0" applyNumberFormat="1" applyFont="1" applyFill="1" applyBorder="1" applyAlignment="1">
      <alignment horizontal="left" vertical="center"/>
    </xf>
    <xf numFmtId="0" fontId="7" fillId="5" borderId="56" xfId="0" applyFont="1" applyFill="1" applyBorder="1" applyAlignment="1">
      <alignment horizontal="center" vertical="center"/>
    </xf>
    <xf numFmtId="179" fontId="8" fillId="5" borderId="26" xfId="0" applyNumberFormat="1" applyFont="1" applyFill="1" applyBorder="1">
      <alignment vertical="center"/>
    </xf>
    <xf numFmtId="179" fontId="8" fillId="5" borderId="27" xfId="0" applyNumberFormat="1" applyFont="1" applyFill="1" applyBorder="1">
      <alignment vertical="center"/>
    </xf>
    <xf numFmtId="179" fontId="8" fillId="5" borderId="28" xfId="0" applyNumberFormat="1" applyFont="1" applyFill="1" applyBorder="1">
      <alignment vertical="center"/>
    </xf>
    <xf numFmtId="0" fontId="7" fillId="5" borderId="57" xfId="0" applyFont="1" applyFill="1" applyBorder="1" applyAlignment="1">
      <alignment horizontal="center" vertical="center"/>
    </xf>
    <xf numFmtId="179" fontId="8" fillId="5" borderId="58" xfId="0" applyNumberFormat="1" applyFont="1" applyFill="1" applyBorder="1">
      <alignment vertical="center"/>
    </xf>
    <xf numFmtId="179" fontId="8" fillId="5" borderId="59" xfId="0" applyNumberFormat="1" applyFont="1" applyFill="1" applyBorder="1">
      <alignment vertical="center"/>
    </xf>
    <xf numFmtId="179" fontId="8" fillId="5" borderId="60" xfId="0" applyNumberFormat="1" applyFont="1" applyFill="1" applyBorder="1">
      <alignment vertical="center"/>
    </xf>
    <xf numFmtId="0" fontId="7" fillId="5" borderId="17" xfId="0" applyFont="1" applyFill="1" applyBorder="1">
      <alignment vertical="center"/>
    </xf>
    <xf numFmtId="0" fontId="0" fillId="5" borderId="4" xfId="0" applyFill="1" applyBorder="1">
      <alignment vertical="center"/>
    </xf>
    <xf numFmtId="181" fontId="7" fillId="5" borderId="2" xfId="0" applyNumberFormat="1" applyFont="1" applyFill="1" applyBorder="1" applyAlignment="1">
      <alignment horizontal="left" vertical="center"/>
    </xf>
    <xf numFmtId="0" fontId="6" fillId="5" borderId="4" xfId="0" applyFont="1" applyFill="1" applyBorder="1">
      <alignment vertical="center"/>
    </xf>
    <xf numFmtId="0" fontId="7" fillId="5" borderId="29" xfId="0" applyFont="1" applyFill="1" applyBorder="1">
      <alignment vertical="center"/>
    </xf>
    <xf numFmtId="0" fontId="7" fillId="5" borderId="25" xfId="0" applyFont="1" applyFill="1" applyBorder="1" applyAlignment="1">
      <alignment horizontal="center" vertical="center"/>
    </xf>
    <xf numFmtId="0" fontId="8" fillId="5" borderId="30" xfId="0" applyFont="1" applyFill="1" applyBorder="1">
      <alignment vertical="center"/>
    </xf>
    <xf numFmtId="10" fontId="0" fillId="0" borderId="17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1" fontId="0" fillId="0" borderId="17" xfId="0" applyNumberFormat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11" fontId="0" fillId="0" borderId="1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11" fontId="7" fillId="5" borderId="15" xfId="0" applyNumberFormat="1" applyFont="1" applyFill="1" applyBorder="1" applyAlignment="1">
      <alignment horizontal="center" vertical="center"/>
    </xf>
    <xf numFmtId="11" fontId="7" fillId="5" borderId="10" xfId="0" applyNumberFormat="1" applyFont="1" applyFill="1" applyBorder="1" applyAlignment="1">
      <alignment horizontal="center" vertical="center"/>
    </xf>
    <xf numFmtId="11" fontId="7" fillId="5" borderId="11" xfId="0" applyNumberFormat="1" applyFont="1" applyFill="1" applyBorder="1" applyAlignment="1">
      <alignment horizontal="center" vertical="center"/>
    </xf>
    <xf numFmtId="10" fontId="8" fillId="5" borderId="34" xfId="0" applyNumberFormat="1" applyFont="1" applyFill="1" applyBorder="1" applyAlignment="1">
      <alignment horizontal="center" vertical="center"/>
    </xf>
    <xf numFmtId="10" fontId="8" fillId="5" borderId="36" xfId="0" applyNumberFormat="1" applyFont="1" applyFill="1" applyBorder="1" applyAlignment="1">
      <alignment horizontal="center" vertical="center"/>
    </xf>
    <xf numFmtId="10" fontId="8" fillId="5" borderId="35" xfId="0" applyNumberFormat="1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8" fillId="5" borderId="47" xfId="0" applyFont="1" applyFill="1" applyBorder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5" borderId="48" xfId="0" applyFont="1" applyFill="1" applyBorder="1" applyAlignment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0" fontId="8" fillId="5" borderId="54" xfId="0" applyFont="1" applyFill="1" applyBorder="1" applyAlignment="1">
      <alignment horizontal="center" vertical="center"/>
    </xf>
    <xf numFmtId="0" fontId="8" fillId="5" borderId="50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55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left" vertical="center"/>
    </xf>
    <xf numFmtId="0" fontId="8" fillId="5" borderId="32" xfId="0" applyFont="1" applyFill="1" applyBorder="1" applyAlignment="1">
      <alignment horizontal="left" vertical="center"/>
    </xf>
    <xf numFmtId="0" fontId="8" fillId="5" borderId="33" xfId="0" applyFont="1" applyFill="1" applyBorder="1" applyAlignment="1">
      <alignment horizontal="left" vertical="center"/>
    </xf>
    <xf numFmtId="9" fontId="0" fillId="0" borderId="17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데이터계산!$J$6:$J$11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xVal>
          <c:yVal>
            <c:numRef>
              <c:f>데이터계산!$N$6:$N$11</c:f>
              <c:numCache>
                <c:formatCode>General</c:formatCode>
                <c:ptCount val="6"/>
                <c:pt idx="0">
                  <c:v>0.51</c:v>
                </c:pt>
                <c:pt idx="1">
                  <c:v>1.0900000000000001</c:v>
                </c:pt>
                <c:pt idx="2">
                  <c:v>1.6866666666666668</c:v>
                </c:pt>
                <c:pt idx="3">
                  <c:v>2.2033333333333331</c:v>
                </c:pt>
                <c:pt idx="4">
                  <c:v>2.8200000000000003</c:v>
                </c:pt>
                <c:pt idx="5">
                  <c:v>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6-445B-992B-2C93165DE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00896"/>
        <c:axId val="1321316016"/>
      </c:scatterChart>
      <c:valAx>
        <c:axId val="98730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1316016"/>
        <c:crosses val="autoZero"/>
        <c:crossBetween val="midCat"/>
      </c:valAx>
      <c:valAx>
        <c:axId val="13213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730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데이터계산!$J$6:$J$11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xVal>
          <c:yVal>
            <c:numRef>
              <c:f>데이터계산!$R$6:$R$11</c:f>
              <c:numCache>
                <c:formatCode>General</c:formatCode>
                <c:ptCount val="6"/>
                <c:pt idx="0">
                  <c:v>0.45999999999999996</c:v>
                </c:pt>
                <c:pt idx="1">
                  <c:v>0.80666666666666664</c:v>
                </c:pt>
                <c:pt idx="2">
                  <c:v>1.24</c:v>
                </c:pt>
                <c:pt idx="3">
                  <c:v>1.6066666666666667</c:v>
                </c:pt>
                <c:pt idx="4">
                  <c:v>2.0333333333333332</c:v>
                </c:pt>
                <c:pt idx="5">
                  <c:v>2.3966666666666669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8A-4EF1-8C7C-2DF9238DA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00896"/>
        <c:axId val="1321316016"/>
      </c:scatterChart>
      <c:valAx>
        <c:axId val="98730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1316016"/>
        <c:crosses val="autoZero"/>
        <c:crossBetween val="midCat"/>
      </c:valAx>
      <c:valAx>
        <c:axId val="13213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730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데이터계산!$J$6:$J$11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xVal>
          <c:yVal>
            <c:numRef>
              <c:f>데이터계산!$V$6:$V$11</c:f>
              <c:numCache>
                <c:formatCode>General</c:formatCode>
                <c:ptCount val="6"/>
                <c:pt idx="0">
                  <c:v>0.21666666666666667</c:v>
                </c:pt>
                <c:pt idx="1">
                  <c:v>0.42333333333333334</c:v>
                </c:pt>
                <c:pt idx="2">
                  <c:v>0.6166666666666667</c:v>
                </c:pt>
                <c:pt idx="3">
                  <c:v>0.82666666666666666</c:v>
                </c:pt>
                <c:pt idx="4">
                  <c:v>1.0233333333333334</c:v>
                </c:pt>
                <c:pt idx="5">
                  <c:v>1.2233333333333334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5A-4617-B841-C5096F9C8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00896"/>
        <c:axId val="1321316016"/>
      </c:scatterChart>
      <c:valAx>
        <c:axId val="98730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1316016"/>
        <c:crosses val="autoZero"/>
        <c:crossBetween val="midCat"/>
      </c:valAx>
      <c:valAx>
        <c:axId val="13213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730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데이터계산!$J$12:$J$17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xVal>
          <c:yVal>
            <c:numRef>
              <c:f>데이터계산!$N$12:$N$17</c:f>
              <c:numCache>
                <c:formatCode>General</c:formatCode>
                <c:ptCount val="6"/>
                <c:pt idx="0">
                  <c:v>0.32333333333333331</c:v>
                </c:pt>
                <c:pt idx="1">
                  <c:v>0.73666666666666669</c:v>
                </c:pt>
                <c:pt idx="2">
                  <c:v>1.05</c:v>
                </c:pt>
                <c:pt idx="3">
                  <c:v>1.3433333333333335</c:v>
                </c:pt>
                <c:pt idx="4">
                  <c:v>1.7066666666666668</c:v>
                </c:pt>
                <c:pt idx="5">
                  <c:v>2.0533333333333332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5-41B1-9D82-8EEAAE179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00896"/>
        <c:axId val="1321316016"/>
      </c:scatterChart>
      <c:valAx>
        <c:axId val="98730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1316016"/>
        <c:crosses val="autoZero"/>
        <c:crossBetween val="midCat"/>
      </c:valAx>
      <c:valAx>
        <c:axId val="13213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730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데이터계산!$J$12:$J$17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xVal>
          <c:yVal>
            <c:numRef>
              <c:f>데이터계산!$R$12:$R$17</c:f>
              <c:numCache>
                <c:formatCode>General</c:formatCode>
                <c:ptCount val="6"/>
                <c:pt idx="0">
                  <c:v>0.22999999999999998</c:v>
                </c:pt>
                <c:pt idx="1">
                  <c:v>0.45333333333333331</c:v>
                </c:pt>
                <c:pt idx="2">
                  <c:v>0.74333333333333329</c:v>
                </c:pt>
                <c:pt idx="3">
                  <c:v>0.94</c:v>
                </c:pt>
                <c:pt idx="4">
                  <c:v>1.2266666666666666</c:v>
                </c:pt>
                <c:pt idx="5">
                  <c:v>1.4033333333333333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DA-4164-A8DF-633181D5A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00896"/>
        <c:axId val="1321316016"/>
      </c:scatterChart>
      <c:valAx>
        <c:axId val="98730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1316016"/>
        <c:crosses val="autoZero"/>
        <c:crossBetween val="midCat"/>
      </c:valAx>
      <c:valAx>
        <c:axId val="13213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730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데이터계산!$J$12:$J$17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xVal>
          <c:yVal>
            <c:numRef>
              <c:f>데이터계산!$V$12:$V$17</c:f>
              <c:numCache>
                <c:formatCode>General</c:formatCode>
                <c:ptCount val="6"/>
                <c:pt idx="0">
                  <c:v>0.13333333333333333</c:v>
                </c:pt>
                <c:pt idx="1">
                  <c:v>0.26333333333333336</c:v>
                </c:pt>
                <c:pt idx="2">
                  <c:v>0.39333333333333337</c:v>
                </c:pt>
                <c:pt idx="3">
                  <c:v>0.51666666666666672</c:v>
                </c:pt>
                <c:pt idx="4">
                  <c:v>0.63666666666666671</c:v>
                </c:pt>
                <c:pt idx="5">
                  <c:v>0.76666666666666661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B-438F-B6F4-C52B4236C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00896"/>
        <c:axId val="1321316016"/>
      </c:scatterChart>
      <c:valAx>
        <c:axId val="98730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1316016"/>
        <c:crosses val="autoZero"/>
        <c:crossBetween val="midCat"/>
      </c:valAx>
      <c:valAx>
        <c:axId val="13213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730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데이터계산!$J$18:$J$23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xVal>
          <c:yVal>
            <c:numRef>
              <c:f>데이터계산!$N$18:$N$23</c:f>
              <c:numCache>
                <c:formatCode>General</c:formatCode>
                <c:ptCount val="6"/>
                <c:pt idx="0">
                  <c:v>0.93333333333333324</c:v>
                </c:pt>
                <c:pt idx="1">
                  <c:v>2.0099999999999998</c:v>
                </c:pt>
                <c:pt idx="2">
                  <c:v>2.7100000000000004</c:v>
                </c:pt>
                <c:pt idx="3">
                  <c:v>3.5866666666666664</c:v>
                </c:pt>
                <c:pt idx="4">
                  <c:v>4.2266666666666675</c:v>
                </c:pt>
                <c:pt idx="5">
                  <c:v>5.1566666666666663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CC-4F9E-866D-46A7811E3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00896"/>
        <c:axId val="1321316016"/>
      </c:scatterChart>
      <c:valAx>
        <c:axId val="98730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1316016"/>
        <c:crosses val="autoZero"/>
        <c:crossBetween val="midCat"/>
      </c:valAx>
      <c:valAx>
        <c:axId val="13213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730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데이터계산!$J$18:$J$23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xVal>
          <c:yVal>
            <c:numRef>
              <c:f>데이터계산!$R$18:$R$23</c:f>
              <c:numCache>
                <c:formatCode>General</c:formatCode>
                <c:ptCount val="6"/>
                <c:pt idx="0">
                  <c:v>0.63666666666666671</c:v>
                </c:pt>
                <c:pt idx="1">
                  <c:v>1.1666666666666667</c:v>
                </c:pt>
                <c:pt idx="2">
                  <c:v>1.8566666666666667</c:v>
                </c:pt>
                <c:pt idx="3">
                  <c:v>2.44</c:v>
                </c:pt>
                <c:pt idx="4">
                  <c:v>2.9899999999999998</c:v>
                </c:pt>
                <c:pt idx="5">
                  <c:v>3.5166666666666662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CC-42F9-8E31-28C74C829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00896"/>
        <c:axId val="1321316016"/>
      </c:scatterChart>
      <c:valAx>
        <c:axId val="98730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1316016"/>
        <c:crosses val="autoZero"/>
        <c:crossBetween val="midCat"/>
      </c:valAx>
      <c:valAx>
        <c:axId val="13213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730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데이터계산!$J$18:$J$23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xVal>
          <c:yVal>
            <c:numRef>
              <c:f>데이터계산!$V$18:$V$23</c:f>
              <c:numCache>
                <c:formatCode>General</c:formatCode>
                <c:ptCount val="6"/>
                <c:pt idx="0">
                  <c:v>0.33666666666666667</c:v>
                </c:pt>
                <c:pt idx="1">
                  <c:v>0.64</c:v>
                </c:pt>
                <c:pt idx="2">
                  <c:v>0.98</c:v>
                </c:pt>
                <c:pt idx="3">
                  <c:v>1.3</c:v>
                </c:pt>
                <c:pt idx="4">
                  <c:v>1.6266666666666667</c:v>
                </c:pt>
                <c:pt idx="5">
                  <c:v>1.9533333333333331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DF-40F8-BFC7-B6BDD5354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300896"/>
        <c:axId val="1321316016"/>
      </c:scatterChart>
      <c:valAx>
        <c:axId val="98730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1316016"/>
        <c:crosses val="autoZero"/>
        <c:crossBetween val="midCat"/>
      </c:valAx>
      <c:valAx>
        <c:axId val="13213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730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157558</xdr:colOff>
      <xdr:row>15</xdr:row>
      <xdr:rowOff>132254</xdr:rowOff>
    </xdr:from>
    <xdr:to>
      <xdr:col>9</xdr:col>
      <xdr:colOff>557111</xdr:colOff>
      <xdr:row>22</xdr:row>
      <xdr:rowOff>57979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9E432DD-22C3-B579-4158-172D06E35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8797" y="3254797"/>
          <a:ext cx="1774466" cy="1375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436024</xdr:colOff>
      <xdr:row>7</xdr:row>
      <xdr:rowOff>28515</xdr:rowOff>
    </xdr:from>
    <xdr:to>
      <xdr:col>9</xdr:col>
      <xdr:colOff>285751</xdr:colOff>
      <xdr:row>14</xdr:row>
      <xdr:rowOff>182563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FC7C6DD-5FB4-F93C-943E-F761C0896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26133" y="1498937"/>
          <a:ext cx="1218946" cy="1612564"/>
        </a:xfrm>
        <a:prstGeom prst="rect">
          <a:avLst/>
        </a:prstGeom>
      </xdr:spPr>
    </xdr:pic>
    <xdr:clientData/>
  </xdr:twoCellAnchor>
  <xdr:twoCellAnchor editAs="oneCell">
    <xdr:from>
      <xdr:col>8</xdr:col>
      <xdr:colOff>33130</xdr:colOff>
      <xdr:row>23</xdr:row>
      <xdr:rowOff>24849</xdr:rowOff>
    </xdr:from>
    <xdr:to>
      <xdr:col>9</xdr:col>
      <xdr:colOff>8283</xdr:colOff>
      <xdr:row>30</xdr:row>
      <xdr:rowOff>184586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25EED232-C2AF-29CD-8460-FC3320A26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1826" y="4812197"/>
          <a:ext cx="662609" cy="1609193"/>
        </a:xfrm>
        <a:prstGeom prst="rect">
          <a:avLst/>
        </a:prstGeom>
      </xdr:spPr>
    </xdr:pic>
    <xdr:clientData/>
  </xdr:twoCellAnchor>
  <xdr:twoCellAnchor editAs="oneCell">
    <xdr:from>
      <xdr:col>7</xdr:col>
      <xdr:colOff>215348</xdr:colOff>
      <xdr:row>31</xdr:row>
      <xdr:rowOff>56123</xdr:rowOff>
    </xdr:from>
    <xdr:to>
      <xdr:col>9</xdr:col>
      <xdr:colOff>405848</xdr:colOff>
      <xdr:row>38</xdr:row>
      <xdr:rowOff>149194</xdr:rowOff>
    </xdr:to>
    <xdr:pic>
      <xdr:nvPicPr>
        <xdr:cNvPr id="3" name="그림 2" descr="Learning Resources Spring Scale, 1,000G/2.2 lbs">
          <a:extLst>
            <a:ext uri="{FF2B5EF4-FFF2-40B4-BE49-F238E27FC236}">
              <a16:creationId xmlns:a16="http://schemas.microsoft.com/office/drawing/2014/main" id="{064D9C7E-FC50-D5B2-90A9-54F4EABAE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6587" y="6508275"/>
          <a:ext cx="1565413" cy="154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278907</xdr:colOff>
      <xdr:row>39</xdr:row>
      <xdr:rowOff>36998</xdr:rowOff>
    </xdr:from>
    <xdr:to>
      <xdr:col>9</xdr:col>
      <xdr:colOff>463827</xdr:colOff>
      <xdr:row>46</xdr:row>
      <xdr:rowOff>124652</xdr:rowOff>
    </xdr:to>
    <xdr:pic>
      <xdr:nvPicPr>
        <xdr:cNvPr id="4" name="그림 3" descr="코메론 | 제품 | 줄자">
          <a:extLst>
            <a:ext uri="{FF2B5EF4-FFF2-40B4-BE49-F238E27FC236}">
              <a16:creationId xmlns:a16="http://schemas.microsoft.com/office/drawing/2014/main" id="{878ED3C9-B4BD-8F2F-775D-74EFE46D9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0146" y="8153955"/>
          <a:ext cx="1559833" cy="1537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6</xdr:row>
      <xdr:rowOff>171450</xdr:rowOff>
    </xdr:from>
    <xdr:to>
      <xdr:col>6</xdr:col>
      <xdr:colOff>123825</xdr:colOff>
      <xdr:row>20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01FF832-FA9E-5B89-2EF6-26EFB3F97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6</xdr:row>
      <xdr:rowOff>152400</xdr:rowOff>
    </xdr:from>
    <xdr:to>
      <xdr:col>11</xdr:col>
      <xdr:colOff>638175</xdr:colOff>
      <xdr:row>20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0EA72C1-14F7-4664-8831-9F5EF8560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7</xdr:row>
      <xdr:rowOff>0</xdr:rowOff>
    </xdr:from>
    <xdr:to>
      <xdr:col>17</xdr:col>
      <xdr:colOff>466725</xdr:colOff>
      <xdr:row>20</xdr:row>
      <xdr:rowOff>76200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D3823ED1-2EDA-419B-B849-B78191FBD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5</xdr:col>
      <xdr:colOff>466725</xdr:colOff>
      <xdr:row>35</xdr:row>
      <xdr:rowOff>76200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6037340-14FE-43A0-A1DB-38BFB1E5B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190500</xdr:colOff>
      <xdr:row>22</xdr:row>
      <xdr:rowOff>0</xdr:rowOff>
    </xdr:from>
    <xdr:to>
      <xdr:col>11</xdr:col>
      <xdr:colOff>657225</xdr:colOff>
      <xdr:row>35</xdr:row>
      <xdr:rowOff>76200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865AD1E-F722-4508-A443-53E78E5E6B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22</xdr:row>
      <xdr:rowOff>0</xdr:rowOff>
    </xdr:from>
    <xdr:to>
      <xdr:col>17</xdr:col>
      <xdr:colOff>466725</xdr:colOff>
      <xdr:row>35</xdr:row>
      <xdr:rowOff>76200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6F2EE68-FFCF-45E6-972D-B400BA32E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37</xdr:row>
      <xdr:rowOff>0</xdr:rowOff>
    </xdr:from>
    <xdr:to>
      <xdr:col>5</xdr:col>
      <xdr:colOff>466725</xdr:colOff>
      <xdr:row>50</xdr:row>
      <xdr:rowOff>76200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2CE0106-8597-4CA6-AA00-33DA437DB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37</xdr:row>
      <xdr:rowOff>0</xdr:rowOff>
    </xdr:from>
    <xdr:to>
      <xdr:col>11</xdr:col>
      <xdr:colOff>466725</xdr:colOff>
      <xdr:row>50</xdr:row>
      <xdr:rowOff>76200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D4E6AD04-46E5-4F26-9028-DADD18C50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0</xdr:colOff>
      <xdr:row>37</xdr:row>
      <xdr:rowOff>0</xdr:rowOff>
    </xdr:from>
    <xdr:to>
      <xdr:col>17</xdr:col>
      <xdr:colOff>466725</xdr:colOff>
      <xdr:row>50</xdr:row>
      <xdr:rowOff>76200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C7235902-7ABC-445F-BFA0-8E064F8B6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4399-4EDB-4AF9-A572-1B7AED814146}">
  <dimension ref="B2:AE46"/>
  <sheetViews>
    <sheetView tabSelected="1" topLeftCell="F1" zoomScaleNormal="100" workbookViewId="0">
      <selection activeCell="X18" sqref="X18"/>
    </sheetView>
  </sheetViews>
  <sheetFormatPr defaultRowHeight="16.5"/>
  <cols>
    <col min="6" max="6" width="9.5" bestFit="1" customWidth="1"/>
    <col min="8" max="8" width="12.5" bestFit="1" customWidth="1"/>
    <col min="9" max="22" width="8.625" customWidth="1"/>
    <col min="25" max="25" width="12" customWidth="1"/>
    <col min="26" max="26" width="9.25" bestFit="1" customWidth="1"/>
    <col min="30" max="30" width="9.375" bestFit="1" customWidth="1"/>
  </cols>
  <sheetData>
    <row r="2" spans="2:31" ht="17.25" thickBot="1">
      <c r="AA2" t="s">
        <v>16</v>
      </c>
    </row>
    <row r="3" spans="2:31" ht="17.25" thickBot="1">
      <c r="F3" s="131" t="s">
        <v>23</v>
      </c>
      <c r="G3" s="143"/>
      <c r="H3" s="143"/>
      <c r="I3" s="132"/>
      <c r="J3" s="5" t="s">
        <v>5</v>
      </c>
      <c r="K3" s="127">
        <v>400</v>
      </c>
      <c r="L3" s="135"/>
      <c r="M3" s="135"/>
      <c r="N3" s="128"/>
      <c r="O3" s="127">
        <v>300</v>
      </c>
      <c r="P3" s="135"/>
      <c r="Q3" s="135"/>
      <c r="R3" s="128"/>
      <c r="S3" s="135">
        <v>200</v>
      </c>
      <c r="T3" s="135"/>
      <c r="U3" s="135"/>
      <c r="V3" s="128"/>
      <c r="AA3" s="48" t="s">
        <v>13</v>
      </c>
    </row>
    <row r="4" spans="2:31" ht="17.25" thickBot="1">
      <c r="F4" s="144"/>
      <c r="G4" s="145"/>
      <c r="H4" s="145"/>
      <c r="I4" s="146"/>
      <c r="J4" s="142" t="s">
        <v>0</v>
      </c>
      <c r="K4" s="133" t="s">
        <v>1</v>
      </c>
      <c r="L4" s="141"/>
      <c r="M4" s="141"/>
      <c r="N4" s="134"/>
      <c r="O4" s="133" t="s">
        <v>1</v>
      </c>
      <c r="P4" s="141"/>
      <c r="Q4" s="141"/>
      <c r="R4" s="134"/>
      <c r="S4" s="141" t="s">
        <v>1</v>
      </c>
      <c r="T4" s="141"/>
      <c r="U4" s="141"/>
      <c r="V4" s="134"/>
      <c r="Z4" s="34" t="s">
        <v>44</v>
      </c>
      <c r="AA4" s="49" t="b">
        <v>1</v>
      </c>
    </row>
    <row r="5" spans="2:31" ht="17.25" thickBot="1">
      <c r="F5" s="133"/>
      <c r="G5" s="141"/>
      <c r="H5" s="141"/>
      <c r="I5" s="134"/>
      <c r="J5" s="130"/>
      <c r="K5" s="2" t="s">
        <v>2</v>
      </c>
      <c r="L5" s="16" t="s">
        <v>3</v>
      </c>
      <c r="M5" s="17" t="s">
        <v>4</v>
      </c>
      <c r="N5" s="17" t="s">
        <v>12</v>
      </c>
      <c r="O5" s="2" t="s">
        <v>2</v>
      </c>
      <c r="P5" s="16" t="s">
        <v>3</v>
      </c>
      <c r="Q5" s="17" t="s">
        <v>4</v>
      </c>
      <c r="R5" s="17" t="s">
        <v>12</v>
      </c>
      <c r="S5" s="16" t="s">
        <v>2</v>
      </c>
      <c r="T5" s="16" t="s">
        <v>3</v>
      </c>
      <c r="U5" s="17" t="s">
        <v>4</v>
      </c>
      <c r="V5" s="17" t="s">
        <v>12</v>
      </c>
      <c r="AA5" t="s">
        <v>14</v>
      </c>
    </row>
    <row r="6" spans="2:31">
      <c r="F6" s="129" t="s">
        <v>6</v>
      </c>
      <c r="G6" s="89" t="s">
        <v>10</v>
      </c>
      <c r="H6">
        <v>3.1</v>
      </c>
      <c r="I6" s="36">
        <f>0.0025</f>
        <v>2.5000000000000001E-3</v>
      </c>
      <c r="J6" s="10">
        <v>20</v>
      </c>
      <c r="K6" s="13">
        <v>0.68</v>
      </c>
      <c r="L6">
        <v>0.34</v>
      </c>
      <c r="M6" s="1">
        <v>0.51</v>
      </c>
      <c r="N6" s="1">
        <f t="shared" ref="N6:N23" si="0">AVERAGE(K6:M6)</f>
        <v>0.51</v>
      </c>
      <c r="O6" s="13">
        <v>0.5</v>
      </c>
      <c r="P6">
        <v>0.48</v>
      </c>
      <c r="Q6" s="1">
        <v>0.4</v>
      </c>
      <c r="R6" s="1">
        <f t="shared" ref="R6:R11" si="1">AVERAGE(O6:Q6)</f>
        <v>0.45999999999999996</v>
      </c>
      <c r="S6">
        <v>0.23</v>
      </c>
      <c r="T6">
        <v>0.23</v>
      </c>
      <c r="U6" s="1">
        <v>0.19</v>
      </c>
      <c r="V6" s="1">
        <f t="shared" ref="V6:V23" si="2">AVERAGE(S6:U6)</f>
        <v>0.21666666666666667</v>
      </c>
      <c r="X6" s="18"/>
      <c r="Z6" s="37">
        <f t="array" ref="Z6:AA10">LINEST(N6:N11,J6:J11,AA4,1)</f>
        <v>2.8509523809523811E-2</v>
      </c>
      <c r="AA6">
        <v>-5.0666666666666638E-2</v>
      </c>
      <c r="AB6" s="37">
        <f t="array" ref="AB6:AC10">LINEST(R6:R11,J6:J11,AA4,1)</f>
        <v>1.9614285714285716E-2</v>
      </c>
      <c r="AC6">
        <v>5.0888888888888539E-2</v>
      </c>
      <c r="AD6" s="37">
        <f t="array" ref="AD6:AE10">LINEST(V6:V11,J6:J11,AA4,1)</f>
        <v>1.0061904761904763E-2</v>
      </c>
      <c r="AE6">
        <v>1.7333333333333201E-2</v>
      </c>
    </row>
    <row r="7" spans="2:31">
      <c r="F7" s="129"/>
      <c r="G7" s="10" t="s">
        <v>9</v>
      </c>
      <c r="H7">
        <v>25.25</v>
      </c>
      <c r="I7" s="36">
        <f>0.0025</f>
        <v>2.5000000000000001E-3</v>
      </c>
      <c r="J7" s="10">
        <v>40</v>
      </c>
      <c r="K7" s="13">
        <v>1.1299999999999999</v>
      </c>
      <c r="L7">
        <v>0.93</v>
      </c>
      <c r="M7" s="1">
        <v>1.21</v>
      </c>
      <c r="N7" s="1">
        <f t="shared" si="0"/>
        <v>1.0900000000000001</v>
      </c>
      <c r="O7" s="13">
        <v>0.85</v>
      </c>
      <c r="P7">
        <v>0.82</v>
      </c>
      <c r="Q7" s="1">
        <v>0.75</v>
      </c>
      <c r="R7" s="1">
        <f t="shared" si="1"/>
        <v>0.80666666666666664</v>
      </c>
      <c r="S7">
        <v>0.42</v>
      </c>
      <c r="T7">
        <v>0.42</v>
      </c>
      <c r="U7" s="1">
        <v>0.43</v>
      </c>
      <c r="V7" s="1">
        <f t="shared" si="2"/>
        <v>0.42333333333333334</v>
      </c>
      <c r="X7" s="18"/>
      <c r="Z7" s="37">
        <v>2.6869973294601878E-4</v>
      </c>
      <c r="AA7">
        <v>2.0928702348941477E-2</v>
      </c>
      <c r="AB7" s="37">
        <v>2.6360200422013828E-4</v>
      </c>
      <c r="AC7">
        <v>2.0531646326630369E-2</v>
      </c>
      <c r="AD7" s="37">
        <v>4.492371967645976E-5</v>
      </c>
      <c r="AE7">
        <v>3.4990550500651036E-3</v>
      </c>
    </row>
    <row r="8" spans="2:31" ht="17.25" thickBot="1">
      <c r="F8" s="129"/>
      <c r="G8" s="10" t="s">
        <v>11</v>
      </c>
      <c r="H8" s="34" t="str">
        <f>FIXED(B28,4-(1+INT(LOG10(ABS(B28)))))</f>
        <v>62.69</v>
      </c>
      <c r="I8" s="35">
        <f>2.42</f>
        <v>2.42</v>
      </c>
      <c r="J8" s="10">
        <v>60</v>
      </c>
      <c r="K8" s="13">
        <v>1.86</v>
      </c>
      <c r="L8">
        <v>1.46</v>
      </c>
      <c r="M8" s="1">
        <v>1.74</v>
      </c>
      <c r="N8" s="1">
        <f t="shared" si="0"/>
        <v>1.6866666666666668</v>
      </c>
      <c r="O8" s="13">
        <v>1.28</v>
      </c>
      <c r="P8">
        <v>1.21</v>
      </c>
      <c r="Q8" s="1">
        <v>1.23</v>
      </c>
      <c r="R8" s="1">
        <f t="shared" si="1"/>
        <v>1.24</v>
      </c>
      <c r="S8">
        <v>0.63</v>
      </c>
      <c r="T8">
        <v>0.61</v>
      </c>
      <c r="U8" s="1">
        <v>0.61</v>
      </c>
      <c r="V8" s="1">
        <f t="shared" si="2"/>
        <v>0.6166666666666667</v>
      </c>
      <c r="X8" s="18"/>
      <c r="Z8">
        <v>0.99964481039286579</v>
      </c>
      <c r="AA8">
        <v>2.248103256963151E-2</v>
      </c>
      <c r="AB8">
        <v>0.99927806388718377</v>
      </c>
      <c r="AC8">
        <v>2.205452598452564E-2</v>
      </c>
      <c r="AD8">
        <v>0.99992027098905412</v>
      </c>
      <c r="AE8">
        <v>3.7585880496516198E-3</v>
      </c>
    </row>
    <row r="9" spans="2:31">
      <c r="B9" s="34"/>
      <c r="C9" s="35"/>
      <c r="F9" s="129"/>
      <c r="G9" s="147"/>
      <c r="H9" s="148"/>
      <c r="I9" s="149"/>
      <c r="J9" s="10">
        <v>80</v>
      </c>
      <c r="K9" s="13">
        <v>2.4700000000000002</v>
      </c>
      <c r="L9">
        <v>2.04</v>
      </c>
      <c r="M9" s="1">
        <v>2.1</v>
      </c>
      <c r="N9" s="1">
        <f t="shared" si="0"/>
        <v>2.2033333333333331</v>
      </c>
      <c r="O9" s="13">
        <v>1.56</v>
      </c>
      <c r="P9">
        <v>1.65</v>
      </c>
      <c r="Q9" s="1">
        <v>1.61</v>
      </c>
      <c r="R9" s="1">
        <f t="shared" si="1"/>
        <v>1.6066666666666667</v>
      </c>
      <c r="S9">
        <v>0.83</v>
      </c>
      <c r="T9">
        <v>0.82</v>
      </c>
      <c r="U9" s="1">
        <v>0.83</v>
      </c>
      <c r="V9" s="1">
        <f t="shared" si="2"/>
        <v>0.82666666666666666</v>
      </c>
      <c r="X9" s="18"/>
      <c r="Z9">
        <v>11257.590766331494</v>
      </c>
      <c r="AA9">
        <v>4</v>
      </c>
      <c r="AB9">
        <v>5536.6564777548119</v>
      </c>
      <c r="AC9">
        <v>4</v>
      </c>
      <c r="AD9">
        <v>50165.943820225293</v>
      </c>
      <c r="AE9">
        <v>4</v>
      </c>
    </row>
    <row r="10" spans="2:31">
      <c r="F10" s="129"/>
      <c r="G10" s="150"/>
      <c r="H10" s="151"/>
      <c r="I10" s="152"/>
      <c r="J10" s="10">
        <v>100</v>
      </c>
      <c r="K10" s="13">
        <v>3.04</v>
      </c>
      <c r="L10">
        <v>2.69</v>
      </c>
      <c r="M10" s="1">
        <v>2.73</v>
      </c>
      <c r="N10" s="1">
        <f t="shared" si="0"/>
        <v>2.8200000000000003</v>
      </c>
      <c r="O10" s="13">
        <v>2.0099999999999998</v>
      </c>
      <c r="P10">
        <v>2.0299999999999998</v>
      </c>
      <c r="Q10" s="1">
        <v>2.06</v>
      </c>
      <c r="R10" s="1">
        <f t="shared" si="1"/>
        <v>2.0333333333333332</v>
      </c>
      <c r="S10">
        <v>1.03</v>
      </c>
      <c r="T10">
        <v>1.01</v>
      </c>
      <c r="U10" s="1">
        <v>1.03</v>
      </c>
      <c r="V10" s="1">
        <f t="shared" si="2"/>
        <v>1.0233333333333334</v>
      </c>
      <c r="X10" s="18"/>
      <c r="Z10">
        <v>5.6895506349206348</v>
      </c>
      <c r="AA10">
        <v>2.0215873015873311E-3</v>
      </c>
      <c r="AB10">
        <v>2.693041428571429</v>
      </c>
      <c r="AC10">
        <v>1.9456084656084664E-3</v>
      </c>
      <c r="AD10">
        <v>0.70869349206349219</v>
      </c>
      <c r="AE10">
        <v>5.650793650793587E-5</v>
      </c>
    </row>
    <row r="11" spans="2:31" ht="17.25" thickBot="1">
      <c r="F11" s="140"/>
      <c r="G11" s="153"/>
      <c r="H11" s="154"/>
      <c r="I11" s="155"/>
      <c r="J11" s="11">
        <v>120</v>
      </c>
      <c r="K11" s="14">
        <v>3.55</v>
      </c>
      <c r="L11" s="8">
        <v>3.27</v>
      </c>
      <c r="M11" s="9">
        <v>3.26</v>
      </c>
      <c r="N11" s="1">
        <f t="shared" si="0"/>
        <v>3.36</v>
      </c>
      <c r="O11" s="14">
        <v>2.35</v>
      </c>
      <c r="P11" s="8">
        <v>2.37</v>
      </c>
      <c r="Q11" s="9">
        <v>2.4700000000000002</v>
      </c>
      <c r="R11" s="1">
        <f t="shared" si="1"/>
        <v>2.3966666666666669</v>
      </c>
      <c r="S11" s="8">
        <v>1.23</v>
      </c>
      <c r="T11" s="8">
        <v>1.23</v>
      </c>
      <c r="U11" s="9">
        <v>1.21</v>
      </c>
      <c r="V11" s="1">
        <f t="shared" si="2"/>
        <v>1.2233333333333334</v>
      </c>
      <c r="X11" s="18"/>
    </row>
    <row r="12" spans="2:31">
      <c r="F12" s="139" t="s">
        <v>7</v>
      </c>
      <c r="G12" s="10" t="s">
        <v>10</v>
      </c>
      <c r="H12">
        <v>3.1</v>
      </c>
      <c r="I12" s="36">
        <f>0.0025</f>
        <v>2.5000000000000001E-3</v>
      </c>
      <c r="J12" s="10">
        <v>20</v>
      </c>
      <c r="K12" s="12">
        <v>0.37</v>
      </c>
      <c r="L12" s="6">
        <v>0.31</v>
      </c>
      <c r="M12" s="7">
        <v>0.28999999999999998</v>
      </c>
      <c r="N12" s="7">
        <f t="shared" si="0"/>
        <v>0.32333333333333331</v>
      </c>
      <c r="O12" s="12">
        <v>0.25</v>
      </c>
      <c r="P12" s="6">
        <v>0.2</v>
      </c>
      <c r="Q12" s="7">
        <v>0.24</v>
      </c>
      <c r="R12" s="7">
        <f t="shared" ref="R12:R17" si="3">AVERAGE(O12:Q12)</f>
        <v>0.22999999999999998</v>
      </c>
      <c r="S12" s="6">
        <v>0.14000000000000001</v>
      </c>
      <c r="T12" s="6">
        <v>0.13</v>
      </c>
      <c r="U12" s="7">
        <v>0.13</v>
      </c>
      <c r="V12" s="7">
        <f t="shared" si="2"/>
        <v>0.13333333333333333</v>
      </c>
      <c r="X12" s="18"/>
      <c r="Z12" s="37">
        <f t="array" ref="Z12:AA16">LINEST(N12:N17,J12:J17,AA4,1)</f>
        <v>1.6933333333333335E-2</v>
      </c>
      <c r="AA12">
        <v>1.6888888888889175E-2</v>
      </c>
      <c r="AB12" s="37">
        <f t="array" ref="AB12:AC16">LINEST(R12:R17,J12:J17,AA4,1)</f>
        <v>1.1976190476190475E-2</v>
      </c>
      <c r="AC12">
        <v>-5.5555555555555358E-3</v>
      </c>
      <c r="AD12" s="37">
        <f t="array" ref="AD12:AE16">LINEST(V12:V17,J12:J17,AA4,1)</f>
        <v>6.3E-3</v>
      </c>
      <c r="AE12">
        <v>1.0666666666666658E-2</v>
      </c>
    </row>
    <row r="13" spans="2:31">
      <c r="F13" s="129"/>
      <c r="G13" s="10" t="s">
        <v>9</v>
      </c>
      <c r="H13">
        <v>25.3</v>
      </c>
      <c r="I13" s="36">
        <f>0.0025</f>
        <v>2.5000000000000001E-3</v>
      </c>
      <c r="J13" s="10">
        <v>40</v>
      </c>
      <c r="K13" s="13">
        <v>0.66</v>
      </c>
      <c r="L13">
        <v>0.8</v>
      </c>
      <c r="M13" s="1">
        <v>0.75</v>
      </c>
      <c r="N13" s="1">
        <f t="shared" si="0"/>
        <v>0.73666666666666669</v>
      </c>
      <c r="O13" s="13">
        <v>0.51</v>
      </c>
      <c r="P13">
        <v>0.42</v>
      </c>
      <c r="Q13" s="1">
        <v>0.43</v>
      </c>
      <c r="R13" s="1">
        <f t="shared" si="3"/>
        <v>0.45333333333333331</v>
      </c>
      <c r="S13">
        <v>0.26</v>
      </c>
      <c r="T13">
        <v>0.27</v>
      </c>
      <c r="U13" s="1">
        <v>0.26</v>
      </c>
      <c r="V13" s="1">
        <f t="shared" si="2"/>
        <v>0.26333333333333336</v>
      </c>
      <c r="X13" s="18"/>
      <c r="Z13" s="37">
        <v>3.7614024177357042E-4</v>
      </c>
      <c r="AA13">
        <v>2.9297115688311573E-2</v>
      </c>
      <c r="AB13" s="37">
        <v>3.5325930855089059E-4</v>
      </c>
      <c r="AC13">
        <v>2.7514947036213672E-2</v>
      </c>
      <c r="AD13" s="37">
        <v>4.3643578047198515E-5</v>
      </c>
      <c r="AE13">
        <v>3.3993463423951931E-3</v>
      </c>
    </row>
    <row r="14" spans="2:31" ht="17.25" thickBot="1">
      <c r="F14" s="129"/>
      <c r="G14" s="10" t="s">
        <v>11</v>
      </c>
      <c r="H14" s="34" t="str">
        <f>FIXED(B29,4-(1+INT(LOG10(ABS(B29)))))</f>
        <v>62.81</v>
      </c>
      <c r="I14" s="35">
        <f>2.42</f>
        <v>2.42</v>
      </c>
      <c r="J14" s="10">
        <v>60</v>
      </c>
      <c r="K14" s="13">
        <v>1.02</v>
      </c>
      <c r="L14">
        <v>1.06</v>
      </c>
      <c r="M14" s="1">
        <v>1.07</v>
      </c>
      <c r="N14" s="1">
        <f t="shared" si="0"/>
        <v>1.05</v>
      </c>
      <c r="O14" s="13">
        <v>0.73</v>
      </c>
      <c r="P14">
        <v>0.74</v>
      </c>
      <c r="Q14" s="1">
        <v>0.76</v>
      </c>
      <c r="R14" s="1">
        <f t="shared" si="3"/>
        <v>0.74333333333333329</v>
      </c>
      <c r="S14">
        <v>0.38</v>
      </c>
      <c r="T14">
        <v>0.4</v>
      </c>
      <c r="U14" s="1">
        <v>0.4</v>
      </c>
      <c r="V14" s="1">
        <f t="shared" si="2"/>
        <v>0.39333333333333337</v>
      </c>
      <c r="X14" s="18"/>
      <c r="Z14">
        <v>0.99803021708864037</v>
      </c>
      <c r="AA14">
        <v>3.1470150466280905E-2</v>
      </c>
      <c r="AB14">
        <v>0.99653182499580528</v>
      </c>
      <c r="AC14">
        <v>2.9555794246559731E-2</v>
      </c>
      <c r="AD14">
        <v>0.99980807293228569</v>
      </c>
      <c r="AE14">
        <v>3.6514837167011109E-3</v>
      </c>
    </row>
    <row r="15" spans="2:31">
      <c r="F15" s="129"/>
      <c r="G15" s="147"/>
      <c r="H15" s="148"/>
      <c r="I15" s="149"/>
      <c r="J15" s="10">
        <v>80</v>
      </c>
      <c r="K15" s="13">
        <v>1.27</v>
      </c>
      <c r="L15">
        <v>1.37</v>
      </c>
      <c r="M15" s="1">
        <v>1.39</v>
      </c>
      <c r="N15" s="1">
        <f t="shared" si="0"/>
        <v>1.3433333333333335</v>
      </c>
      <c r="O15" s="13">
        <v>1.03</v>
      </c>
      <c r="P15">
        <v>0.89</v>
      </c>
      <c r="Q15" s="1">
        <v>0.9</v>
      </c>
      <c r="R15" s="1">
        <f t="shared" si="3"/>
        <v>0.94</v>
      </c>
      <c r="S15">
        <v>0.52</v>
      </c>
      <c r="T15">
        <v>0.51</v>
      </c>
      <c r="U15" s="1">
        <v>0.52</v>
      </c>
      <c r="V15" s="1">
        <f t="shared" si="2"/>
        <v>0.51666666666666672</v>
      </c>
      <c r="X15" s="18"/>
      <c r="Z15">
        <v>2026.6806282722723</v>
      </c>
      <c r="AA15">
        <v>4</v>
      </c>
      <c r="AB15">
        <v>1149.3443367655968</v>
      </c>
      <c r="AC15">
        <v>4</v>
      </c>
      <c r="AD15">
        <v>20837.249999999956</v>
      </c>
      <c r="AE15">
        <v>4</v>
      </c>
    </row>
    <row r="16" spans="2:31">
      <c r="F16" s="129"/>
      <c r="G16" s="150"/>
      <c r="H16" s="151"/>
      <c r="I16" s="152"/>
      <c r="J16" s="10">
        <v>100</v>
      </c>
      <c r="K16" s="13">
        <v>1.74</v>
      </c>
      <c r="L16">
        <v>1.68</v>
      </c>
      <c r="M16" s="1">
        <v>1.7</v>
      </c>
      <c r="N16" s="1">
        <f t="shared" si="0"/>
        <v>1.7066666666666668</v>
      </c>
      <c r="O16" s="13">
        <v>1.21</v>
      </c>
      <c r="P16">
        <v>1.25</v>
      </c>
      <c r="Q16" s="1">
        <v>1.22</v>
      </c>
      <c r="R16" s="1">
        <f t="shared" si="3"/>
        <v>1.2266666666666666</v>
      </c>
      <c r="S16">
        <v>0.64</v>
      </c>
      <c r="T16">
        <v>0.64</v>
      </c>
      <c r="U16" s="1">
        <v>0.63</v>
      </c>
      <c r="V16" s="1">
        <f t="shared" si="2"/>
        <v>0.63666666666666671</v>
      </c>
      <c r="X16" s="18"/>
      <c r="Z16">
        <v>2.0071644444444448</v>
      </c>
      <c r="AA16">
        <v>3.9614814814814409E-3</v>
      </c>
      <c r="AB16">
        <v>1.0040039682539683</v>
      </c>
      <c r="AC16">
        <v>3.4941798941798934E-3</v>
      </c>
      <c r="AD16">
        <v>0.27782999999999997</v>
      </c>
      <c r="AE16">
        <v>5.3333333333333435E-5</v>
      </c>
    </row>
    <row r="17" spans="2:31" ht="17.25" thickBot="1">
      <c r="F17" s="140"/>
      <c r="G17" s="153"/>
      <c r="H17" s="154"/>
      <c r="I17" s="155"/>
      <c r="J17" s="11">
        <v>120</v>
      </c>
      <c r="K17" s="14">
        <v>2.02</v>
      </c>
      <c r="L17" s="8">
        <v>2.04</v>
      </c>
      <c r="M17" s="9">
        <v>2.1</v>
      </c>
      <c r="N17" s="9">
        <f t="shared" si="0"/>
        <v>2.0533333333333332</v>
      </c>
      <c r="O17" s="14">
        <v>1.4</v>
      </c>
      <c r="P17" s="8">
        <v>1.4</v>
      </c>
      <c r="Q17" s="9">
        <v>1.41</v>
      </c>
      <c r="R17" s="9">
        <f t="shared" si="3"/>
        <v>1.4033333333333333</v>
      </c>
      <c r="S17" s="8">
        <v>0.77</v>
      </c>
      <c r="T17" s="8">
        <v>0.77</v>
      </c>
      <c r="U17" s="9">
        <v>0.76</v>
      </c>
      <c r="V17" s="9">
        <f t="shared" si="2"/>
        <v>0.76666666666666661</v>
      </c>
    </row>
    <row r="18" spans="2:31">
      <c r="F18" s="139" t="s">
        <v>8</v>
      </c>
      <c r="G18" s="10" t="s">
        <v>10</v>
      </c>
      <c r="H18">
        <v>3.1</v>
      </c>
      <c r="I18" s="36">
        <f>0.0025</f>
        <v>2.5000000000000001E-3</v>
      </c>
      <c r="J18" s="10">
        <v>20</v>
      </c>
      <c r="K18" s="12">
        <v>0.89</v>
      </c>
      <c r="L18" s="6">
        <v>0.75</v>
      </c>
      <c r="M18" s="7">
        <v>1.1599999999999999</v>
      </c>
      <c r="N18" s="7">
        <f t="shared" si="0"/>
        <v>0.93333333333333324</v>
      </c>
      <c r="O18" s="12">
        <v>0.5</v>
      </c>
      <c r="P18" s="6">
        <v>0.8</v>
      </c>
      <c r="Q18" s="7">
        <v>0.61</v>
      </c>
      <c r="R18" s="7">
        <f t="shared" ref="R18:R23" si="4">AVERAGE(O18:Q18)</f>
        <v>0.63666666666666671</v>
      </c>
      <c r="S18" s="6">
        <v>0.3</v>
      </c>
      <c r="T18" s="6">
        <v>0.34</v>
      </c>
      <c r="U18" s="7">
        <v>0.37</v>
      </c>
      <c r="V18" s="7">
        <f t="shared" si="2"/>
        <v>0.33666666666666667</v>
      </c>
      <c r="X18" s="18"/>
      <c r="Z18" s="37">
        <f t="array" ref="Z18:AA22">LINEST(N18:N23,J18:J23,AA4,1)</f>
        <v>4.0919047619047612E-2</v>
      </c>
      <c r="AA18">
        <v>0.23955555555555641</v>
      </c>
      <c r="AB18" s="37">
        <f t="array" ref="AB18:AC22">LINEST(R18:R23,J18:J23,AA4,1)</f>
        <v>2.921904761904761E-2</v>
      </c>
      <c r="AC18">
        <v>5.5777777777778148E-2</v>
      </c>
      <c r="AD18" s="37">
        <f t="array" ref="AD18:AE22">LINEST(V18:V23,J18:J23,AA4,1)</f>
        <v>1.6233333333333332E-2</v>
      </c>
      <c r="AE18">
        <v>3.1111111111112866E-3</v>
      </c>
    </row>
    <row r="19" spans="2:31">
      <c r="F19" s="129"/>
      <c r="G19" s="10" t="s">
        <v>9</v>
      </c>
      <c r="H19">
        <v>25.4</v>
      </c>
      <c r="I19" s="36">
        <f>0.0025</f>
        <v>2.5000000000000001E-3</v>
      </c>
      <c r="J19" s="10">
        <v>40</v>
      </c>
      <c r="K19" s="13">
        <v>1.9</v>
      </c>
      <c r="L19">
        <v>2.12</v>
      </c>
      <c r="M19" s="1">
        <v>2.0099999999999998</v>
      </c>
      <c r="N19" s="1">
        <f t="shared" si="0"/>
        <v>2.0099999999999998</v>
      </c>
      <c r="O19" s="13">
        <v>1.19</v>
      </c>
      <c r="P19">
        <v>1.25</v>
      </c>
      <c r="Q19" s="1">
        <v>1.06</v>
      </c>
      <c r="R19" s="1">
        <f t="shared" si="4"/>
        <v>1.1666666666666667</v>
      </c>
      <c r="S19">
        <v>0.67</v>
      </c>
      <c r="T19">
        <v>0.63</v>
      </c>
      <c r="U19" s="1">
        <v>0.62</v>
      </c>
      <c r="V19" s="1">
        <f t="shared" si="2"/>
        <v>0.64</v>
      </c>
      <c r="X19" s="18"/>
      <c r="Z19" s="37">
        <v>1.3373013517968767E-3</v>
      </c>
      <c r="AA19">
        <v>0.10416081041739118</v>
      </c>
      <c r="AB19" s="37">
        <v>5.9864422282167144E-4</v>
      </c>
      <c r="AC19">
        <v>4.662768591163869E-2</v>
      </c>
      <c r="AD19" s="37">
        <v>9.456108576893093E-5</v>
      </c>
      <c r="AE19">
        <v>7.3652504085229822E-3</v>
      </c>
    </row>
    <row r="20" spans="2:31" ht="17.25" thickBot="1">
      <c r="F20" s="129"/>
      <c r="G20" s="10" t="s">
        <v>11</v>
      </c>
      <c r="H20" s="34" t="str">
        <f>FIXED(B29,4-(1+INT(LOG10(ABS(B29)))))</f>
        <v>62.81</v>
      </c>
      <c r="I20" s="35">
        <f>2.42</f>
        <v>2.42</v>
      </c>
      <c r="J20" s="10">
        <v>60</v>
      </c>
      <c r="K20" s="13">
        <v>2.66</v>
      </c>
      <c r="L20">
        <v>2.82</v>
      </c>
      <c r="M20" s="1">
        <v>2.65</v>
      </c>
      <c r="N20" s="1">
        <f t="shared" si="0"/>
        <v>2.7100000000000004</v>
      </c>
      <c r="O20" s="13">
        <v>1.84</v>
      </c>
      <c r="P20">
        <v>1.91</v>
      </c>
      <c r="Q20" s="1">
        <v>1.82</v>
      </c>
      <c r="R20" s="1">
        <f t="shared" si="4"/>
        <v>1.8566666666666667</v>
      </c>
      <c r="S20">
        <v>0.98</v>
      </c>
      <c r="T20">
        <v>0.95</v>
      </c>
      <c r="U20" s="1">
        <v>1.01</v>
      </c>
      <c r="V20" s="1">
        <f t="shared" si="2"/>
        <v>0.98</v>
      </c>
      <c r="X20" s="18"/>
      <c r="Z20">
        <v>0.99574581848935528</v>
      </c>
      <c r="AA20">
        <v>0.11188665844784301</v>
      </c>
      <c r="AB20">
        <v>0.99832375738833812</v>
      </c>
      <c r="AC20">
        <v>5.0086169135045072E-2</v>
      </c>
      <c r="AD20">
        <v>0.9998642904104913</v>
      </c>
      <c r="AE20">
        <v>7.911548052852475E-3</v>
      </c>
    </row>
    <row r="21" spans="2:31">
      <c r="F21" s="129"/>
      <c r="G21" s="147"/>
      <c r="H21" s="148"/>
      <c r="I21" s="149"/>
      <c r="J21" s="10">
        <v>80</v>
      </c>
      <c r="K21" s="13">
        <v>3.52</v>
      </c>
      <c r="L21">
        <v>3.74</v>
      </c>
      <c r="M21" s="1">
        <v>3.5</v>
      </c>
      <c r="N21" s="1">
        <f t="shared" si="0"/>
        <v>3.5866666666666664</v>
      </c>
      <c r="O21" s="13">
        <v>2.39</v>
      </c>
      <c r="P21">
        <v>2.4700000000000002</v>
      </c>
      <c r="Q21" s="1">
        <v>2.46</v>
      </c>
      <c r="R21" s="1">
        <f t="shared" si="4"/>
        <v>2.44</v>
      </c>
      <c r="S21">
        <v>1.32</v>
      </c>
      <c r="T21">
        <v>1.28</v>
      </c>
      <c r="U21" s="1">
        <v>1.3</v>
      </c>
      <c r="V21" s="1">
        <f t="shared" si="2"/>
        <v>1.3</v>
      </c>
      <c r="X21" s="18"/>
      <c r="Z21">
        <v>936.2513715015134</v>
      </c>
      <c r="AA21">
        <v>4</v>
      </c>
      <c r="AB21">
        <v>2382.2894142956538</v>
      </c>
      <c r="AC21">
        <v>4</v>
      </c>
      <c r="AD21">
        <v>29470.704142011266</v>
      </c>
      <c r="AE21">
        <v>4</v>
      </c>
    </row>
    <row r="22" spans="2:31">
      <c r="B22" t="s">
        <v>14</v>
      </c>
      <c r="F22" s="129"/>
      <c r="G22" s="150"/>
      <c r="H22" s="151"/>
      <c r="I22" s="152"/>
      <c r="J22" s="10">
        <v>100</v>
      </c>
      <c r="K22" s="13">
        <v>4.46</v>
      </c>
      <c r="L22">
        <v>4.25</v>
      </c>
      <c r="M22" s="1">
        <v>3.97</v>
      </c>
      <c r="N22" s="1">
        <f t="shared" si="0"/>
        <v>4.2266666666666675</v>
      </c>
      <c r="O22" s="13">
        <v>2.76</v>
      </c>
      <c r="P22">
        <v>3.18</v>
      </c>
      <c r="Q22" s="1">
        <v>3.03</v>
      </c>
      <c r="R22" s="1">
        <f t="shared" si="4"/>
        <v>2.9899999999999998</v>
      </c>
      <c r="S22">
        <v>1.6</v>
      </c>
      <c r="T22">
        <v>1.65</v>
      </c>
      <c r="U22" s="1">
        <v>1.63</v>
      </c>
      <c r="V22" s="1">
        <f t="shared" si="2"/>
        <v>1.6266666666666667</v>
      </c>
      <c r="X22" s="18"/>
      <c r="Z22">
        <v>11.720579206349207</v>
      </c>
      <c r="AA22">
        <v>5.0074497354497115E-2</v>
      </c>
      <c r="AB22">
        <v>5.9762692063492038</v>
      </c>
      <c r="AC22">
        <v>1.0034497354497365E-2</v>
      </c>
      <c r="AD22">
        <v>1.8446477777777777</v>
      </c>
      <c r="AE22">
        <v>2.5037037037037519E-4</v>
      </c>
    </row>
    <row r="23" spans="2:31" ht="17.25" thickBot="1">
      <c r="F23" s="130"/>
      <c r="G23" s="153"/>
      <c r="H23" s="154"/>
      <c r="I23" s="155"/>
      <c r="J23" s="22">
        <v>120</v>
      </c>
      <c r="K23" s="15">
        <v>5.27</v>
      </c>
      <c r="L23" s="3">
        <v>5.31</v>
      </c>
      <c r="M23" s="4">
        <v>4.8899999999999997</v>
      </c>
      <c r="N23" s="4">
        <f t="shared" si="0"/>
        <v>5.1566666666666663</v>
      </c>
      <c r="O23" s="15">
        <v>3.34</v>
      </c>
      <c r="P23" s="3">
        <v>3.61</v>
      </c>
      <c r="Q23" s="4">
        <v>3.6</v>
      </c>
      <c r="R23" s="4">
        <f t="shared" si="4"/>
        <v>3.5166666666666662</v>
      </c>
      <c r="S23" s="3">
        <v>1.95</v>
      </c>
      <c r="T23" s="3">
        <v>1.94</v>
      </c>
      <c r="U23" s="4">
        <v>1.97</v>
      </c>
      <c r="V23" s="4">
        <f t="shared" si="2"/>
        <v>1.9533333333333331</v>
      </c>
    </row>
    <row r="25" spans="2:31" ht="17.25" thickBot="1"/>
    <row r="26" spans="2:31" ht="17.25" thickBot="1">
      <c r="I26" s="142" t="s">
        <v>23</v>
      </c>
      <c r="J26" s="127" t="s">
        <v>5</v>
      </c>
      <c r="K26" s="128"/>
      <c r="L26" s="127">
        <v>400</v>
      </c>
      <c r="M26" s="128"/>
      <c r="N26" s="127">
        <v>300</v>
      </c>
      <c r="O26" s="128"/>
      <c r="P26" s="127">
        <v>200</v>
      </c>
      <c r="Q26" s="128"/>
      <c r="S26" s="33" t="s">
        <v>23</v>
      </c>
      <c r="T26" s="127" t="s">
        <v>138</v>
      </c>
      <c r="U26" s="135"/>
      <c r="V26" s="135"/>
      <c r="W26" s="128"/>
      <c r="X26" s="127" t="s">
        <v>139</v>
      </c>
      <c r="Y26" s="135"/>
      <c r="Z26" s="135"/>
      <c r="AA26" s="128"/>
      <c r="AB26" s="127" t="s">
        <v>140</v>
      </c>
      <c r="AC26" s="135"/>
      <c r="AD26" s="135"/>
      <c r="AE26" s="128"/>
    </row>
    <row r="27" spans="2:31">
      <c r="I27" s="129"/>
      <c r="J27" s="131" t="s">
        <v>0</v>
      </c>
      <c r="K27" s="132"/>
      <c r="L27" s="131" t="s">
        <v>1</v>
      </c>
      <c r="M27" s="132"/>
      <c r="N27" s="131" t="s">
        <v>1</v>
      </c>
      <c r="O27" s="132"/>
      <c r="P27" s="131" t="s">
        <v>1</v>
      </c>
      <c r="Q27" s="132"/>
      <c r="S27" s="129" t="s">
        <v>5</v>
      </c>
      <c r="T27" s="136" t="s">
        <v>17</v>
      </c>
      <c r="U27" s="137"/>
      <c r="V27" s="131" t="s">
        <v>19</v>
      </c>
      <c r="W27" s="132"/>
      <c r="X27" s="138" t="s">
        <v>17</v>
      </c>
      <c r="Y27" s="137"/>
      <c r="Z27" s="131" t="s">
        <v>19</v>
      </c>
      <c r="AA27" s="132"/>
      <c r="AB27" s="138" t="s">
        <v>17</v>
      </c>
      <c r="AC27" s="137"/>
      <c r="AD27" s="131" t="s">
        <v>19</v>
      </c>
      <c r="AE27" s="132"/>
    </row>
    <row r="28" spans="2:31" ht="17.25" thickBot="1">
      <c r="B28">
        <f xml:space="preserve"> H7*(H6^3)/12</f>
        <v>62.68522916666668</v>
      </c>
      <c r="I28" s="130"/>
      <c r="J28" s="133"/>
      <c r="K28" s="134"/>
      <c r="L28" s="133"/>
      <c r="M28" s="134"/>
      <c r="N28" s="133"/>
      <c r="O28" s="134"/>
      <c r="P28" s="133"/>
      <c r="Q28" s="134"/>
      <c r="S28" s="130"/>
      <c r="T28" s="2" t="s">
        <v>15</v>
      </c>
      <c r="U28" s="17" t="s">
        <v>18</v>
      </c>
      <c r="V28" s="133"/>
      <c r="W28" s="134"/>
      <c r="X28" s="16" t="s">
        <v>15</v>
      </c>
      <c r="Y28" s="17" t="s">
        <v>18</v>
      </c>
      <c r="Z28" s="133"/>
      <c r="AA28" s="134"/>
      <c r="AB28" s="16" t="s">
        <v>15</v>
      </c>
      <c r="AC28" s="17" t="s">
        <v>18</v>
      </c>
      <c r="AD28" s="133"/>
      <c r="AE28" s="134"/>
    </row>
    <row r="29" spans="2:31">
      <c r="B29">
        <f xml:space="preserve"> H13*(H12^3)/12</f>
        <v>62.809358333333343</v>
      </c>
      <c r="I29" s="129" t="s">
        <v>6</v>
      </c>
      <c r="J29" s="23">
        <f>J6</f>
        <v>20</v>
      </c>
      <c r="K29" s="98">
        <f>5</f>
        <v>5</v>
      </c>
      <c r="L29" s="24" t="str">
        <f>FIXED(N6,2-(1+INT(LOG10(ABS(N6)))))</f>
        <v>0.51</v>
      </c>
      <c r="M29" s="29">
        <f>100*(_xlfn.STDEV.S(K6:M6)/SQRT(3))/N6</f>
        <v>19.245008972987538</v>
      </c>
      <c r="N29" s="24" t="str">
        <f>FIXED(R6,2-(1+INT(LOG10(ABS(R6)))))</f>
        <v>0.46</v>
      </c>
      <c r="O29" s="29">
        <f>100*(_xlfn.STDEV.S(O6:Q6)/SQRT(3))/R6</f>
        <v>6.6414140506606367</v>
      </c>
      <c r="P29" s="24" t="str">
        <f>FIXED(V6,2-(1+INT(LOG10(ABS(V6)))))</f>
        <v>0.22</v>
      </c>
      <c r="Q29" s="29">
        <f>100*(_xlfn.STDEV.S(S6:U6)/SQRT(3))/V6</f>
        <v>6.1538461538461551</v>
      </c>
      <c r="S29" s="5">
        <v>400</v>
      </c>
      <c r="T29" s="40" t="str">
        <f>FIXED(Z6,3-(1+INT(LOG10(ABS(Z6)))))</f>
        <v>0.0285</v>
      </c>
      <c r="U29" s="41">
        <f>100*(Z7/Z6)</f>
        <v>0.9424911294248195</v>
      </c>
      <c r="V29" s="45">
        <f>(($S$29*0.1)^3)/(3*T29*100*$B$28*0.0001)</f>
        <v>1194121.8396214254</v>
      </c>
      <c r="W29" s="42">
        <v>2.61</v>
      </c>
      <c r="X29" s="40" t="str">
        <f>FIXED(Z12,3-(1+INT(LOG10(ABS(Z12)))))</f>
        <v>0.0169</v>
      </c>
      <c r="Y29" s="41">
        <f>100*(Z13/Z12)</f>
        <v>2.2213006403951003</v>
      </c>
      <c r="Z29" s="45">
        <f>0.1*($S$29^3)/(3*X29*$B$29)</f>
        <v>2009776.0105656814</v>
      </c>
      <c r="AA29" s="42">
        <v>3.3</v>
      </c>
      <c r="AB29" s="40" t="str">
        <f>FIXED(Z18,3-(1+INT(LOG10(ABS(Z18)))))</f>
        <v>0.0409</v>
      </c>
      <c r="AC29" s="41">
        <f>100*(Z19/Z18)</f>
        <v>3.2681634339269654</v>
      </c>
      <c r="AD29" s="45">
        <f>(($S$29*0.1)^3)/(3*AB29*100*$B$30*0.0001)</f>
        <v>827175.87435994111</v>
      </c>
      <c r="AE29" s="42">
        <v>4.08</v>
      </c>
    </row>
    <row r="30" spans="2:31">
      <c r="B30">
        <f xml:space="preserve"> H19*(H18^3)/12</f>
        <v>63.057616666666668</v>
      </c>
      <c r="I30" s="129"/>
      <c r="J30" s="13">
        <f>J7</f>
        <v>40</v>
      </c>
      <c r="K30" s="98">
        <f>5</f>
        <v>5</v>
      </c>
      <c r="L30" s="25" t="str">
        <f>FIXED(N7,3-(1+INT(LOG10(ABS(N7)))))</f>
        <v>1.09</v>
      </c>
      <c r="M30" s="29">
        <f t="shared" ref="M30:M46" si="5">100*(_xlfn.STDEV.S(K7:M7)/SQRT(3))/N7</f>
        <v>7.6391412824445508</v>
      </c>
      <c r="N30" s="25" t="str">
        <f>FIXED(R7,2-(1+INT(LOG10(ABS(R7)))))</f>
        <v>0.81</v>
      </c>
      <c r="O30" s="29">
        <f t="shared" ref="O30:O46" si="6">100*(_xlfn.STDEV.S(O7:Q7)/SQRT(3))/R7</f>
        <v>3.6728076104609864</v>
      </c>
      <c r="P30" s="25" t="str">
        <f>FIXED(V7,2-(1+INT(LOG10(ABS(V7)))))</f>
        <v>0.42</v>
      </c>
      <c r="Q30" s="29">
        <f t="shared" ref="Q30:Q46" si="7">100*(_xlfn.STDEV.S(S7:U7)/SQRT(3))/V7</f>
        <v>0.78740157480315021</v>
      </c>
      <c r="S30" s="19">
        <v>300</v>
      </c>
      <c r="T30" s="34" t="str">
        <f>FIXED(AB6,3-(1+INT(LOG10(ABS(AB6)))))</f>
        <v>0.0196</v>
      </c>
      <c r="U30" s="35">
        <f>100*(AB7/AB6)</f>
        <v>1.34392864496793</v>
      </c>
      <c r="V30" s="46">
        <f>0.1*(3*$S$29-$S$30)*($S$30^2)/(6*T30*$B$28)</f>
        <v>1098784.3856688698</v>
      </c>
      <c r="W30" s="29">
        <v>2.79</v>
      </c>
      <c r="X30" s="34" t="str">
        <f>FIXED(AB12,3-(1+INT(LOG10(ABS(AB12)))))</f>
        <v>0.0120</v>
      </c>
      <c r="Y30" s="35">
        <f>100*(AB13/AB12)</f>
        <v>2.949680111160518</v>
      </c>
      <c r="Z30" s="46">
        <f>0.1*(3*$S$29-$S$30)*($S$30^2)/(6*X30*$B$29)</f>
        <v>1791134.3625412502</v>
      </c>
      <c r="AA30" s="29">
        <v>3.83</v>
      </c>
      <c r="AB30" s="34" t="str">
        <f>FIXED(AB18,3-(1+INT(LOG10(ABS(AB18)))))</f>
        <v>0.0292</v>
      </c>
      <c r="AC30" s="35">
        <f>100*(AB19/AB18)</f>
        <v>2.0488149738029833</v>
      </c>
      <c r="AD30" s="46">
        <f>0.1*(3*$S$29-$S$30)*($S$30^2)/(6*AB30*$B$30)</f>
        <v>733184.6516928107</v>
      </c>
      <c r="AE30" s="29">
        <v>3.19</v>
      </c>
    </row>
    <row r="31" spans="2:31" ht="17.25" thickBot="1">
      <c r="I31" s="129"/>
      <c r="J31" s="13">
        <f t="shared" ref="J31:J46" si="8">J8</f>
        <v>60</v>
      </c>
      <c r="K31" s="98">
        <f>5</f>
        <v>5</v>
      </c>
      <c r="L31" s="25" t="str">
        <f>FIXED(N8,3-(1+INT(LOG10(ABS(N8)))))</f>
        <v>1.69</v>
      </c>
      <c r="M31" s="29">
        <f t="shared" si="5"/>
        <v>7.0262406460992812</v>
      </c>
      <c r="N31" s="25" t="str">
        <f>FIXED(R8,3-(1+INT(LOG10(ABS(R8)))))</f>
        <v>1.24</v>
      </c>
      <c r="O31" s="29">
        <f t="shared" si="6"/>
        <v>1.67876290279527</v>
      </c>
      <c r="P31" s="25" t="str">
        <f>FIXED(V8,2-(1+INT(LOG10(ABS(V8)))))</f>
        <v>0.62</v>
      </c>
      <c r="Q31" s="29">
        <f t="shared" si="7"/>
        <v>1.0810810810810818</v>
      </c>
      <c r="S31" s="20">
        <v>200</v>
      </c>
      <c r="T31" s="43" t="str">
        <f>FIXED(AD6,3-(1+INT(LOG10(ABS(AD6)))))</f>
        <v>0.0101</v>
      </c>
      <c r="U31" s="44">
        <f>100*(AD7/AD6)</f>
        <v>0.44647331434247739</v>
      </c>
      <c r="V31" s="47">
        <f>0.1*(3*$S$29-$S$31)*($S$31^2)/(6*T31*$B$28)</f>
        <v>1052984.9142701307</v>
      </c>
      <c r="W31" s="32">
        <v>2.5099999999999998</v>
      </c>
      <c r="X31" s="43" t="str">
        <f>FIXED(AD12,3-(1+INT(LOG10(ABS(AD12)))))</f>
        <v>0.00630</v>
      </c>
      <c r="Y31" s="44">
        <f>100*(AD13/AD12)</f>
        <v>0.69275520709838911</v>
      </c>
      <c r="Z31" s="47">
        <f>0.1*(3*$S$29-$S$31)*($S$31^2)/(6*X31*$B$30)</f>
        <v>1678149.4673274597</v>
      </c>
      <c r="AA31" s="32">
        <f>2.56</f>
        <v>2.56</v>
      </c>
      <c r="AB31" s="43" t="str">
        <f>FIXED(AD18,3-(1+INT(LOG10(ABS(AD18)))))</f>
        <v>0.0162</v>
      </c>
      <c r="AC31" s="44">
        <f>100*(AD19/AD18)</f>
        <v>0.58251182198520091</v>
      </c>
      <c r="AD31" s="47">
        <f>0.1*(3*$S$29-$S$31)*($S$31^2)/(6*AB31*$B$30)</f>
        <v>652613.68173845659</v>
      </c>
      <c r="AE31" s="32">
        <v>2.54</v>
      </c>
    </row>
    <row r="32" spans="2:31" ht="17.25" thickBot="1">
      <c r="I32" s="129"/>
      <c r="J32" s="13">
        <f t="shared" si="8"/>
        <v>80</v>
      </c>
      <c r="K32" s="98">
        <f>5</f>
        <v>5</v>
      </c>
      <c r="L32" s="25" t="str">
        <f>FIXED(N9,3-(1+INT(LOG10(ABS(N9)))))</f>
        <v>2.20</v>
      </c>
      <c r="M32" s="29">
        <f t="shared" si="5"/>
        <v>6.1022826112250277</v>
      </c>
      <c r="N32" s="25" t="str">
        <f>FIXED(R9,3-(1+INT(LOG10(ABS(R9)))))</f>
        <v>1.61</v>
      </c>
      <c r="O32" s="29">
        <f t="shared" si="6"/>
        <v>1.6203837501881002</v>
      </c>
      <c r="P32" s="25" t="str">
        <f>FIXED(V9,2-(1+INT(LOG10(ABS(V9)))))</f>
        <v>0.83</v>
      </c>
      <c r="Q32" s="29">
        <f t="shared" si="7"/>
        <v>0.40322580645161321</v>
      </c>
      <c r="S32" s="19" t="s">
        <v>24</v>
      </c>
      <c r="T32" s="127" t="s">
        <v>25</v>
      </c>
      <c r="U32" s="128"/>
      <c r="V32" s="46">
        <f>AVERAGE(V29:V31)</f>
        <v>1115297.0465201419</v>
      </c>
      <c r="W32" s="32">
        <f>100*(_xlfn.STDEV.S(V29:V31)/SQRT(3))/V32</f>
        <v>3.7273351450202794</v>
      </c>
      <c r="X32" s="127" t="s">
        <v>25</v>
      </c>
      <c r="Y32" s="128"/>
      <c r="Z32" s="46">
        <f>AVERAGE(Z29:Z31)</f>
        <v>1826353.2801447969</v>
      </c>
      <c r="AA32" s="32">
        <f>100*(_xlfn.STDEV.S(Z29:Z31)/SQRT(3))/Z32</f>
        <v>5.3296615004001016</v>
      </c>
      <c r="AB32" s="127" t="s">
        <v>25</v>
      </c>
      <c r="AC32" s="128"/>
      <c r="AD32" s="46">
        <f>AVERAGE(AD29:AD31)</f>
        <v>737658.06926373614</v>
      </c>
      <c r="AE32" s="32">
        <f>100*(_xlfn.STDEV.S(AD29:AD31)/SQRT(3))/AD32</f>
        <v>6.8380435118778617</v>
      </c>
    </row>
    <row r="33" spans="9:31" ht="17.25" thickBot="1">
      <c r="I33" s="129"/>
      <c r="J33" s="13">
        <f t="shared" si="8"/>
        <v>100</v>
      </c>
      <c r="K33" s="98">
        <f>5</f>
        <v>5</v>
      </c>
      <c r="L33" s="25" t="str">
        <f>FIXED(N10,3-(1+INT(LOG10(ABS(N10)))))</f>
        <v>2.82</v>
      </c>
      <c r="M33" s="29">
        <f t="shared" si="5"/>
        <v>3.9221418494177445</v>
      </c>
      <c r="N33" s="25" t="str">
        <f>FIXED(R10,3-(1+INT(LOG10(ABS(R10)))))</f>
        <v>2.03</v>
      </c>
      <c r="O33" s="29">
        <f t="shared" si="6"/>
        <v>0.71457359730175374</v>
      </c>
      <c r="P33" s="25" t="str">
        <f>FIXED(V10,3-(1+INT(LOG10(ABS(V10)))))</f>
        <v>1.02</v>
      </c>
      <c r="Q33" s="29">
        <f t="shared" si="7"/>
        <v>0.65146579804560301</v>
      </c>
      <c r="S33" s="33" t="s">
        <v>23</v>
      </c>
      <c r="T33" s="127" t="str">
        <f ca="1">재료의탄성계수!O2</f>
        <v>구 리</v>
      </c>
      <c r="U33" s="135"/>
      <c r="V33" s="135"/>
      <c r="W33" s="128"/>
      <c r="X33" s="127" t="str">
        <f ca="1">재료의탄성계수!O3</f>
        <v>경강(C 0.4~0.5%)</v>
      </c>
      <c r="Y33" s="135"/>
      <c r="Z33" s="135"/>
      <c r="AA33" s="128"/>
      <c r="AB33" s="127" t="str">
        <f ca="1">재료의탄성계수!O4</f>
        <v>알루미늄</v>
      </c>
      <c r="AC33" s="135"/>
      <c r="AD33" s="135"/>
      <c r="AE33" s="128"/>
    </row>
    <row r="34" spans="9:31" ht="17.25" thickBot="1">
      <c r="I34" s="140"/>
      <c r="J34" s="14">
        <f t="shared" si="8"/>
        <v>120</v>
      </c>
      <c r="K34" s="98">
        <f>5</f>
        <v>5</v>
      </c>
      <c r="L34" s="25" t="str">
        <f>FIXED(N11,3-(1+INT(LOG10(ABS(N11)))))</f>
        <v>3.36</v>
      </c>
      <c r="M34" s="29">
        <f t="shared" si="5"/>
        <v>2.8286859978935017</v>
      </c>
      <c r="N34" s="25" t="str">
        <f>FIXED(R11,3-(1+INT(LOG10(ABS(R11)))))</f>
        <v>2.40</v>
      </c>
      <c r="O34" s="29">
        <f t="shared" si="6"/>
        <v>1.5487522566981993</v>
      </c>
      <c r="P34" s="25" t="str">
        <f>FIXED(V11,3-(1+INT(LOG10(ABS(V11)))))</f>
        <v>1.22</v>
      </c>
      <c r="Q34" s="29">
        <f t="shared" si="7"/>
        <v>0.54495912806539548</v>
      </c>
      <c r="S34" s="21" t="s">
        <v>45</v>
      </c>
      <c r="T34" s="124">
        <f ca="1">재료의탄성계수!P2</f>
        <v>1250000</v>
      </c>
      <c r="U34" s="125"/>
      <c r="V34" s="125"/>
      <c r="W34" s="125"/>
      <c r="X34" s="124">
        <f ca="1">재료의탄성계수!P3</f>
        <v>2089999.9999999998</v>
      </c>
      <c r="Y34" s="125"/>
      <c r="Z34" s="125"/>
      <c r="AA34" s="125"/>
      <c r="AB34" s="124">
        <f ca="1">재료의탄성계수!P4</f>
        <v>720000</v>
      </c>
      <c r="AC34" s="125"/>
      <c r="AD34" s="125"/>
      <c r="AE34" s="126"/>
    </row>
    <row r="35" spans="9:31" ht="17.25" thickBot="1">
      <c r="I35" s="139" t="s">
        <v>7</v>
      </c>
      <c r="J35" s="13">
        <f t="shared" si="8"/>
        <v>20</v>
      </c>
      <c r="K35" s="99">
        <f>5</f>
        <v>5</v>
      </c>
      <c r="L35" s="26" t="str">
        <f t="shared" ref="L35:L41" si="9">FIXED(N12,2-(1+INT(LOG10(ABS(N12)))))</f>
        <v>0.32</v>
      </c>
      <c r="M35" s="30">
        <f t="shared" si="5"/>
        <v>7.4341263411628731</v>
      </c>
      <c r="N35" s="26" t="str">
        <f>FIXED(R12,2-(1+INT(LOG10(ABS(R12)))))</f>
        <v>0.23</v>
      </c>
      <c r="O35" s="30">
        <f t="shared" si="6"/>
        <v>6.6414140506606376</v>
      </c>
      <c r="P35" s="26" t="str">
        <f t="shared" ref="P35:P43" si="10">FIXED(V12,2-(1+INT(LOG10(ABS(V12)))))</f>
        <v>0.13</v>
      </c>
      <c r="Q35" s="30">
        <f t="shared" si="7"/>
        <v>2.5000000000000022</v>
      </c>
      <c r="S35" s="21" t="s">
        <v>46</v>
      </c>
      <c r="T35" s="121">
        <f ca="1">ABS(T34-V32)/T34</f>
        <v>0.1077623627838865</v>
      </c>
      <c r="U35" s="122"/>
      <c r="V35" s="122"/>
      <c r="W35" s="123"/>
      <c r="X35" s="121">
        <f ca="1">ABS(X34-Z32)/X34</f>
        <v>0.12614675591158031</v>
      </c>
      <c r="Y35" s="122"/>
      <c r="Z35" s="122"/>
      <c r="AA35" s="123"/>
      <c r="AB35" s="122">
        <f ca="1">ABS(AB34-AD32)/AB34</f>
        <v>2.4525096199633521E-2</v>
      </c>
      <c r="AC35" s="122"/>
      <c r="AD35" s="122"/>
      <c r="AE35" s="123"/>
    </row>
    <row r="36" spans="9:31">
      <c r="I36" s="129"/>
      <c r="J36" s="13">
        <f t="shared" si="8"/>
        <v>40</v>
      </c>
      <c r="K36" s="98">
        <f>5</f>
        <v>5</v>
      </c>
      <c r="L36" s="25" t="str">
        <f t="shared" si="9"/>
        <v>0.74</v>
      </c>
      <c r="M36" s="29">
        <f t="shared" si="5"/>
        <v>5.5602740848165189</v>
      </c>
      <c r="N36" s="25" t="str">
        <f>FIXED(R13,2-(1+INT(LOG10(ABS(R13)))))</f>
        <v>0.45</v>
      </c>
      <c r="O36" s="29">
        <f t="shared" si="6"/>
        <v>6.282355695086423</v>
      </c>
      <c r="P36" s="25" t="str">
        <f t="shared" si="10"/>
        <v>0.26</v>
      </c>
      <c r="Q36" s="29">
        <f t="shared" si="7"/>
        <v>1.2658227848101273</v>
      </c>
    </row>
    <row r="37" spans="9:31">
      <c r="I37" s="129"/>
      <c r="J37" s="13">
        <f t="shared" si="8"/>
        <v>60</v>
      </c>
      <c r="K37" s="98">
        <f>5</f>
        <v>5</v>
      </c>
      <c r="L37" s="25" t="str">
        <f>FIXED(N14,3-(1+INT(LOG10(ABS(N14)))))</f>
        <v>1.05</v>
      </c>
      <c r="M37" s="29">
        <f t="shared" si="5"/>
        <v>1.4547859349066172</v>
      </c>
      <c r="N37" s="25" t="str">
        <f>FIXED(R14,2-(1+INT(LOG10(ABS(R14)))))</f>
        <v>0.74</v>
      </c>
      <c r="O37" s="29">
        <f t="shared" si="6"/>
        <v>1.1864355654998178</v>
      </c>
      <c r="P37" s="25" t="str">
        <f t="shared" si="10"/>
        <v>0.39</v>
      </c>
      <c r="Q37" s="29">
        <f t="shared" si="7"/>
        <v>1.6949152542372896</v>
      </c>
    </row>
    <row r="38" spans="9:31">
      <c r="I38" s="129"/>
      <c r="J38" s="13">
        <f t="shared" si="8"/>
        <v>80</v>
      </c>
      <c r="K38" s="98">
        <f>5</f>
        <v>5</v>
      </c>
      <c r="L38" s="25" t="str">
        <f>FIXED(N15,3-(1+INT(LOG10(ABS(N15)))))</f>
        <v>1.34</v>
      </c>
      <c r="M38" s="29">
        <f t="shared" si="5"/>
        <v>2.7631584927196129</v>
      </c>
      <c r="N38" s="25" t="str">
        <f>FIXED(R15,2-(1+INT(LOG10(ABS(R15)))))</f>
        <v>0.94</v>
      </c>
      <c r="O38" s="29">
        <f t="shared" si="6"/>
        <v>4.7970742051307402</v>
      </c>
      <c r="P38" s="25" t="str">
        <f t="shared" si="10"/>
        <v>0.52</v>
      </c>
      <c r="Q38" s="29">
        <f t="shared" si="7"/>
        <v>0.64516129032258107</v>
      </c>
    </row>
    <row r="39" spans="9:31">
      <c r="I39" s="129"/>
      <c r="J39" s="13">
        <f t="shared" si="8"/>
        <v>100</v>
      </c>
      <c r="K39" s="98">
        <f>5</f>
        <v>5</v>
      </c>
      <c r="L39" s="25" t="str">
        <f>FIXED(N16,3-(1+INT(LOG10(ABS(N16)))))</f>
        <v>1.71</v>
      </c>
      <c r="M39" s="29">
        <f t="shared" si="5"/>
        <v>1.0334966058846067</v>
      </c>
      <c r="N39" s="25" t="str">
        <f>FIXED(R16,3-(1+INT(LOG10(ABS(R16)))))</f>
        <v>1.23</v>
      </c>
      <c r="O39" s="29">
        <f t="shared" si="6"/>
        <v>0.97976936833260675</v>
      </c>
      <c r="P39" s="25" t="str">
        <f t="shared" si="10"/>
        <v>0.64</v>
      </c>
      <c r="Q39" s="29">
        <f t="shared" si="7"/>
        <v>0.5235602094240841</v>
      </c>
    </row>
    <row r="40" spans="9:31">
      <c r="I40" s="140"/>
      <c r="J40" s="14">
        <f t="shared" si="8"/>
        <v>120</v>
      </c>
      <c r="K40" s="100">
        <f>5</f>
        <v>5</v>
      </c>
      <c r="L40" s="25" t="str">
        <f>FIXED(N17,3-(1+INT(LOG10(ABS(N17)))))</f>
        <v>2.05</v>
      </c>
      <c r="M40" s="31">
        <f t="shared" si="5"/>
        <v>1.1706335309948028</v>
      </c>
      <c r="N40" s="25" t="str">
        <f>FIXED(R17,3-(1+INT(LOG10(ABS(R17)))))</f>
        <v>1.40</v>
      </c>
      <c r="O40" s="31">
        <f t="shared" si="6"/>
        <v>0.23752969121140166</v>
      </c>
      <c r="P40" s="27" t="str">
        <f t="shared" si="10"/>
        <v>0.77</v>
      </c>
      <c r="Q40" s="31">
        <f t="shared" si="7"/>
        <v>0.43478260869565261</v>
      </c>
    </row>
    <row r="41" spans="9:31">
      <c r="I41" s="139" t="s">
        <v>8</v>
      </c>
      <c r="J41" s="13">
        <f t="shared" si="8"/>
        <v>20</v>
      </c>
      <c r="K41" s="99">
        <f>5</f>
        <v>5</v>
      </c>
      <c r="L41" s="26" t="str">
        <f t="shared" si="9"/>
        <v>0.93</v>
      </c>
      <c r="M41" s="30">
        <f t="shared" si="5"/>
        <v>12.891818319842905</v>
      </c>
      <c r="N41" s="26" t="str">
        <f>FIXED(R18,2-(1+INT(LOG10(ABS(R18)))))</f>
        <v>0.64</v>
      </c>
      <c r="O41" s="30">
        <f t="shared" si="6"/>
        <v>13.762763799052275</v>
      </c>
      <c r="P41" s="26" t="str">
        <f t="shared" si="10"/>
        <v>0.34</v>
      </c>
      <c r="Q41" s="30">
        <f t="shared" si="7"/>
        <v>6.022537158711109</v>
      </c>
    </row>
    <row r="42" spans="9:31">
      <c r="I42" s="129"/>
      <c r="J42" s="13">
        <f t="shared" si="8"/>
        <v>40</v>
      </c>
      <c r="K42" s="98">
        <f>5</f>
        <v>5</v>
      </c>
      <c r="L42" s="25" t="str">
        <f>FIXED(N19,3-(1+INT(LOG10(ABS(N19)))))</f>
        <v>2.01</v>
      </c>
      <c r="M42" s="29">
        <f t="shared" si="5"/>
        <v>3.1596283388487016</v>
      </c>
      <c r="N42" s="25" t="str">
        <f>FIXED(R19,3-(1+INT(LOG10(ABS(R19)))))</f>
        <v>1.17</v>
      </c>
      <c r="O42" s="29">
        <f t="shared" si="6"/>
        <v>4.8064582403602047</v>
      </c>
      <c r="P42" s="25" t="str">
        <f t="shared" si="10"/>
        <v>0.64</v>
      </c>
      <c r="Q42" s="29">
        <f t="shared" si="7"/>
        <v>2.386758174456169</v>
      </c>
    </row>
    <row r="43" spans="9:31">
      <c r="I43" s="129"/>
      <c r="J43" s="13">
        <f t="shared" si="8"/>
        <v>60</v>
      </c>
      <c r="K43" s="98">
        <f>5</f>
        <v>5</v>
      </c>
      <c r="L43" s="25" t="str">
        <f>FIXED(N20,3-(1+INT(LOG10(ABS(N20)))))</f>
        <v>2.71</v>
      </c>
      <c r="M43" s="29">
        <f t="shared" si="5"/>
        <v>2.03231385508712</v>
      </c>
      <c r="N43" s="25" t="str">
        <f>FIXED(R20,3-(1+INT(LOG10(ABS(R20)))))</f>
        <v>1.86</v>
      </c>
      <c r="O43" s="29">
        <f t="shared" si="6"/>
        <v>1.4695426879483728</v>
      </c>
      <c r="P43" s="25" t="str">
        <f t="shared" si="10"/>
        <v>0.98</v>
      </c>
      <c r="Q43" s="29">
        <f t="shared" si="7"/>
        <v>1.76739878323355</v>
      </c>
    </row>
    <row r="44" spans="9:31">
      <c r="I44" s="129"/>
      <c r="J44" s="13">
        <f t="shared" si="8"/>
        <v>80</v>
      </c>
      <c r="K44" s="98">
        <f>5</f>
        <v>5</v>
      </c>
      <c r="L44" s="25" t="str">
        <f>FIXED(N21,3-(1+INT(LOG10(ABS(N21)))))</f>
        <v>3.59</v>
      </c>
      <c r="M44" s="29">
        <f t="shared" si="5"/>
        <v>2.1435989952919718</v>
      </c>
      <c r="N44" s="25" t="str">
        <f>FIXED(R21,3-(1+INT(LOG10(ABS(R21)))))</f>
        <v>2.44</v>
      </c>
      <c r="O44" s="29">
        <f t="shared" si="6"/>
        <v>1.0313981468949109</v>
      </c>
      <c r="P44" s="25" t="str">
        <f>FIXED(V21,3-(1+INT(LOG10(ABS(V21)))))</f>
        <v>1.30</v>
      </c>
      <c r="Q44" s="29">
        <f t="shared" si="7"/>
        <v>0.88823118336865581</v>
      </c>
    </row>
    <row r="45" spans="9:31">
      <c r="I45" s="129"/>
      <c r="J45" s="13">
        <f t="shared" si="8"/>
        <v>100</v>
      </c>
      <c r="K45" s="98">
        <f>5</f>
        <v>5</v>
      </c>
      <c r="L45" s="25" t="str">
        <f>FIXED(N22,3-(1+INT(LOG10(ABS(N22)))))</f>
        <v>4.23</v>
      </c>
      <c r="M45" s="29">
        <f t="shared" si="5"/>
        <v>3.3579919331299299</v>
      </c>
      <c r="N45" s="25" t="str">
        <f>FIXED(R22,3-(1+INT(LOG10(ABS(R22)))))</f>
        <v>2.99</v>
      </c>
      <c r="O45" s="29">
        <f t="shared" si="6"/>
        <v>4.1097678018209098</v>
      </c>
      <c r="P45" s="25" t="str">
        <f>FIXED(V22,3-(1+INT(LOG10(ABS(V22)))))</f>
        <v>1.63</v>
      </c>
      <c r="Q45" s="29">
        <f t="shared" si="7"/>
        <v>0.8932169966271839</v>
      </c>
    </row>
    <row r="46" spans="9:31" ht="17.25" thickBot="1">
      <c r="I46" s="130"/>
      <c r="J46" s="15">
        <f t="shared" si="8"/>
        <v>120</v>
      </c>
      <c r="K46" s="101">
        <f>5</f>
        <v>5</v>
      </c>
      <c r="L46" s="28" t="str">
        <f>FIXED(N23,3-(1+INT(LOG10(ABS(N23)))))</f>
        <v>5.16</v>
      </c>
      <c r="M46" s="32">
        <f t="shared" si="5"/>
        <v>2.5953277181492864</v>
      </c>
      <c r="N46" s="28" t="str">
        <f>FIXED(R23,3-(1+INT(LOG10(ABS(R23)))))</f>
        <v>3.52</v>
      </c>
      <c r="O46" s="32">
        <f t="shared" si="6"/>
        <v>2.5131893049408265</v>
      </c>
      <c r="P46" s="28" t="str">
        <f>FIXED(V23,3-(1+INT(LOG10(ABS(V23)))))</f>
        <v>1.95</v>
      </c>
      <c r="Q46" s="32">
        <f t="shared" si="7"/>
        <v>0.45149339779259273</v>
      </c>
    </row>
  </sheetData>
  <mergeCells count="48">
    <mergeCell ref="J27:K28"/>
    <mergeCell ref="I29:I34"/>
    <mergeCell ref="I35:I40"/>
    <mergeCell ref="I41:I46"/>
    <mergeCell ref="I26:I28"/>
    <mergeCell ref="J26:K26"/>
    <mergeCell ref="S3:V3"/>
    <mergeCell ref="F12:F17"/>
    <mergeCell ref="F18:F23"/>
    <mergeCell ref="F6:F11"/>
    <mergeCell ref="K4:N4"/>
    <mergeCell ref="K3:N3"/>
    <mergeCell ref="J4:J5"/>
    <mergeCell ref="O4:R4"/>
    <mergeCell ref="S4:V4"/>
    <mergeCell ref="O3:R3"/>
    <mergeCell ref="F3:I5"/>
    <mergeCell ref="G9:I11"/>
    <mergeCell ref="G15:I17"/>
    <mergeCell ref="G21:I23"/>
    <mergeCell ref="AD27:AE28"/>
    <mergeCell ref="T26:W26"/>
    <mergeCell ref="X26:AA26"/>
    <mergeCell ref="AB26:AE26"/>
    <mergeCell ref="T33:W33"/>
    <mergeCell ref="T27:U27"/>
    <mergeCell ref="X27:Y27"/>
    <mergeCell ref="AB27:AC27"/>
    <mergeCell ref="V27:W28"/>
    <mergeCell ref="X33:AA33"/>
    <mergeCell ref="AB33:AE33"/>
    <mergeCell ref="T32:U32"/>
    <mergeCell ref="X32:Y32"/>
    <mergeCell ref="AB32:AC32"/>
    <mergeCell ref="L26:M26"/>
    <mergeCell ref="N26:O26"/>
    <mergeCell ref="P26:Q26"/>
    <mergeCell ref="S27:S28"/>
    <mergeCell ref="Z27:AA28"/>
    <mergeCell ref="L27:M28"/>
    <mergeCell ref="N27:O28"/>
    <mergeCell ref="P27:Q28"/>
    <mergeCell ref="T35:W35"/>
    <mergeCell ref="X35:AA35"/>
    <mergeCell ref="AB35:AE35"/>
    <mergeCell ref="T34:W34"/>
    <mergeCell ref="X34:AA34"/>
    <mergeCell ref="AB34:AE34"/>
  </mergeCells>
  <phoneticPr fontId="1" type="noConversion"/>
  <dataValidations disablePrompts="1" count="1">
    <dataValidation type="list" allowBlank="1" showInputMessage="1" showErrorMessage="1" sqref="AA4" xr:uid="{1CFB9CE7-46D8-47CB-A276-8EFB37E0052B}">
      <formula1>"TRUE,FALSE"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7F79-6D30-4B30-812F-78E97B5B9442}">
  <dimension ref="A1:AW24"/>
  <sheetViews>
    <sheetView topLeftCell="AJ1" zoomScaleNormal="100" workbookViewId="0">
      <selection activeCell="AK5" sqref="AK5"/>
    </sheetView>
  </sheetViews>
  <sheetFormatPr defaultRowHeight="16.5"/>
  <cols>
    <col min="16" max="16" width="9.25" bestFit="1" customWidth="1"/>
    <col min="17" max="17" width="11.125" bestFit="1" customWidth="1"/>
    <col min="19" max="19" width="11.125" bestFit="1" customWidth="1"/>
    <col min="21" max="21" width="11.125" bestFit="1" customWidth="1"/>
    <col min="23" max="23" width="9.875" bestFit="1" customWidth="1"/>
    <col min="24" max="24" width="9.25" bestFit="1" customWidth="1"/>
    <col min="25" max="25" width="10.125" bestFit="1" customWidth="1"/>
    <col min="26" max="26" width="9.375" bestFit="1" customWidth="1"/>
    <col min="27" max="27" width="11.125" bestFit="1" customWidth="1"/>
    <col min="28" max="28" width="9.875" bestFit="1" customWidth="1"/>
    <col min="29" max="29" width="11.125" bestFit="1" customWidth="1"/>
    <col min="30" max="30" width="9.875" bestFit="1" customWidth="1"/>
    <col min="31" max="31" width="11.125" bestFit="1" customWidth="1"/>
    <col min="32" max="32" width="9.875" bestFit="1" customWidth="1"/>
    <col min="33" max="33" width="11.125" bestFit="1" customWidth="1"/>
    <col min="34" max="34" width="9.875" bestFit="1" customWidth="1"/>
    <col min="36" max="36" width="9.875" bestFit="1" customWidth="1"/>
    <col min="37" max="37" width="10.875" bestFit="1" customWidth="1"/>
    <col min="38" max="38" width="9.875" bestFit="1" customWidth="1"/>
    <col min="39" max="39" width="11" customWidth="1"/>
    <col min="43" max="43" width="11" customWidth="1"/>
    <col min="47" max="47" width="11.125" customWidth="1"/>
  </cols>
  <sheetData>
    <row r="1" spans="1:49" ht="17.25" thickBot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115"/>
      <c r="AD1" s="51"/>
      <c r="AE1" s="115"/>
      <c r="AF1" s="51"/>
      <c r="AG1" s="115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</row>
    <row r="2" spans="1:49" ht="17.25" thickBot="1">
      <c r="A2" s="51"/>
      <c r="B2" s="51"/>
      <c r="C2" s="51"/>
      <c r="D2" s="51"/>
      <c r="E2" s="162" t="s">
        <v>23</v>
      </c>
      <c r="F2" s="163"/>
      <c r="G2" s="164"/>
      <c r="H2" s="52" t="s">
        <v>5</v>
      </c>
      <c r="I2" s="182">
        <v>400</v>
      </c>
      <c r="J2" s="183"/>
      <c r="K2" s="184"/>
      <c r="L2" s="182">
        <v>300</v>
      </c>
      <c r="M2" s="183"/>
      <c r="N2" s="184"/>
      <c r="O2" s="182">
        <v>200</v>
      </c>
      <c r="P2" s="183"/>
      <c r="Q2" s="184"/>
      <c r="R2" s="51"/>
      <c r="S2" s="51"/>
      <c r="T2" s="51"/>
      <c r="U2" s="51"/>
      <c r="V2" s="162" t="s">
        <v>23</v>
      </c>
      <c r="W2" s="163"/>
      <c r="X2" s="163"/>
      <c r="Y2" s="164"/>
      <c r="Z2" s="182" t="s">
        <v>5</v>
      </c>
      <c r="AA2" s="184"/>
      <c r="AB2" s="114">
        <v>400</v>
      </c>
      <c r="AC2" s="116">
        <f>0.5</f>
        <v>0.5</v>
      </c>
      <c r="AD2" s="114">
        <v>300</v>
      </c>
      <c r="AE2" s="116">
        <f>0.5</f>
        <v>0.5</v>
      </c>
      <c r="AF2" s="114">
        <v>200</v>
      </c>
      <c r="AG2" s="116">
        <f>0.5</f>
        <v>0.5</v>
      </c>
      <c r="AH2" s="51"/>
      <c r="AI2" s="51"/>
      <c r="AJ2" s="84" t="s">
        <v>23</v>
      </c>
      <c r="AK2" s="182" t="s">
        <v>6</v>
      </c>
      <c r="AL2" s="183"/>
      <c r="AM2" s="183"/>
      <c r="AN2" s="184"/>
      <c r="AO2" s="182" t="s">
        <v>7</v>
      </c>
      <c r="AP2" s="183"/>
      <c r="AQ2" s="183"/>
      <c r="AR2" s="184"/>
      <c r="AS2" s="182" t="s">
        <v>8</v>
      </c>
      <c r="AT2" s="183"/>
      <c r="AU2" s="183"/>
      <c r="AV2" s="184"/>
      <c r="AW2" s="51"/>
    </row>
    <row r="3" spans="1:49">
      <c r="A3" s="51"/>
      <c r="B3" s="51"/>
      <c r="C3" s="51"/>
      <c r="D3" s="51"/>
      <c r="E3" s="165"/>
      <c r="F3" s="166"/>
      <c r="G3" s="167"/>
      <c r="H3" s="190" t="s">
        <v>0</v>
      </c>
      <c r="I3" s="162" t="s">
        <v>1</v>
      </c>
      <c r="J3" s="163"/>
      <c r="K3" s="164"/>
      <c r="L3" s="162" t="s">
        <v>1</v>
      </c>
      <c r="M3" s="163"/>
      <c r="N3" s="164"/>
      <c r="O3" s="162" t="s">
        <v>1</v>
      </c>
      <c r="P3" s="163"/>
      <c r="Q3" s="164"/>
      <c r="R3" s="51"/>
      <c r="S3" s="51"/>
      <c r="T3" s="51"/>
      <c r="U3" s="51"/>
      <c r="V3" s="165"/>
      <c r="W3" s="166"/>
      <c r="X3" s="166"/>
      <c r="Y3" s="167"/>
      <c r="Z3" s="162" t="s">
        <v>0</v>
      </c>
      <c r="AA3" s="164"/>
      <c r="AB3" s="162" t="s">
        <v>1</v>
      </c>
      <c r="AC3" s="164"/>
      <c r="AD3" s="162" t="s">
        <v>1</v>
      </c>
      <c r="AE3" s="164"/>
      <c r="AF3" s="162" t="s">
        <v>1</v>
      </c>
      <c r="AG3" s="164"/>
      <c r="AH3" s="51"/>
      <c r="AI3" s="51"/>
      <c r="AJ3" s="185" t="s">
        <v>5</v>
      </c>
      <c r="AK3" s="187" t="s">
        <v>17</v>
      </c>
      <c r="AL3" s="188"/>
      <c r="AM3" s="162" t="s">
        <v>19</v>
      </c>
      <c r="AN3" s="164"/>
      <c r="AO3" s="189" t="s">
        <v>17</v>
      </c>
      <c r="AP3" s="188"/>
      <c r="AQ3" s="162" t="s">
        <v>19</v>
      </c>
      <c r="AR3" s="164"/>
      <c r="AS3" s="189" t="s">
        <v>17</v>
      </c>
      <c r="AT3" s="188"/>
      <c r="AU3" s="162" t="s">
        <v>19</v>
      </c>
      <c r="AV3" s="164"/>
      <c r="AW3" s="51"/>
    </row>
    <row r="4" spans="1:49" ht="17.25" thickBot="1">
      <c r="A4" s="51"/>
      <c r="B4" s="51"/>
      <c r="C4" s="51"/>
      <c r="D4" s="51"/>
      <c r="E4" s="168"/>
      <c r="F4" s="169"/>
      <c r="G4" s="170"/>
      <c r="H4" s="186"/>
      <c r="I4" s="85" t="s">
        <v>2</v>
      </c>
      <c r="J4" s="106" t="s">
        <v>3</v>
      </c>
      <c r="K4" s="110" t="s">
        <v>4</v>
      </c>
      <c r="L4" s="85" t="s">
        <v>2</v>
      </c>
      <c r="M4" s="106" t="s">
        <v>3</v>
      </c>
      <c r="N4" s="110" t="s">
        <v>4</v>
      </c>
      <c r="O4" s="85" t="s">
        <v>2</v>
      </c>
      <c r="P4" s="106" t="s">
        <v>3</v>
      </c>
      <c r="Q4" s="110" t="s">
        <v>4</v>
      </c>
      <c r="R4" s="51"/>
      <c r="S4" s="51"/>
      <c r="T4" s="51"/>
      <c r="U4" s="51"/>
      <c r="V4" s="168"/>
      <c r="W4" s="169"/>
      <c r="X4" s="169"/>
      <c r="Y4" s="170"/>
      <c r="Z4" s="168"/>
      <c r="AA4" s="170"/>
      <c r="AB4" s="168"/>
      <c r="AC4" s="170"/>
      <c r="AD4" s="168"/>
      <c r="AE4" s="170"/>
      <c r="AF4" s="168"/>
      <c r="AG4" s="170"/>
      <c r="AH4" s="51"/>
      <c r="AI4" s="51"/>
      <c r="AJ4" s="186"/>
      <c r="AK4" s="55" t="s">
        <v>15</v>
      </c>
      <c r="AL4" s="57" t="s">
        <v>18</v>
      </c>
      <c r="AM4" s="168"/>
      <c r="AN4" s="170"/>
      <c r="AO4" s="56" t="s">
        <v>15</v>
      </c>
      <c r="AP4" s="57" t="s">
        <v>18</v>
      </c>
      <c r="AQ4" s="168"/>
      <c r="AR4" s="170"/>
      <c r="AS4" s="56" t="s">
        <v>15</v>
      </c>
      <c r="AT4" s="57" t="s">
        <v>18</v>
      </c>
      <c r="AU4" s="168"/>
      <c r="AV4" s="170"/>
      <c r="AW4" s="51"/>
    </row>
    <row r="5" spans="1:49">
      <c r="A5" s="51"/>
      <c r="B5" s="51"/>
      <c r="C5" s="51"/>
      <c r="D5" s="51"/>
      <c r="E5" s="190" t="s">
        <v>6</v>
      </c>
      <c r="F5" s="54" t="s">
        <v>135</v>
      </c>
      <c r="G5" s="93">
        <f t="array" ref="G5:G6">데이터계산!H6:H7</f>
        <v>3.1</v>
      </c>
      <c r="H5" s="91">
        <f t="array" ref="H5:H22">데이터계산!J6:J23</f>
        <v>20</v>
      </c>
      <c r="I5" s="92">
        <f t="array" ref="I5:K22">데이터계산!K6:M23</f>
        <v>0.68</v>
      </c>
      <c r="J5" s="107">
        <v>0.34</v>
      </c>
      <c r="K5" s="111">
        <v>0.51</v>
      </c>
      <c r="L5" s="92">
        <f t="array" ref="L5:N22">데이터계산!O6:Q23</f>
        <v>0.5</v>
      </c>
      <c r="M5" s="107">
        <v>0.48</v>
      </c>
      <c r="N5" s="111">
        <v>0.4</v>
      </c>
      <c r="O5" s="92">
        <f t="array" ref="O5:Q22">데이터계산!S6:U23</f>
        <v>0.23</v>
      </c>
      <c r="P5" s="107">
        <v>0.23</v>
      </c>
      <c r="Q5" s="111">
        <v>0.19</v>
      </c>
      <c r="R5" s="51"/>
      <c r="S5" s="51"/>
      <c r="T5" s="51"/>
      <c r="U5" s="51"/>
      <c r="V5" s="185" t="s">
        <v>6</v>
      </c>
      <c r="W5" s="54" t="s">
        <v>135</v>
      </c>
      <c r="X5" s="93">
        <f t="array" ref="X5:Y7">데이터계산!H6:I8</f>
        <v>3.1</v>
      </c>
      <c r="Y5" s="94">
        <v>2.5000000000000001E-3</v>
      </c>
      <c r="Z5" s="60">
        <f t="array" ref="Z5:AG22">데이터계산!J29:Q46</f>
        <v>20</v>
      </c>
      <c r="AA5" s="102">
        <v>5</v>
      </c>
      <c r="AB5" s="62" t="str">
        <v>0.51</v>
      </c>
      <c r="AC5" s="61">
        <v>19.245008972987538</v>
      </c>
      <c r="AD5" s="62" t="str">
        <v>0.46</v>
      </c>
      <c r="AE5" s="61">
        <v>6.6414140506606367</v>
      </c>
      <c r="AF5" s="62" t="str">
        <v>0.22</v>
      </c>
      <c r="AG5" s="61">
        <v>6.1538461538461551</v>
      </c>
      <c r="AH5" s="51"/>
      <c r="AI5" s="51"/>
      <c r="AJ5" s="52">
        <v>400</v>
      </c>
      <c r="AK5" s="76" t="str">
        <f t="array" ref="AK5:AV7">데이터계산!T29:AE31</f>
        <v>0.0285</v>
      </c>
      <c r="AL5" s="77">
        <v>0.9424911294248195</v>
      </c>
      <c r="AM5" s="78">
        <v>1194121.8396214254</v>
      </c>
      <c r="AN5" s="79">
        <v>2.61</v>
      </c>
      <c r="AO5" s="76" t="str">
        <v>0.0169</v>
      </c>
      <c r="AP5" s="77">
        <v>2.2213006403951003</v>
      </c>
      <c r="AQ5" s="78">
        <v>2009776.0105656814</v>
      </c>
      <c r="AR5" s="79">
        <v>3.3</v>
      </c>
      <c r="AS5" s="76" t="str">
        <v>0.0409</v>
      </c>
      <c r="AT5" s="77">
        <v>3.2681634339269654</v>
      </c>
      <c r="AU5" s="78">
        <v>827175.87435994111</v>
      </c>
      <c r="AV5" s="79">
        <v>4.08</v>
      </c>
      <c r="AW5" s="51"/>
    </row>
    <row r="6" spans="1:49">
      <c r="A6" s="51"/>
      <c r="B6" s="51"/>
      <c r="C6" s="51"/>
      <c r="D6" s="51"/>
      <c r="E6" s="185"/>
      <c r="F6" s="90" t="s">
        <v>136</v>
      </c>
      <c r="G6" s="95">
        <v>25.25</v>
      </c>
      <c r="H6" s="58">
        <v>40</v>
      </c>
      <c r="I6" s="59">
        <v>1.1299999999999999</v>
      </c>
      <c r="J6" s="108">
        <v>0.93</v>
      </c>
      <c r="K6" s="112">
        <v>1.21</v>
      </c>
      <c r="L6" s="59">
        <v>0.85</v>
      </c>
      <c r="M6" s="108">
        <v>0.82</v>
      </c>
      <c r="N6" s="112">
        <v>0.75</v>
      </c>
      <c r="O6" s="59">
        <v>0.42</v>
      </c>
      <c r="P6" s="108">
        <v>0.42</v>
      </c>
      <c r="Q6" s="112">
        <v>0.43</v>
      </c>
      <c r="R6" s="51"/>
      <c r="S6" s="51"/>
      <c r="T6" s="51"/>
      <c r="U6" s="51"/>
      <c r="V6" s="185"/>
      <c r="W6" s="90" t="s">
        <v>136</v>
      </c>
      <c r="X6" s="95">
        <v>25.25</v>
      </c>
      <c r="Y6" s="96">
        <v>2.5000000000000001E-3</v>
      </c>
      <c r="Z6" s="63">
        <v>40</v>
      </c>
      <c r="AA6" s="102">
        <v>5</v>
      </c>
      <c r="AB6" s="64" t="str">
        <v>1.09</v>
      </c>
      <c r="AC6" s="61">
        <v>7.6391412824445508</v>
      </c>
      <c r="AD6" s="64" t="str">
        <v>0.81</v>
      </c>
      <c r="AE6" s="61">
        <v>3.6728076104609864</v>
      </c>
      <c r="AF6" s="64" t="str">
        <v>0.42</v>
      </c>
      <c r="AG6" s="61">
        <v>0.78740157480315021</v>
      </c>
      <c r="AH6" s="51"/>
      <c r="AI6" s="51"/>
      <c r="AJ6" s="53">
        <v>300</v>
      </c>
      <c r="AK6" s="80" t="str">
        <v>0.0196</v>
      </c>
      <c r="AL6" s="81">
        <v>1.34392864496793</v>
      </c>
      <c r="AM6" s="82">
        <v>1098784.3856688698</v>
      </c>
      <c r="AN6" s="61">
        <v>2.79</v>
      </c>
      <c r="AO6" s="80" t="str">
        <v>0.0120</v>
      </c>
      <c r="AP6" s="81">
        <v>2.949680111160518</v>
      </c>
      <c r="AQ6" s="82">
        <v>1791134.3625412502</v>
      </c>
      <c r="AR6" s="61">
        <v>3.83</v>
      </c>
      <c r="AS6" s="80" t="str">
        <v>0.0292</v>
      </c>
      <c r="AT6" s="81">
        <v>2.0488149738029833</v>
      </c>
      <c r="AU6" s="82">
        <v>733184.6516928107</v>
      </c>
      <c r="AV6" s="61">
        <v>3.19</v>
      </c>
      <c r="AW6" s="51"/>
    </row>
    <row r="7" spans="1:49">
      <c r="A7" s="51"/>
      <c r="B7" s="51"/>
      <c r="C7" s="51"/>
      <c r="D7" s="51"/>
      <c r="E7" s="185"/>
      <c r="F7" s="156"/>
      <c r="G7" s="157"/>
      <c r="H7" s="58">
        <v>60</v>
      </c>
      <c r="I7" s="59">
        <v>1.86</v>
      </c>
      <c r="J7" s="108">
        <v>1.46</v>
      </c>
      <c r="K7" s="112">
        <v>1.74</v>
      </c>
      <c r="L7" s="59">
        <v>1.28</v>
      </c>
      <c r="M7" s="108">
        <v>1.21</v>
      </c>
      <c r="N7" s="112">
        <v>1.23</v>
      </c>
      <c r="O7" s="59">
        <v>0.63</v>
      </c>
      <c r="P7" s="108">
        <v>0.61</v>
      </c>
      <c r="Q7" s="112">
        <v>0.61</v>
      </c>
      <c r="R7" s="51"/>
      <c r="S7" s="51"/>
      <c r="T7" s="51"/>
      <c r="U7" s="51"/>
      <c r="V7" s="185"/>
      <c r="W7" s="86" t="s">
        <v>137</v>
      </c>
      <c r="X7" s="97" t="str">
        <v>62.69</v>
      </c>
      <c r="Y7" s="69">
        <v>2.42</v>
      </c>
      <c r="Z7" s="63">
        <v>60</v>
      </c>
      <c r="AA7" s="102">
        <v>5</v>
      </c>
      <c r="AB7" s="64" t="str">
        <v>1.69</v>
      </c>
      <c r="AC7" s="61">
        <v>7.0262406460992812</v>
      </c>
      <c r="AD7" s="64" t="str">
        <v>1.24</v>
      </c>
      <c r="AE7" s="61">
        <v>1.67876290279527</v>
      </c>
      <c r="AF7" s="64" t="str">
        <v>0.62</v>
      </c>
      <c r="AG7" s="61">
        <v>1.0810810810810818</v>
      </c>
      <c r="AH7" s="51"/>
      <c r="AI7" s="51"/>
      <c r="AJ7" s="53">
        <v>200</v>
      </c>
      <c r="AK7" s="80" t="str">
        <v>0.0101</v>
      </c>
      <c r="AL7" s="81">
        <v>0.44647331434247739</v>
      </c>
      <c r="AM7" s="82">
        <v>1052984.9142701307</v>
      </c>
      <c r="AN7" s="61">
        <v>2.5099999999999998</v>
      </c>
      <c r="AO7" s="80" t="str">
        <v>0.00630</v>
      </c>
      <c r="AP7" s="81">
        <v>0.69275520709838911</v>
      </c>
      <c r="AQ7" s="82">
        <v>1678149.4673274597</v>
      </c>
      <c r="AR7" s="61">
        <v>2.56</v>
      </c>
      <c r="AS7" s="80" t="str">
        <v>0.0162</v>
      </c>
      <c r="AT7" s="81">
        <v>0.58251182198520091</v>
      </c>
      <c r="AU7" s="82">
        <v>652613.68173845659</v>
      </c>
      <c r="AV7" s="61">
        <v>2.54</v>
      </c>
      <c r="AW7" s="51"/>
    </row>
    <row r="8" spans="1:49">
      <c r="A8" s="51"/>
      <c r="B8" s="51"/>
      <c r="C8" s="51"/>
      <c r="D8" s="51"/>
      <c r="E8" s="185"/>
      <c r="F8" s="158"/>
      <c r="G8" s="159"/>
      <c r="H8" s="58">
        <v>80</v>
      </c>
      <c r="I8" s="59">
        <v>2.4700000000000002</v>
      </c>
      <c r="J8" s="108">
        <v>2.04</v>
      </c>
      <c r="K8" s="112">
        <v>2.1</v>
      </c>
      <c r="L8" s="59">
        <v>1.56</v>
      </c>
      <c r="M8" s="108">
        <v>1.65</v>
      </c>
      <c r="N8" s="112">
        <v>1.61</v>
      </c>
      <c r="O8" s="59">
        <v>0.83</v>
      </c>
      <c r="P8" s="108">
        <v>0.82</v>
      </c>
      <c r="Q8" s="112">
        <v>0.83</v>
      </c>
      <c r="R8" s="51"/>
      <c r="S8" s="51"/>
      <c r="T8" s="51"/>
      <c r="U8" s="51"/>
      <c r="V8" s="185"/>
      <c r="W8" s="191"/>
      <c r="X8" s="192"/>
      <c r="Y8" s="193"/>
      <c r="Z8" s="63">
        <v>80</v>
      </c>
      <c r="AA8" s="102">
        <v>5</v>
      </c>
      <c r="AB8" s="64" t="str">
        <v>2.20</v>
      </c>
      <c r="AC8" s="61">
        <v>6.1022826112250277</v>
      </c>
      <c r="AD8" s="64" t="str">
        <v>1.61</v>
      </c>
      <c r="AE8" s="61">
        <v>1.6203837501881002</v>
      </c>
      <c r="AF8" s="64" t="str">
        <v>0.83</v>
      </c>
      <c r="AG8" s="61">
        <v>0.40322580645161321</v>
      </c>
      <c r="AH8" s="51"/>
      <c r="AI8" s="51"/>
      <c r="AJ8" s="66" t="s">
        <v>24</v>
      </c>
      <c r="AK8" s="177" t="s">
        <v>25</v>
      </c>
      <c r="AL8" s="178"/>
      <c r="AM8" s="87">
        <f t="array" ref="AM8:AN8">데이터계산!V32:W32</f>
        <v>1115297.0465201419</v>
      </c>
      <c r="AN8" s="88">
        <v>3.7273351450202794</v>
      </c>
      <c r="AO8" s="177" t="s">
        <v>25</v>
      </c>
      <c r="AP8" s="178"/>
      <c r="AQ8" s="87">
        <f t="array" ref="AQ8:AR8">데이터계산!Z32:AA32</f>
        <v>1826353.2801447969</v>
      </c>
      <c r="AR8" s="88">
        <v>5.3296615004001016</v>
      </c>
      <c r="AS8" s="177" t="s">
        <v>25</v>
      </c>
      <c r="AT8" s="178"/>
      <c r="AU8" s="87">
        <f t="array" ref="AU8:AV8">데이터계산!AD32:AE32</f>
        <v>737658.06926373614</v>
      </c>
      <c r="AV8" s="88">
        <v>6.8380435118778617</v>
      </c>
      <c r="AW8" s="51"/>
    </row>
    <row r="9" spans="1:49">
      <c r="A9" s="51"/>
      <c r="B9" s="51"/>
      <c r="C9" s="51"/>
      <c r="D9" s="51"/>
      <c r="E9" s="185"/>
      <c r="F9" s="158"/>
      <c r="G9" s="159"/>
      <c r="H9" s="58">
        <v>100</v>
      </c>
      <c r="I9" s="59">
        <v>3.04</v>
      </c>
      <c r="J9" s="108">
        <v>2.69</v>
      </c>
      <c r="K9" s="112">
        <v>2.73</v>
      </c>
      <c r="L9" s="59">
        <v>2.0099999999999998</v>
      </c>
      <c r="M9" s="108">
        <v>2.0299999999999998</v>
      </c>
      <c r="N9" s="112">
        <v>2.06</v>
      </c>
      <c r="O9" s="59">
        <v>1.03</v>
      </c>
      <c r="P9" s="108">
        <v>1.01</v>
      </c>
      <c r="Q9" s="112">
        <v>1.03</v>
      </c>
      <c r="R9" s="51"/>
      <c r="S9" s="51"/>
      <c r="T9" s="51"/>
      <c r="U9" s="51"/>
      <c r="V9" s="185"/>
      <c r="W9" s="194"/>
      <c r="X9" s="195"/>
      <c r="Y9" s="196"/>
      <c r="Z9" s="63">
        <v>100</v>
      </c>
      <c r="AA9" s="102">
        <v>5</v>
      </c>
      <c r="AB9" s="64" t="str">
        <v>2.82</v>
      </c>
      <c r="AC9" s="61">
        <v>3.9221418494177445</v>
      </c>
      <c r="AD9" s="64" t="str">
        <v>2.03</v>
      </c>
      <c r="AE9" s="61">
        <v>0.71457359730175374</v>
      </c>
      <c r="AF9" s="64" t="str">
        <v>1.02</v>
      </c>
      <c r="AG9" s="61">
        <v>0.65146579804560301</v>
      </c>
      <c r="AH9" s="51"/>
      <c r="AI9" s="51"/>
      <c r="AJ9" s="66" t="s">
        <v>23</v>
      </c>
      <c r="AK9" s="179" t="str">
        <f ca="1">데이터계산!T33</f>
        <v>구 리</v>
      </c>
      <c r="AL9" s="180"/>
      <c r="AM9" s="180"/>
      <c r="AN9" s="181"/>
      <c r="AO9" s="179" t="str">
        <f ca="1">데이터계산!X33</f>
        <v>경강(C 0.4~0.5%)</v>
      </c>
      <c r="AP9" s="180"/>
      <c r="AQ9" s="180"/>
      <c r="AR9" s="181"/>
      <c r="AS9" s="179" t="str">
        <f ca="1">데이터계산!AB33</f>
        <v>알루미늄</v>
      </c>
      <c r="AT9" s="180"/>
      <c r="AU9" s="180"/>
      <c r="AV9" s="181"/>
      <c r="AW9" s="51"/>
    </row>
    <row r="10" spans="1:49" ht="17.25" thickBot="1">
      <c r="A10" s="51"/>
      <c r="B10" s="51"/>
      <c r="C10" s="51"/>
      <c r="D10" s="51"/>
      <c r="E10" s="186"/>
      <c r="F10" s="160"/>
      <c r="G10" s="161"/>
      <c r="H10" s="71">
        <v>120</v>
      </c>
      <c r="I10" s="72">
        <v>3.55</v>
      </c>
      <c r="J10" s="109">
        <v>3.27</v>
      </c>
      <c r="K10" s="113">
        <v>3.26</v>
      </c>
      <c r="L10" s="72">
        <v>2.35</v>
      </c>
      <c r="M10" s="109">
        <v>2.37</v>
      </c>
      <c r="N10" s="113">
        <v>2.4700000000000002</v>
      </c>
      <c r="O10" s="72">
        <v>1.23</v>
      </c>
      <c r="P10" s="109">
        <v>1.23</v>
      </c>
      <c r="Q10" s="113">
        <v>1.21</v>
      </c>
      <c r="R10" s="51"/>
      <c r="S10" s="51"/>
      <c r="T10" s="51"/>
      <c r="U10" s="51"/>
      <c r="V10" s="200"/>
      <c r="W10" s="197"/>
      <c r="X10" s="198"/>
      <c r="Y10" s="199"/>
      <c r="Z10" s="65">
        <v>120</v>
      </c>
      <c r="AA10" s="102">
        <v>5</v>
      </c>
      <c r="AB10" s="64" t="str">
        <v>3.36</v>
      </c>
      <c r="AC10" s="61">
        <v>2.8286859978935017</v>
      </c>
      <c r="AD10" s="64" t="str">
        <v>2.40</v>
      </c>
      <c r="AE10" s="61">
        <v>1.5487522566981993</v>
      </c>
      <c r="AF10" s="64" t="str">
        <v>1.22</v>
      </c>
      <c r="AG10" s="61">
        <v>0.54495912806539548</v>
      </c>
      <c r="AH10" s="51"/>
      <c r="AI10" s="51"/>
      <c r="AJ10" s="83" t="s">
        <v>45</v>
      </c>
      <c r="AK10" s="171">
        <f ca="1">데이터계산!T34</f>
        <v>1250000</v>
      </c>
      <c r="AL10" s="172"/>
      <c r="AM10" s="172"/>
      <c r="AN10" s="172"/>
      <c r="AO10" s="171">
        <f ca="1">데이터계산!X34</f>
        <v>2089999.9999999998</v>
      </c>
      <c r="AP10" s="172"/>
      <c r="AQ10" s="172"/>
      <c r="AR10" s="172"/>
      <c r="AS10" s="171">
        <f ca="1">데이터계산!AB34</f>
        <v>720000</v>
      </c>
      <c r="AT10" s="172"/>
      <c r="AU10" s="172"/>
      <c r="AV10" s="173"/>
      <c r="AW10" s="51"/>
    </row>
    <row r="11" spans="1:49" ht="17.25" thickBot="1">
      <c r="A11" s="51"/>
      <c r="B11" s="51"/>
      <c r="C11" s="51"/>
      <c r="D11" s="51"/>
      <c r="E11" s="190" t="s">
        <v>7</v>
      </c>
      <c r="F11" s="54" t="s">
        <v>135</v>
      </c>
      <c r="G11" s="93">
        <f t="array" ref="G11:G12">데이터계산!H12:H13</f>
        <v>3.1</v>
      </c>
      <c r="H11" s="91">
        <v>20</v>
      </c>
      <c r="I11" s="92">
        <v>0.37</v>
      </c>
      <c r="J11" s="107">
        <v>0.31</v>
      </c>
      <c r="K11" s="111">
        <v>0.28999999999999998</v>
      </c>
      <c r="L11" s="92">
        <v>0.25</v>
      </c>
      <c r="M11" s="107">
        <v>0.2</v>
      </c>
      <c r="N11" s="111">
        <v>0.24</v>
      </c>
      <c r="O11" s="92">
        <v>0.14000000000000001</v>
      </c>
      <c r="P11" s="107">
        <v>0.13</v>
      </c>
      <c r="Q11" s="111">
        <v>0.13</v>
      </c>
      <c r="R11" s="51"/>
      <c r="S11" s="51"/>
      <c r="T11" s="51"/>
      <c r="U11" s="51"/>
      <c r="V11" s="201" t="s">
        <v>7</v>
      </c>
      <c r="W11" s="54" t="s">
        <v>135</v>
      </c>
      <c r="X11" s="93">
        <f t="array" ref="X11:Y13">데이터계산!H12:I14</f>
        <v>3.1</v>
      </c>
      <c r="Y11" s="94">
        <v>2.5000000000000001E-3</v>
      </c>
      <c r="Z11" s="63">
        <v>20</v>
      </c>
      <c r="AA11" s="103">
        <v>5</v>
      </c>
      <c r="AB11" s="68" t="str">
        <v>0.32</v>
      </c>
      <c r="AC11" s="67">
        <v>7.4341263411628731</v>
      </c>
      <c r="AD11" s="68" t="str">
        <v>0.23</v>
      </c>
      <c r="AE11" s="67">
        <v>6.6414140506606376</v>
      </c>
      <c r="AF11" s="68" t="str">
        <v>0.13</v>
      </c>
      <c r="AG11" s="67">
        <v>2.5000000000000022</v>
      </c>
      <c r="AH11" s="51"/>
      <c r="AI11" s="51"/>
      <c r="AJ11" s="85" t="s">
        <v>134</v>
      </c>
      <c r="AK11" s="174">
        <f ca="1">데이터계산!T35</f>
        <v>0.1077623627838865</v>
      </c>
      <c r="AL11" s="175"/>
      <c r="AM11" s="175"/>
      <c r="AN11" s="176"/>
      <c r="AO11" s="174">
        <f ca="1">데이터계산!X35</f>
        <v>0.12614675591158031</v>
      </c>
      <c r="AP11" s="175"/>
      <c r="AQ11" s="175"/>
      <c r="AR11" s="176"/>
      <c r="AS11" s="175">
        <f ca="1">데이터계산!AB35</f>
        <v>2.4525096199633521E-2</v>
      </c>
      <c r="AT11" s="175"/>
      <c r="AU11" s="175"/>
      <c r="AV11" s="176"/>
      <c r="AW11" s="51"/>
    </row>
    <row r="12" spans="1:49">
      <c r="A12" s="51"/>
      <c r="B12" s="51"/>
      <c r="C12" s="51"/>
      <c r="D12" s="51"/>
      <c r="E12" s="185"/>
      <c r="F12" s="90" t="s">
        <v>136</v>
      </c>
      <c r="G12" s="95">
        <v>25.3</v>
      </c>
      <c r="H12" s="58">
        <v>40</v>
      </c>
      <c r="I12" s="59">
        <v>0.66</v>
      </c>
      <c r="J12" s="108">
        <v>0.8</v>
      </c>
      <c r="K12" s="112">
        <v>0.75</v>
      </c>
      <c r="L12" s="59">
        <v>0.51</v>
      </c>
      <c r="M12" s="108">
        <v>0.42</v>
      </c>
      <c r="N12" s="112">
        <v>0.43</v>
      </c>
      <c r="O12" s="59">
        <v>0.26</v>
      </c>
      <c r="P12" s="108">
        <v>0.27</v>
      </c>
      <c r="Q12" s="112">
        <v>0.26</v>
      </c>
      <c r="R12" s="51"/>
      <c r="S12" s="51"/>
      <c r="T12" s="51"/>
      <c r="U12" s="51"/>
      <c r="V12" s="185"/>
      <c r="W12" s="90" t="s">
        <v>136</v>
      </c>
      <c r="X12" s="95">
        <v>25.3</v>
      </c>
      <c r="Y12" s="96">
        <v>2.5000000000000001E-3</v>
      </c>
      <c r="Z12" s="63">
        <v>40</v>
      </c>
      <c r="AA12" s="102">
        <v>5</v>
      </c>
      <c r="AB12" s="64" t="str">
        <v>0.74</v>
      </c>
      <c r="AC12" s="61">
        <v>5.5602740848165189</v>
      </c>
      <c r="AD12" s="64" t="str">
        <v>0.45</v>
      </c>
      <c r="AE12" s="61">
        <v>6.282355695086423</v>
      </c>
      <c r="AF12" s="64" t="str">
        <v>0.26</v>
      </c>
      <c r="AG12" s="61">
        <v>1.2658227848101273</v>
      </c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</row>
    <row r="13" spans="1:49">
      <c r="A13" s="51"/>
      <c r="B13" s="51"/>
      <c r="C13" s="51"/>
      <c r="D13" s="51"/>
      <c r="E13" s="185"/>
      <c r="F13" s="156"/>
      <c r="G13" s="157"/>
      <c r="H13" s="58">
        <v>60</v>
      </c>
      <c r="I13" s="59">
        <v>1.02</v>
      </c>
      <c r="J13" s="108">
        <v>1.06</v>
      </c>
      <c r="K13" s="112">
        <v>1.07</v>
      </c>
      <c r="L13" s="59">
        <v>0.73</v>
      </c>
      <c r="M13" s="108">
        <v>0.74</v>
      </c>
      <c r="N13" s="112">
        <v>0.76</v>
      </c>
      <c r="O13" s="59">
        <v>0.38</v>
      </c>
      <c r="P13" s="108">
        <v>0.4</v>
      </c>
      <c r="Q13" s="112">
        <v>0.4</v>
      </c>
      <c r="R13" s="51"/>
      <c r="S13" s="51"/>
      <c r="T13" s="51"/>
      <c r="U13" s="51"/>
      <c r="V13" s="185"/>
      <c r="W13" s="86" t="s">
        <v>137</v>
      </c>
      <c r="X13" s="97" t="str">
        <v>62.81</v>
      </c>
      <c r="Y13" s="69">
        <v>2.42</v>
      </c>
      <c r="Z13" s="63">
        <v>60</v>
      </c>
      <c r="AA13" s="102">
        <v>5</v>
      </c>
      <c r="AB13" s="64" t="str">
        <v>1.05</v>
      </c>
      <c r="AC13" s="61">
        <v>1.4547859349066172</v>
      </c>
      <c r="AD13" s="64" t="str">
        <v>0.74</v>
      </c>
      <c r="AE13" s="61">
        <v>1.1864355654998178</v>
      </c>
      <c r="AF13" s="64" t="str">
        <v>0.39</v>
      </c>
      <c r="AG13" s="61">
        <v>1.6949152542372896</v>
      </c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</row>
    <row r="14" spans="1:49">
      <c r="A14" s="51"/>
      <c r="B14" s="51"/>
      <c r="C14" s="51"/>
      <c r="D14" s="51"/>
      <c r="E14" s="185"/>
      <c r="F14" s="158"/>
      <c r="G14" s="159"/>
      <c r="H14" s="58">
        <v>80</v>
      </c>
      <c r="I14" s="59">
        <v>1.27</v>
      </c>
      <c r="J14" s="108">
        <v>1.37</v>
      </c>
      <c r="K14" s="112">
        <v>1.39</v>
      </c>
      <c r="L14" s="59">
        <v>1.03</v>
      </c>
      <c r="M14" s="108">
        <v>0.89</v>
      </c>
      <c r="N14" s="112">
        <v>0.9</v>
      </c>
      <c r="O14" s="59">
        <v>0.52</v>
      </c>
      <c r="P14" s="108">
        <v>0.51</v>
      </c>
      <c r="Q14" s="112">
        <v>0.52</v>
      </c>
      <c r="R14" s="51"/>
      <c r="S14" s="51"/>
      <c r="T14" s="51"/>
      <c r="U14" s="51"/>
      <c r="V14" s="185"/>
      <c r="W14" s="191"/>
      <c r="X14" s="192"/>
      <c r="Y14" s="193"/>
      <c r="Z14" s="63">
        <v>80</v>
      </c>
      <c r="AA14" s="102">
        <v>5</v>
      </c>
      <c r="AB14" s="64" t="str">
        <v>1.34</v>
      </c>
      <c r="AC14" s="61">
        <v>2.7631584927196129</v>
      </c>
      <c r="AD14" s="64" t="str">
        <v>0.94</v>
      </c>
      <c r="AE14" s="61">
        <v>4.7970742051307402</v>
      </c>
      <c r="AF14" s="64" t="str">
        <v>0.52</v>
      </c>
      <c r="AG14" s="61">
        <v>0.64516129032258107</v>
      </c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</row>
    <row r="15" spans="1:49">
      <c r="A15" s="51"/>
      <c r="B15" s="51"/>
      <c r="C15" s="51"/>
      <c r="D15" s="51"/>
      <c r="E15" s="185"/>
      <c r="F15" s="158"/>
      <c r="G15" s="159"/>
      <c r="H15" s="58">
        <v>100</v>
      </c>
      <c r="I15" s="59">
        <v>1.74</v>
      </c>
      <c r="J15" s="108">
        <v>1.68</v>
      </c>
      <c r="K15" s="112">
        <v>1.7</v>
      </c>
      <c r="L15" s="59">
        <v>1.21</v>
      </c>
      <c r="M15" s="108">
        <v>1.25</v>
      </c>
      <c r="N15" s="112">
        <v>1.22</v>
      </c>
      <c r="O15" s="59">
        <v>0.64</v>
      </c>
      <c r="P15" s="108">
        <v>0.64</v>
      </c>
      <c r="Q15" s="112">
        <v>0.63</v>
      </c>
      <c r="R15" s="51"/>
      <c r="S15" s="51"/>
      <c r="T15" s="51"/>
      <c r="U15" s="51"/>
      <c r="V15" s="185"/>
      <c r="W15" s="194"/>
      <c r="X15" s="195"/>
      <c r="Y15" s="196"/>
      <c r="Z15" s="63">
        <v>100</v>
      </c>
      <c r="AA15" s="102">
        <v>5</v>
      </c>
      <c r="AB15" s="64" t="str">
        <v>1.71</v>
      </c>
      <c r="AC15" s="61">
        <v>1.0334966058846067</v>
      </c>
      <c r="AD15" s="64" t="str">
        <v>1.23</v>
      </c>
      <c r="AE15" s="61">
        <v>0.97976936833260675</v>
      </c>
      <c r="AF15" s="64" t="str">
        <v>0.64</v>
      </c>
      <c r="AG15" s="61">
        <v>0.5235602094240841</v>
      </c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</row>
    <row r="16" spans="1:49" ht="17.25" thickBot="1">
      <c r="A16" s="51"/>
      <c r="B16" s="51"/>
      <c r="C16" s="51"/>
      <c r="D16" s="51"/>
      <c r="E16" s="186"/>
      <c r="F16" s="160"/>
      <c r="G16" s="161"/>
      <c r="H16" s="71">
        <v>120</v>
      </c>
      <c r="I16" s="72">
        <v>2.02</v>
      </c>
      <c r="J16" s="109">
        <v>2.04</v>
      </c>
      <c r="K16" s="113">
        <v>2.1</v>
      </c>
      <c r="L16" s="72">
        <v>1.4</v>
      </c>
      <c r="M16" s="109">
        <v>1.4</v>
      </c>
      <c r="N16" s="113">
        <v>1.41</v>
      </c>
      <c r="O16" s="72">
        <v>0.77</v>
      </c>
      <c r="P16" s="109">
        <v>0.77</v>
      </c>
      <c r="Q16" s="113">
        <v>0.76</v>
      </c>
      <c r="R16" s="51"/>
      <c r="S16" s="51"/>
      <c r="T16" s="51"/>
      <c r="U16" s="51"/>
      <c r="V16" s="200"/>
      <c r="W16" s="197"/>
      <c r="X16" s="198"/>
      <c r="Y16" s="199"/>
      <c r="Z16" s="65">
        <v>120</v>
      </c>
      <c r="AA16" s="104">
        <v>5</v>
      </c>
      <c r="AB16" s="64" t="str">
        <v>2.05</v>
      </c>
      <c r="AC16" s="69">
        <v>1.1706335309948028</v>
      </c>
      <c r="AD16" s="64" t="str">
        <v>1.40</v>
      </c>
      <c r="AE16" s="69">
        <v>0.23752969121140166</v>
      </c>
      <c r="AF16" s="70" t="str">
        <v>0.77</v>
      </c>
      <c r="AG16" s="69">
        <v>0.43478260869565261</v>
      </c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</row>
    <row r="17" spans="1:49">
      <c r="A17" s="51"/>
      <c r="B17" s="51"/>
      <c r="C17" s="51"/>
      <c r="D17" s="51"/>
      <c r="E17" s="185" t="s">
        <v>8</v>
      </c>
      <c r="F17" s="54" t="s">
        <v>135</v>
      </c>
      <c r="G17" s="93">
        <f t="array" ref="G17:G18">데이터계산!H18:H19</f>
        <v>3.1</v>
      </c>
      <c r="H17" s="58">
        <v>20</v>
      </c>
      <c r="I17" s="59">
        <v>0.89</v>
      </c>
      <c r="J17" s="108">
        <v>0.75</v>
      </c>
      <c r="K17" s="112">
        <v>1.1599999999999999</v>
      </c>
      <c r="L17" s="59">
        <v>0.5</v>
      </c>
      <c r="M17" s="108">
        <v>0.8</v>
      </c>
      <c r="N17" s="112">
        <v>0.61</v>
      </c>
      <c r="O17" s="59">
        <v>0.3</v>
      </c>
      <c r="P17" s="108">
        <v>0.34</v>
      </c>
      <c r="Q17" s="112">
        <v>0.37</v>
      </c>
      <c r="R17" s="51"/>
      <c r="S17" s="51"/>
      <c r="T17" s="51"/>
      <c r="U17" s="51"/>
      <c r="V17" s="201" t="s">
        <v>8</v>
      </c>
      <c r="W17" s="54" t="s">
        <v>135</v>
      </c>
      <c r="X17" s="93">
        <f t="array" ref="X17:Y19">데이터계산!H18:I20</f>
        <v>3.1</v>
      </c>
      <c r="Y17" s="94">
        <v>2.5000000000000001E-3</v>
      </c>
      <c r="Z17" s="63">
        <v>20</v>
      </c>
      <c r="AA17" s="103">
        <v>5</v>
      </c>
      <c r="AB17" s="68" t="str">
        <v>0.93</v>
      </c>
      <c r="AC17" s="67">
        <v>12.891818319842905</v>
      </c>
      <c r="AD17" s="68" t="str">
        <v>0.64</v>
      </c>
      <c r="AE17" s="67">
        <v>13.762763799052275</v>
      </c>
      <c r="AF17" s="68" t="str">
        <v>0.34</v>
      </c>
      <c r="AG17" s="67">
        <v>6.022537158711109</v>
      </c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</row>
    <row r="18" spans="1:49">
      <c r="A18" s="51"/>
      <c r="B18" s="51"/>
      <c r="C18" s="51"/>
      <c r="D18" s="51"/>
      <c r="E18" s="185"/>
      <c r="F18" s="90" t="s">
        <v>136</v>
      </c>
      <c r="G18" s="95">
        <v>25.4</v>
      </c>
      <c r="H18" s="58">
        <v>40</v>
      </c>
      <c r="I18" s="59">
        <v>1.9</v>
      </c>
      <c r="J18" s="108">
        <v>2.12</v>
      </c>
      <c r="K18" s="112">
        <v>2.0099999999999998</v>
      </c>
      <c r="L18" s="59">
        <v>1.19</v>
      </c>
      <c r="M18" s="108">
        <v>1.25</v>
      </c>
      <c r="N18" s="112">
        <v>1.06</v>
      </c>
      <c r="O18" s="59">
        <v>0.67</v>
      </c>
      <c r="P18" s="108">
        <v>0.63</v>
      </c>
      <c r="Q18" s="112">
        <v>0.62</v>
      </c>
      <c r="R18" s="51"/>
      <c r="S18" s="51"/>
      <c r="T18" s="51"/>
      <c r="U18" s="51"/>
      <c r="V18" s="185"/>
      <c r="W18" s="90" t="s">
        <v>136</v>
      </c>
      <c r="X18" s="95">
        <v>25.4</v>
      </c>
      <c r="Y18" s="96">
        <v>2.5000000000000001E-3</v>
      </c>
      <c r="Z18" s="63">
        <v>40</v>
      </c>
      <c r="AA18" s="102">
        <v>5</v>
      </c>
      <c r="AB18" s="64" t="str">
        <v>2.01</v>
      </c>
      <c r="AC18" s="61">
        <v>3.1596283388487016</v>
      </c>
      <c r="AD18" s="64" t="str">
        <v>1.17</v>
      </c>
      <c r="AE18" s="61">
        <v>4.8064582403602047</v>
      </c>
      <c r="AF18" s="64" t="str">
        <v>0.64</v>
      </c>
      <c r="AG18" s="61">
        <v>2.386758174456169</v>
      </c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</row>
    <row r="19" spans="1:49">
      <c r="A19" s="51"/>
      <c r="B19" s="51"/>
      <c r="C19" s="51"/>
      <c r="D19" s="51"/>
      <c r="E19" s="185"/>
      <c r="F19" s="156"/>
      <c r="G19" s="157"/>
      <c r="H19" s="58">
        <v>60</v>
      </c>
      <c r="I19" s="59">
        <v>2.66</v>
      </c>
      <c r="J19" s="108">
        <v>2.82</v>
      </c>
      <c r="K19" s="112">
        <v>2.65</v>
      </c>
      <c r="L19" s="59">
        <v>1.84</v>
      </c>
      <c r="M19" s="108">
        <v>1.91</v>
      </c>
      <c r="N19" s="112">
        <v>1.82</v>
      </c>
      <c r="O19" s="59">
        <v>0.98</v>
      </c>
      <c r="P19" s="108">
        <v>0.95</v>
      </c>
      <c r="Q19" s="112">
        <v>1.01</v>
      </c>
      <c r="R19" s="51"/>
      <c r="S19" s="51"/>
      <c r="T19" s="51"/>
      <c r="U19" s="51"/>
      <c r="V19" s="185"/>
      <c r="W19" s="86" t="s">
        <v>137</v>
      </c>
      <c r="X19" s="97" t="str">
        <v>62.81</v>
      </c>
      <c r="Y19" s="69">
        <v>2.42</v>
      </c>
      <c r="Z19" s="63">
        <v>60</v>
      </c>
      <c r="AA19" s="102">
        <v>5</v>
      </c>
      <c r="AB19" s="64" t="str">
        <v>2.71</v>
      </c>
      <c r="AC19" s="61">
        <v>2.03231385508712</v>
      </c>
      <c r="AD19" s="64" t="str">
        <v>1.86</v>
      </c>
      <c r="AE19" s="61">
        <v>1.4695426879483728</v>
      </c>
      <c r="AF19" s="64" t="str">
        <v>0.98</v>
      </c>
      <c r="AG19" s="61">
        <v>1.76739878323355</v>
      </c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</row>
    <row r="20" spans="1:49">
      <c r="A20" s="51"/>
      <c r="B20" s="51"/>
      <c r="C20" s="51"/>
      <c r="D20" s="51"/>
      <c r="E20" s="185"/>
      <c r="F20" s="158"/>
      <c r="G20" s="159"/>
      <c r="H20" s="58">
        <v>80</v>
      </c>
      <c r="I20" s="59">
        <v>3.52</v>
      </c>
      <c r="J20" s="108">
        <v>3.74</v>
      </c>
      <c r="K20" s="112">
        <v>3.5</v>
      </c>
      <c r="L20" s="59">
        <v>2.39</v>
      </c>
      <c r="M20" s="108">
        <v>2.4700000000000002</v>
      </c>
      <c r="N20" s="112">
        <v>2.46</v>
      </c>
      <c r="O20" s="59">
        <v>1.32</v>
      </c>
      <c r="P20" s="108">
        <v>1.28</v>
      </c>
      <c r="Q20" s="112">
        <v>1.3</v>
      </c>
      <c r="R20" s="51"/>
      <c r="S20" s="51"/>
      <c r="T20" s="51"/>
      <c r="U20" s="51"/>
      <c r="V20" s="185"/>
      <c r="W20" s="191"/>
      <c r="X20" s="192"/>
      <c r="Y20" s="193"/>
      <c r="Z20" s="63">
        <v>80</v>
      </c>
      <c r="AA20" s="102">
        <v>5</v>
      </c>
      <c r="AB20" s="64" t="str">
        <v>3.59</v>
      </c>
      <c r="AC20" s="61">
        <v>2.1435989952919718</v>
      </c>
      <c r="AD20" s="64" t="str">
        <v>2.44</v>
      </c>
      <c r="AE20" s="61">
        <v>1.0313981468949109</v>
      </c>
      <c r="AF20" s="64" t="str">
        <v>1.30</v>
      </c>
      <c r="AG20" s="61">
        <v>0.88823118336865581</v>
      </c>
      <c r="AH20" s="51"/>
      <c r="AI20" s="51"/>
      <c r="AJ20" s="51"/>
      <c r="AK20" s="51"/>
      <c r="AL20" s="51"/>
      <c r="AM20" s="51" t="s">
        <v>14</v>
      </c>
      <c r="AN20" s="51"/>
      <c r="AO20" s="51"/>
      <c r="AP20" s="51"/>
      <c r="AQ20" s="51"/>
      <c r="AR20" s="51"/>
      <c r="AS20" s="51"/>
      <c r="AT20" s="51"/>
      <c r="AU20" s="51"/>
      <c r="AV20" s="51"/>
      <c r="AW20" s="51"/>
    </row>
    <row r="21" spans="1:49">
      <c r="A21" s="51"/>
      <c r="B21" s="51"/>
      <c r="C21" s="51"/>
      <c r="D21" s="51"/>
      <c r="E21" s="185"/>
      <c r="F21" s="158"/>
      <c r="G21" s="159"/>
      <c r="H21" s="58">
        <v>100</v>
      </c>
      <c r="I21" s="59">
        <v>4.46</v>
      </c>
      <c r="J21" s="108">
        <v>4.25</v>
      </c>
      <c r="K21" s="112">
        <v>3.97</v>
      </c>
      <c r="L21" s="59">
        <v>2.76</v>
      </c>
      <c r="M21" s="108">
        <v>3.18</v>
      </c>
      <c r="N21" s="112">
        <v>3.03</v>
      </c>
      <c r="O21" s="59">
        <v>1.6</v>
      </c>
      <c r="P21" s="108">
        <v>1.65</v>
      </c>
      <c r="Q21" s="112">
        <v>1.63</v>
      </c>
      <c r="R21" s="51"/>
      <c r="S21" s="51"/>
      <c r="T21" s="51"/>
      <c r="U21" s="51"/>
      <c r="V21" s="185"/>
      <c r="W21" s="194"/>
      <c r="X21" s="195"/>
      <c r="Y21" s="196"/>
      <c r="Z21" s="63">
        <v>100</v>
      </c>
      <c r="AA21" s="102">
        <v>5</v>
      </c>
      <c r="AB21" s="64" t="str">
        <v>4.23</v>
      </c>
      <c r="AC21" s="61">
        <v>3.3579919331299299</v>
      </c>
      <c r="AD21" s="64" t="str">
        <v>2.99</v>
      </c>
      <c r="AE21" s="61">
        <v>4.1097678018209098</v>
      </c>
      <c r="AF21" s="64" t="str">
        <v>1.63</v>
      </c>
      <c r="AG21" s="61">
        <v>0.8932169966271839</v>
      </c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</row>
    <row r="22" spans="1:49" ht="17.25" thickBot="1">
      <c r="A22" s="51"/>
      <c r="B22" s="51"/>
      <c r="C22" s="51"/>
      <c r="D22" s="51"/>
      <c r="E22" s="186"/>
      <c r="F22" s="160"/>
      <c r="G22" s="161"/>
      <c r="H22" s="71">
        <v>120</v>
      </c>
      <c r="I22" s="72">
        <v>5.27</v>
      </c>
      <c r="J22" s="109">
        <v>5.31</v>
      </c>
      <c r="K22" s="113">
        <v>4.8899999999999997</v>
      </c>
      <c r="L22" s="72">
        <v>3.34</v>
      </c>
      <c r="M22" s="109">
        <v>3.61</v>
      </c>
      <c r="N22" s="113">
        <v>3.6</v>
      </c>
      <c r="O22" s="72">
        <v>1.95</v>
      </c>
      <c r="P22" s="109">
        <v>1.94</v>
      </c>
      <c r="Q22" s="113">
        <v>1.97</v>
      </c>
      <c r="R22" s="51"/>
      <c r="S22" s="51"/>
      <c r="T22" s="51"/>
      <c r="U22" s="51"/>
      <c r="V22" s="186"/>
      <c r="W22" s="197"/>
      <c r="X22" s="198"/>
      <c r="Y22" s="199"/>
      <c r="Z22" s="73">
        <v>120</v>
      </c>
      <c r="AA22" s="105">
        <v>5</v>
      </c>
      <c r="AB22" s="75" t="str">
        <v>5.16</v>
      </c>
      <c r="AC22" s="74">
        <v>2.5953277181492864</v>
      </c>
      <c r="AD22" s="75" t="str">
        <v>3.52</v>
      </c>
      <c r="AE22" s="74">
        <v>2.5131893049408265</v>
      </c>
      <c r="AF22" s="75" t="str">
        <v>1.95</v>
      </c>
      <c r="AG22" s="74">
        <v>0.45149339779259273</v>
      </c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</row>
    <row r="23" spans="1:49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</row>
    <row r="24" spans="1:49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</row>
  </sheetData>
  <mergeCells count="48">
    <mergeCell ref="V11:V16"/>
    <mergeCell ref="V17:V22"/>
    <mergeCell ref="W14:Y16"/>
    <mergeCell ref="W20:Y22"/>
    <mergeCell ref="E11:E16"/>
    <mergeCell ref="E17:E22"/>
    <mergeCell ref="I2:K2"/>
    <mergeCell ref="I3:K3"/>
    <mergeCell ref="L2:N2"/>
    <mergeCell ref="L3:N3"/>
    <mergeCell ref="H3:H4"/>
    <mergeCell ref="E2:G4"/>
    <mergeCell ref="E5:E10"/>
    <mergeCell ref="AO2:AR2"/>
    <mergeCell ref="AS2:AV2"/>
    <mergeCell ref="AJ3:AJ4"/>
    <mergeCell ref="AK3:AL3"/>
    <mergeCell ref="AM3:AN4"/>
    <mergeCell ref="AO3:AP3"/>
    <mergeCell ref="AQ3:AR4"/>
    <mergeCell ref="AS3:AT3"/>
    <mergeCell ref="AU3:AV4"/>
    <mergeCell ref="AO8:AP8"/>
    <mergeCell ref="AS8:AT8"/>
    <mergeCell ref="AK9:AN9"/>
    <mergeCell ref="AO9:AR9"/>
    <mergeCell ref="AS9:AV9"/>
    <mergeCell ref="AO10:AR10"/>
    <mergeCell ref="AS10:AV10"/>
    <mergeCell ref="AK11:AN11"/>
    <mergeCell ref="AO11:AR11"/>
    <mergeCell ref="AS11:AV11"/>
    <mergeCell ref="F19:G22"/>
    <mergeCell ref="F13:G16"/>
    <mergeCell ref="F7:G10"/>
    <mergeCell ref="V2:Y4"/>
    <mergeCell ref="AK10:AN10"/>
    <mergeCell ref="AK8:AL8"/>
    <mergeCell ref="AK2:AN2"/>
    <mergeCell ref="O3:Q3"/>
    <mergeCell ref="O2:Q2"/>
    <mergeCell ref="Z2:AA2"/>
    <mergeCell ref="W8:Y10"/>
    <mergeCell ref="Z3:AA4"/>
    <mergeCell ref="AB3:AC4"/>
    <mergeCell ref="AD3:AE4"/>
    <mergeCell ref="AF3:AG4"/>
    <mergeCell ref="V5:V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F8DE-C3DE-479F-92A3-8D478647FDAC}">
  <dimension ref="E7:K49"/>
  <sheetViews>
    <sheetView zoomScale="85" zoomScaleNormal="85" workbookViewId="0">
      <selection activeCell="N13" sqref="N13"/>
    </sheetView>
  </sheetViews>
  <sheetFormatPr defaultRowHeight="16.5"/>
  <cols>
    <col min="6" max="6" width="11.875" customWidth="1"/>
    <col min="7" max="7" width="30.75" customWidth="1"/>
  </cols>
  <sheetData>
    <row r="7" spans="5:11" ht="17.25" thickBot="1">
      <c r="E7" s="51"/>
      <c r="F7" s="115"/>
      <c r="G7" s="117"/>
      <c r="H7" s="51"/>
      <c r="I7" s="51"/>
      <c r="J7" s="51"/>
      <c r="K7" s="51"/>
    </row>
    <row r="8" spans="5:11">
      <c r="E8" s="51"/>
      <c r="F8" s="86" t="s">
        <v>105</v>
      </c>
      <c r="G8" s="118" t="s">
        <v>110</v>
      </c>
      <c r="H8" s="205"/>
      <c r="I8" s="206"/>
      <c r="J8" s="207"/>
      <c r="K8" s="51"/>
    </row>
    <row r="9" spans="5:11">
      <c r="E9" s="51"/>
      <c r="F9" s="119" t="s">
        <v>106</v>
      </c>
      <c r="G9" s="120" t="s">
        <v>111</v>
      </c>
      <c r="H9" s="208"/>
      <c r="I9" s="209"/>
      <c r="J9" s="210"/>
      <c r="K9" s="51"/>
    </row>
    <row r="10" spans="5:11">
      <c r="E10" s="51" t="s">
        <v>14</v>
      </c>
      <c r="F10" s="119" t="s">
        <v>107</v>
      </c>
      <c r="G10" s="120" t="s">
        <v>112</v>
      </c>
      <c r="H10" s="208"/>
      <c r="I10" s="209"/>
      <c r="J10" s="210"/>
      <c r="K10" s="51"/>
    </row>
    <row r="11" spans="5:11">
      <c r="E11" s="51"/>
      <c r="F11" s="119" t="s">
        <v>108</v>
      </c>
      <c r="G11" s="120" t="s">
        <v>114</v>
      </c>
      <c r="H11" s="208"/>
      <c r="I11" s="209"/>
      <c r="J11" s="210"/>
      <c r="K11" s="51"/>
    </row>
    <row r="12" spans="5:11">
      <c r="E12" s="51"/>
      <c r="F12" s="119" t="s">
        <v>113</v>
      </c>
      <c r="G12" s="120" t="s">
        <v>115</v>
      </c>
      <c r="H12" s="208"/>
      <c r="I12" s="209"/>
      <c r="J12" s="210"/>
      <c r="K12" s="51"/>
    </row>
    <row r="13" spans="5:11">
      <c r="E13" s="51"/>
      <c r="F13" s="179" t="s">
        <v>109</v>
      </c>
      <c r="G13" s="202"/>
      <c r="H13" s="208"/>
      <c r="I13" s="209"/>
      <c r="J13" s="210"/>
      <c r="K13" s="51"/>
    </row>
    <row r="14" spans="5:11">
      <c r="E14" s="51"/>
      <c r="F14" s="165"/>
      <c r="G14" s="203"/>
      <c r="H14" s="208"/>
      <c r="I14" s="209"/>
      <c r="J14" s="210"/>
      <c r="K14" s="51"/>
    </row>
    <row r="15" spans="5:11" ht="17.25" thickBot="1">
      <c r="E15" s="51"/>
      <c r="F15" s="168"/>
      <c r="G15" s="204"/>
      <c r="H15" s="211"/>
      <c r="I15" s="212"/>
      <c r="J15" s="213"/>
      <c r="K15" s="51"/>
    </row>
    <row r="16" spans="5:11">
      <c r="E16" s="51"/>
      <c r="F16" s="86" t="s">
        <v>105</v>
      </c>
      <c r="G16" s="118" t="s">
        <v>116</v>
      </c>
      <c r="H16" s="205"/>
      <c r="I16" s="206"/>
      <c r="J16" s="207"/>
      <c r="K16" s="51"/>
    </row>
    <row r="17" spans="5:11">
      <c r="E17" s="51"/>
      <c r="F17" s="119" t="s">
        <v>117</v>
      </c>
      <c r="G17" s="120" t="s">
        <v>118</v>
      </c>
      <c r="H17" s="208"/>
      <c r="I17" s="209"/>
      <c r="J17" s="210"/>
      <c r="K17" s="51"/>
    </row>
    <row r="18" spans="5:11">
      <c r="E18" s="51"/>
      <c r="F18" s="119" t="s">
        <v>119</v>
      </c>
      <c r="G18" s="120" t="s">
        <v>120</v>
      </c>
      <c r="H18" s="208"/>
      <c r="I18" s="209"/>
      <c r="J18" s="210"/>
      <c r="K18" s="51"/>
    </row>
    <row r="19" spans="5:11">
      <c r="E19" s="51"/>
      <c r="F19" s="119"/>
      <c r="G19" s="120"/>
      <c r="H19" s="208"/>
      <c r="I19" s="209"/>
      <c r="J19" s="210"/>
      <c r="K19" s="51"/>
    </row>
    <row r="20" spans="5:11">
      <c r="E20" s="51"/>
      <c r="F20" s="119"/>
      <c r="G20" s="120"/>
      <c r="H20" s="208"/>
      <c r="I20" s="209"/>
      <c r="J20" s="210"/>
      <c r="K20" s="51"/>
    </row>
    <row r="21" spans="5:11">
      <c r="E21" s="51"/>
      <c r="F21" s="179" t="s">
        <v>109</v>
      </c>
      <c r="G21" s="202"/>
      <c r="H21" s="208"/>
      <c r="I21" s="209"/>
      <c r="J21" s="210"/>
      <c r="K21" s="51"/>
    </row>
    <row r="22" spans="5:11">
      <c r="E22" s="51"/>
      <c r="F22" s="165"/>
      <c r="G22" s="203"/>
      <c r="H22" s="208"/>
      <c r="I22" s="209"/>
      <c r="J22" s="210"/>
      <c r="K22" s="51"/>
    </row>
    <row r="23" spans="5:11" ht="17.25" thickBot="1">
      <c r="E23" s="51"/>
      <c r="F23" s="168"/>
      <c r="G23" s="204"/>
      <c r="H23" s="211"/>
      <c r="I23" s="212"/>
      <c r="J23" s="213"/>
      <c r="K23" s="51"/>
    </row>
    <row r="24" spans="5:11">
      <c r="E24" s="51"/>
      <c r="F24" s="86" t="s">
        <v>105</v>
      </c>
      <c r="G24" s="118" t="s">
        <v>121</v>
      </c>
      <c r="H24" s="205"/>
      <c r="I24" s="206"/>
      <c r="J24" s="207"/>
      <c r="K24" s="51"/>
    </row>
    <row r="25" spans="5:11">
      <c r="E25" s="51"/>
      <c r="F25" s="119" t="s">
        <v>126</v>
      </c>
      <c r="G25" s="120" t="s">
        <v>127</v>
      </c>
      <c r="H25" s="208"/>
      <c r="I25" s="209"/>
      <c r="J25" s="210"/>
      <c r="K25" s="51"/>
    </row>
    <row r="26" spans="5:11">
      <c r="E26" s="51"/>
      <c r="F26" s="119" t="s">
        <v>128</v>
      </c>
      <c r="G26" s="120" t="s">
        <v>127</v>
      </c>
      <c r="H26" s="208"/>
      <c r="I26" s="209"/>
      <c r="J26" s="210"/>
      <c r="K26" s="51"/>
    </row>
    <row r="27" spans="5:11">
      <c r="E27" s="51"/>
      <c r="F27" s="119" t="s">
        <v>122</v>
      </c>
      <c r="G27" s="120" t="s">
        <v>133</v>
      </c>
      <c r="H27" s="208"/>
      <c r="I27" s="209"/>
      <c r="J27" s="210"/>
      <c r="K27" s="51"/>
    </row>
    <row r="28" spans="5:11">
      <c r="E28" s="51"/>
      <c r="F28" s="119"/>
      <c r="G28" s="120"/>
      <c r="H28" s="208"/>
      <c r="I28" s="209"/>
      <c r="J28" s="210"/>
      <c r="K28" s="51"/>
    </row>
    <row r="29" spans="5:11">
      <c r="E29" s="51"/>
      <c r="F29" s="179" t="s">
        <v>109</v>
      </c>
      <c r="G29" s="214" t="s">
        <v>129</v>
      </c>
      <c r="H29" s="208"/>
      <c r="I29" s="209"/>
      <c r="J29" s="210"/>
      <c r="K29" s="51"/>
    </row>
    <row r="30" spans="5:11">
      <c r="E30" s="51"/>
      <c r="F30" s="165"/>
      <c r="G30" s="215"/>
      <c r="H30" s="208"/>
      <c r="I30" s="209"/>
      <c r="J30" s="210"/>
      <c r="K30" s="51"/>
    </row>
    <row r="31" spans="5:11" ht="17.25" thickBot="1">
      <c r="E31" s="51"/>
      <c r="F31" s="168"/>
      <c r="G31" s="216"/>
      <c r="H31" s="211"/>
      <c r="I31" s="212"/>
      <c r="J31" s="213"/>
      <c r="K31" s="51"/>
    </row>
    <row r="32" spans="5:11">
      <c r="E32" s="51"/>
      <c r="F32" s="86" t="s">
        <v>105</v>
      </c>
      <c r="G32" s="118" t="s">
        <v>130</v>
      </c>
      <c r="H32" s="205"/>
      <c r="I32" s="206"/>
      <c r="J32" s="207"/>
      <c r="K32" s="51"/>
    </row>
    <row r="33" spans="5:11">
      <c r="E33" s="51"/>
      <c r="F33" s="119" t="s">
        <v>107</v>
      </c>
      <c r="G33" s="120" t="s">
        <v>131</v>
      </c>
      <c r="H33" s="208"/>
      <c r="I33" s="209"/>
      <c r="J33" s="210"/>
      <c r="K33" s="51"/>
    </row>
    <row r="34" spans="5:11">
      <c r="E34" s="51"/>
      <c r="F34" s="119" t="s">
        <v>108</v>
      </c>
      <c r="G34" s="120" t="s">
        <v>132</v>
      </c>
      <c r="H34" s="208"/>
      <c r="I34" s="209"/>
      <c r="J34" s="210"/>
      <c r="K34" s="51"/>
    </row>
    <row r="35" spans="5:11">
      <c r="E35" s="51"/>
      <c r="F35" s="119"/>
      <c r="G35" s="120"/>
      <c r="H35" s="208"/>
      <c r="I35" s="209"/>
      <c r="J35" s="210"/>
      <c r="K35" s="51"/>
    </row>
    <row r="36" spans="5:11">
      <c r="E36" s="51"/>
      <c r="F36" s="119"/>
      <c r="G36" s="120"/>
      <c r="H36" s="208"/>
      <c r="I36" s="209"/>
      <c r="J36" s="210"/>
      <c r="K36" s="51"/>
    </row>
    <row r="37" spans="5:11">
      <c r="E37" s="51"/>
      <c r="F37" s="179" t="s">
        <v>109</v>
      </c>
      <c r="G37" s="202"/>
      <c r="H37" s="208"/>
      <c r="I37" s="209"/>
      <c r="J37" s="210"/>
      <c r="K37" s="51"/>
    </row>
    <row r="38" spans="5:11">
      <c r="E38" s="51"/>
      <c r="F38" s="165"/>
      <c r="G38" s="203"/>
      <c r="H38" s="208"/>
      <c r="I38" s="209"/>
      <c r="J38" s="210"/>
      <c r="K38" s="51"/>
    </row>
    <row r="39" spans="5:11" ht="17.25" thickBot="1">
      <c r="E39" s="51"/>
      <c r="F39" s="168"/>
      <c r="G39" s="204"/>
      <c r="H39" s="211"/>
      <c r="I39" s="212"/>
      <c r="J39" s="213"/>
      <c r="K39" s="51"/>
    </row>
    <row r="40" spans="5:11">
      <c r="E40" s="51"/>
      <c r="F40" s="86" t="s">
        <v>105</v>
      </c>
      <c r="G40" s="118" t="s">
        <v>123</v>
      </c>
      <c r="H40" s="205"/>
      <c r="I40" s="206"/>
      <c r="J40" s="207"/>
      <c r="K40" s="51"/>
    </row>
    <row r="41" spans="5:11">
      <c r="E41" s="51"/>
      <c r="F41" s="119" t="s">
        <v>107</v>
      </c>
      <c r="G41" s="120" t="s">
        <v>124</v>
      </c>
      <c r="H41" s="208"/>
      <c r="I41" s="209"/>
      <c r="J41" s="210"/>
      <c r="K41" s="51"/>
    </row>
    <row r="42" spans="5:11">
      <c r="E42" s="51"/>
      <c r="F42" s="119" t="s">
        <v>108</v>
      </c>
      <c r="G42" s="120" t="s">
        <v>125</v>
      </c>
      <c r="H42" s="208"/>
      <c r="I42" s="209"/>
      <c r="J42" s="210"/>
      <c r="K42" s="51"/>
    </row>
    <row r="43" spans="5:11">
      <c r="E43" s="51"/>
      <c r="F43" s="119"/>
      <c r="G43" s="120"/>
      <c r="H43" s="208"/>
      <c r="I43" s="209"/>
      <c r="J43" s="210"/>
      <c r="K43" s="51"/>
    </row>
    <row r="44" spans="5:11">
      <c r="E44" s="51"/>
      <c r="F44" s="119"/>
      <c r="G44" s="120"/>
      <c r="H44" s="208"/>
      <c r="I44" s="209"/>
      <c r="J44" s="210"/>
      <c r="K44" s="51"/>
    </row>
    <row r="45" spans="5:11">
      <c r="E45" s="51"/>
      <c r="F45" s="179" t="s">
        <v>109</v>
      </c>
      <c r="G45" s="202"/>
      <c r="H45" s="208"/>
      <c r="I45" s="209"/>
      <c r="J45" s="210"/>
      <c r="K45" s="51"/>
    </row>
    <row r="46" spans="5:11">
      <c r="E46" s="51"/>
      <c r="F46" s="165"/>
      <c r="G46" s="203"/>
      <c r="H46" s="208"/>
      <c r="I46" s="209"/>
      <c r="J46" s="210"/>
      <c r="K46" s="51"/>
    </row>
    <row r="47" spans="5:11" ht="17.25" thickBot="1">
      <c r="E47" s="51"/>
      <c r="F47" s="168"/>
      <c r="G47" s="204"/>
      <c r="H47" s="211"/>
      <c r="I47" s="212"/>
      <c r="J47" s="213"/>
      <c r="K47" s="51"/>
    </row>
    <row r="48" spans="5:11">
      <c r="E48" s="51"/>
      <c r="F48" s="51"/>
      <c r="G48" s="51"/>
      <c r="H48" s="51"/>
      <c r="I48" s="51"/>
      <c r="J48" s="51"/>
      <c r="K48" s="51"/>
    </row>
    <row r="49" spans="5:11">
      <c r="E49" s="51"/>
      <c r="F49" s="51"/>
      <c r="G49" s="51"/>
      <c r="H49" s="51"/>
      <c r="I49" s="51"/>
      <c r="J49" s="51"/>
      <c r="K49" s="51"/>
    </row>
  </sheetData>
  <mergeCells count="15">
    <mergeCell ref="H40:J47"/>
    <mergeCell ref="F45:F47"/>
    <mergeCell ref="G45:G47"/>
    <mergeCell ref="H24:J31"/>
    <mergeCell ref="F29:F31"/>
    <mergeCell ref="G29:G31"/>
    <mergeCell ref="H32:J39"/>
    <mergeCell ref="F37:F39"/>
    <mergeCell ref="G37:G39"/>
    <mergeCell ref="F13:F15"/>
    <mergeCell ref="G13:G15"/>
    <mergeCell ref="H8:J15"/>
    <mergeCell ref="H16:J23"/>
    <mergeCell ref="F21:F23"/>
    <mergeCell ref="G21:G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48A5-07FC-4CD7-A474-66ACEFBF4068}">
  <dimension ref="D3:AA47"/>
  <sheetViews>
    <sheetView zoomScale="70" zoomScaleNormal="70" workbookViewId="0">
      <selection activeCell="AE30" sqref="AE30"/>
    </sheetView>
  </sheetViews>
  <sheetFormatPr defaultRowHeight="16.5"/>
  <cols>
    <col min="8" max="8" width="9.25" bestFit="1" customWidth="1"/>
    <col min="14" max="14" width="13.125" bestFit="1" customWidth="1"/>
    <col min="26" max="27" width="13.125" bestFit="1" customWidth="1"/>
  </cols>
  <sheetData>
    <row r="3" spans="4:24" ht="17.25" thickBot="1"/>
    <row r="4" spans="4:24" ht="17.25" thickBot="1">
      <c r="D4" s="142" t="s">
        <v>23</v>
      </c>
      <c r="E4" s="5" t="s">
        <v>5</v>
      </c>
      <c r="G4" t="s">
        <v>48</v>
      </c>
      <c r="I4" t="s">
        <v>49</v>
      </c>
      <c r="K4" t="s">
        <v>50</v>
      </c>
    </row>
    <row r="5" spans="4:24">
      <c r="D5" s="129"/>
      <c r="E5" s="142" t="s">
        <v>0</v>
      </c>
      <c r="F5" s="144" t="s">
        <v>47</v>
      </c>
      <c r="G5" t="s">
        <v>51</v>
      </c>
      <c r="I5" t="s">
        <v>51</v>
      </c>
      <c r="K5" t="s">
        <v>51</v>
      </c>
    </row>
    <row r="6" spans="4:24" ht="17.25" thickBot="1">
      <c r="D6" s="130"/>
      <c r="E6" s="130"/>
      <c r="F6" s="144"/>
    </row>
    <row r="7" spans="4:24">
      <c r="D7" s="129" t="s">
        <v>6</v>
      </c>
      <c r="E7" s="10">
        <v>20</v>
      </c>
      <c r="F7" s="144">
        <v>118.11</v>
      </c>
      <c r="G7" t="s">
        <v>52</v>
      </c>
      <c r="H7" s="50">
        <v>19.245008972987538</v>
      </c>
      <c r="I7" t="s">
        <v>53</v>
      </c>
      <c r="J7" s="50">
        <v>6.6414140506606367</v>
      </c>
      <c r="K7" t="s">
        <v>54</v>
      </c>
      <c r="L7" s="50">
        <v>6.1538461538461551</v>
      </c>
      <c r="N7">
        <f>$F$7*(12.7-G7)*0.001*0.101972</f>
        <v>0.14681529849479999</v>
      </c>
      <c r="P7">
        <f>$F$7*(12.7-I7)*0.001*0.101972</f>
        <v>0.14741749414079999</v>
      </c>
      <c r="R7">
        <f>$F$7*(12.7-K7)*0.001*0.101972</f>
        <v>0.15034416498035996</v>
      </c>
      <c r="T7">
        <f>$E7+N7</f>
        <v>20.146815298494801</v>
      </c>
      <c r="V7">
        <f>$E7+P7</f>
        <v>20.1474174941408</v>
      </c>
      <c r="X7">
        <f>$E7+R7</f>
        <v>20.150344164980361</v>
      </c>
    </row>
    <row r="8" spans="4:24">
      <c r="D8" s="129"/>
      <c r="E8" s="10">
        <v>40</v>
      </c>
      <c r="F8" s="144"/>
      <c r="G8" t="s">
        <v>55</v>
      </c>
      <c r="H8" s="50">
        <v>7.6391412824445508</v>
      </c>
      <c r="I8" t="s">
        <v>56</v>
      </c>
      <c r="J8" s="50">
        <v>3.6728076104609864</v>
      </c>
      <c r="K8" t="s">
        <v>57</v>
      </c>
      <c r="L8" s="50">
        <v>0.78740157480315021</v>
      </c>
      <c r="N8">
        <f t="shared" ref="N8:R24" si="0">$F$7*(12.7-G8)*0.001*0.101972</f>
        <v>0.1398298290012</v>
      </c>
      <c r="P8">
        <f t="shared" si="0"/>
        <v>0.14323825635755999</v>
      </c>
      <c r="R8">
        <f t="shared" si="0"/>
        <v>0.14786311891883999</v>
      </c>
      <c r="T8">
        <f t="shared" ref="T8:X24" si="1">$E8+N8</f>
        <v>40.139829829001201</v>
      </c>
      <c r="V8">
        <f t="shared" si="1"/>
        <v>40.143238256357563</v>
      </c>
      <c r="X8">
        <f t="shared" si="1"/>
        <v>40.147863118918842</v>
      </c>
    </row>
    <row r="9" spans="4:24">
      <c r="D9" s="129"/>
      <c r="E9" s="10">
        <v>60</v>
      </c>
      <c r="F9" s="144"/>
      <c r="G9" t="s">
        <v>58</v>
      </c>
      <c r="H9" s="50">
        <v>7.0262406460992812</v>
      </c>
      <c r="I9" t="s">
        <v>59</v>
      </c>
      <c r="J9" s="50">
        <v>1.67876290279527</v>
      </c>
      <c r="K9" t="s">
        <v>60</v>
      </c>
      <c r="L9" s="50">
        <v>1.0810810810810818</v>
      </c>
      <c r="N9">
        <f t="shared" si="0"/>
        <v>0.13263961298795998</v>
      </c>
      <c r="P9">
        <f t="shared" si="0"/>
        <v>0.13802324206319999</v>
      </c>
      <c r="R9">
        <f t="shared" si="0"/>
        <v>0.14552659981235996</v>
      </c>
      <c r="T9">
        <f t="shared" si="1"/>
        <v>60.132639612987958</v>
      </c>
      <c r="V9">
        <f t="shared" si="1"/>
        <v>60.138023242063198</v>
      </c>
      <c r="X9">
        <f t="shared" si="1"/>
        <v>60.145526599812356</v>
      </c>
    </row>
    <row r="10" spans="4:24">
      <c r="D10" s="129"/>
      <c r="E10" s="10">
        <v>80</v>
      </c>
      <c r="F10" s="144"/>
      <c r="G10" t="s">
        <v>61</v>
      </c>
      <c r="H10" s="50">
        <v>6.1022826112250277</v>
      </c>
      <c r="I10" t="s">
        <v>62</v>
      </c>
      <c r="J10" s="50">
        <v>1.6203837501881002</v>
      </c>
      <c r="K10" t="s">
        <v>63</v>
      </c>
      <c r="L10" s="50">
        <v>0.40322580645161321</v>
      </c>
      <c r="N10">
        <f t="shared" si="0"/>
        <v>0.12642495392124001</v>
      </c>
      <c r="P10">
        <f t="shared" si="0"/>
        <v>0.13360312602155999</v>
      </c>
      <c r="R10">
        <f t="shared" si="0"/>
        <v>0.14299737809915997</v>
      </c>
      <c r="T10">
        <f t="shared" si="1"/>
        <v>80.126424953921244</v>
      </c>
      <c r="V10">
        <f t="shared" si="1"/>
        <v>80.133603126021555</v>
      </c>
      <c r="X10">
        <f t="shared" si="1"/>
        <v>80.142997378099153</v>
      </c>
    </row>
    <row r="11" spans="4:24">
      <c r="D11" s="129"/>
      <c r="E11" s="10">
        <v>100</v>
      </c>
      <c r="F11" s="144"/>
      <c r="G11" t="s">
        <v>64</v>
      </c>
      <c r="H11" s="50">
        <v>3.9221418494177445</v>
      </c>
      <c r="I11" t="s">
        <v>65</v>
      </c>
      <c r="J11" s="50">
        <v>0.71457359730175374</v>
      </c>
      <c r="K11" t="s">
        <v>66</v>
      </c>
      <c r="L11" s="50">
        <v>0.65146579804560301</v>
      </c>
      <c r="N11">
        <f t="shared" si="0"/>
        <v>0.11899385964959998</v>
      </c>
      <c r="P11">
        <f t="shared" si="0"/>
        <v>0.12847241911763999</v>
      </c>
      <c r="R11">
        <f t="shared" si="0"/>
        <v>0.14063677116684001</v>
      </c>
      <c r="T11">
        <f t="shared" si="1"/>
        <v>100.11899385964961</v>
      </c>
      <c r="V11">
        <f t="shared" si="1"/>
        <v>100.12847241911764</v>
      </c>
      <c r="X11">
        <f t="shared" si="1"/>
        <v>100.14063677116684</v>
      </c>
    </row>
    <row r="12" spans="4:24">
      <c r="D12" s="140"/>
      <c r="E12" s="11">
        <v>120</v>
      </c>
      <c r="F12" s="144"/>
      <c r="G12" t="s">
        <v>67</v>
      </c>
      <c r="H12" s="50">
        <v>2.8286859978935017</v>
      </c>
      <c r="I12" t="s">
        <v>68</v>
      </c>
      <c r="J12" s="50">
        <v>1.5487522566981993</v>
      </c>
      <c r="K12" t="s">
        <v>69</v>
      </c>
      <c r="L12" s="50">
        <v>0.54495912806539548</v>
      </c>
      <c r="N12">
        <f t="shared" si="0"/>
        <v>0.11249014667280001</v>
      </c>
      <c r="P12">
        <f t="shared" si="0"/>
        <v>0.12408843481475998</v>
      </c>
      <c r="R12">
        <f t="shared" si="0"/>
        <v>0.13822798858283997</v>
      </c>
      <c r="T12">
        <f t="shared" si="1"/>
        <v>120.1124901466728</v>
      </c>
      <c r="V12">
        <f t="shared" si="1"/>
        <v>120.12408843481477</v>
      </c>
      <c r="X12">
        <f t="shared" si="1"/>
        <v>120.13822798858284</v>
      </c>
    </row>
    <row r="13" spans="4:24">
      <c r="D13" s="139" t="s">
        <v>7</v>
      </c>
      <c r="E13" s="10">
        <v>20</v>
      </c>
      <c r="F13" s="144"/>
      <c r="G13" t="s">
        <v>70</v>
      </c>
      <c r="H13" s="50">
        <v>7.4341263411628731</v>
      </c>
      <c r="I13" t="s">
        <v>71</v>
      </c>
      <c r="J13" s="50">
        <v>6.6414140506606376</v>
      </c>
      <c r="K13" t="s">
        <v>72</v>
      </c>
      <c r="L13" s="50">
        <v>2.5000000000000022</v>
      </c>
      <c r="N13">
        <f t="shared" si="0"/>
        <v>0.14906751021083997</v>
      </c>
      <c r="P13">
        <f t="shared" si="0"/>
        <v>0.15018759411239999</v>
      </c>
      <c r="R13">
        <f t="shared" si="0"/>
        <v>0.15135585366564</v>
      </c>
      <c r="T13">
        <f t="shared" si="1"/>
        <v>20.149067510210841</v>
      </c>
      <c r="V13">
        <f t="shared" si="1"/>
        <v>20.150187594112399</v>
      </c>
      <c r="X13">
        <f t="shared" si="1"/>
        <v>20.151355853665638</v>
      </c>
    </row>
    <row r="14" spans="4:24">
      <c r="D14" s="129"/>
      <c r="E14" s="10">
        <v>40</v>
      </c>
      <c r="F14" s="144"/>
      <c r="G14" t="s">
        <v>73</v>
      </c>
      <c r="H14" s="50">
        <v>5.5602740848165189</v>
      </c>
      <c r="I14" t="s">
        <v>74</v>
      </c>
      <c r="J14" s="50">
        <v>6.282355695086423</v>
      </c>
      <c r="K14" t="s">
        <v>75</v>
      </c>
      <c r="L14" s="50">
        <v>1.2658227848101273</v>
      </c>
      <c r="N14">
        <f t="shared" si="0"/>
        <v>0.14408133026196002</v>
      </c>
      <c r="P14">
        <f t="shared" si="0"/>
        <v>0.14750180153123998</v>
      </c>
      <c r="R14">
        <f t="shared" si="0"/>
        <v>0.14979014498603999</v>
      </c>
      <c r="T14">
        <f t="shared" si="1"/>
        <v>40.144081330261962</v>
      </c>
      <c r="V14">
        <f t="shared" si="1"/>
        <v>40.147501801531241</v>
      </c>
      <c r="X14">
        <f t="shared" si="1"/>
        <v>40.149790144986042</v>
      </c>
    </row>
    <row r="15" spans="4:24">
      <c r="D15" s="129"/>
      <c r="E15" s="10">
        <v>60</v>
      </c>
      <c r="F15" s="144"/>
      <c r="G15" t="s">
        <v>76</v>
      </c>
      <c r="H15" s="50">
        <v>1.4547859349066172</v>
      </c>
      <c r="I15" t="s">
        <v>77</v>
      </c>
      <c r="J15" s="50">
        <v>1.1864355654998178</v>
      </c>
      <c r="K15" t="s">
        <v>78</v>
      </c>
      <c r="L15" s="50">
        <v>1.6949152542372896</v>
      </c>
      <c r="N15">
        <f t="shared" si="0"/>
        <v>0.14031158551799999</v>
      </c>
      <c r="P15">
        <f t="shared" si="0"/>
        <v>0.14400906678443998</v>
      </c>
      <c r="R15">
        <f t="shared" si="0"/>
        <v>0.14822443630643997</v>
      </c>
      <c r="T15">
        <f t="shared" si="1"/>
        <v>60.140311585517999</v>
      </c>
      <c r="V15">
        <f t="shared" si="1"/>
        <v>60.144009066784442</v>
      </c>
      <c r="X15">
        <f t="shared" si="1"/>
        <v>60.148224436306442</v>
      </c>
    </row>
    <row r="16" spans="4:24">
      <c r="D16" s="129"/>
      <c r="E16" s="10">
        <v>80</v>
      </c>
      <c r="F16" s="144"/>
      <c r="G16" t="s">
        <v>79</v>
      </c>
      <c r="H16" s="50">
        <v>2.7631584927196129</v>
      </c>
      <c r="I16" t="s">
        <v>80</v>
      </c>
      <c r="J16" s="50">
        <v>4.7970742051307402</v>
      </c>
      <c r="K16" t="s">
        <v>81</v>
      </c>
      <c r="L16" s="50">
        <v>0.64516129032258107</v>
      </c>
      <c r="N16">
        <f t="shared" si="0"/>
        <v>0.13678271903243999</v>
      </c>
      <c r="P16">
        <f t="shared" si="0"/>
        <v>0.14163641593920001</v>
      </c>
      <c r="R16">
        <f t="shared" si="0"/>
        <v>0.14673099110435997</v>
      </c>
      <c r="T16">
        <f t="shared" si="1"/>
        <v>80.136782719032439</v>
      </c>
      <c r="V16">
        <f t="shared" si="1"/>
        <v>80.141636415939203</v>
      </c>
      <c r="X16">
        <f t="shared" si="1"/>
        <v>80.146730991104363</v>
      </c>
    </row>
    <row r="17" spans="4:27">
      <c r="D17" s="129"/>
      <c r="E17" s="10">
        <v>100</v>
      </c>
      <c r="F17" s="144"/>
      <c r="G17" t="s">
        <v>82</v>
      </c>
      <c r="H17" s="50">
        <v>1.0334966058846067</v>
      </c>
      <c r="I17" t="s">
        <v>83</v>
      </c>
      <c r="J17" s="50">
        <v>0.97976936833260675</v>
      </c>
      <c r="K17" t="s">
        <v>84</v>
      </c>
      <c r="L17" s="50">
        <v>0.5235602094240841</v>
      </c>
      <c r="N17">
        <f t="shared" si="0"/>
        <v>0.13239873472955999</v>
      </c>
      <c r="P17">
        <f t="shared" si="0"/>
        <v>0.13817981293116</v>
      </c>
      <c r="R17">
        <f t="shared" si="0"/>
        <v>0.14528572155396</v>
      </c>
      <c r="T17">
        <f t="shared" si="1"/>
        <v>100.13239873472956</v>
      </c>
      <c r="V17">
        <f t="shared" si="1"/>
        <v>100.13817981293116</v>
      </c>
      <c r="X17">
        <f t="shared" si="1"/>
        <v>100.14528572155396</v>
      </c>
    </row>
    <row r="18" spans="4:27">
      <c r="D18" s="140"/>
      <c r="E18" s="11">
        <v>120</v>
      </c>
      <c r="F18" s="144"/>
      <c r="G18" t="s">
        <v>85</v>
      </c>
      <c r="H18" s="50">
        <v>1.1706335309948028</v>
      </c>
      <c r="I18" t="s">
        <v>86</v>
      </c>
      <c r="J18" s="50">
        <v>0.23752969121140166</v>
      </c>
      <c r="K18" t="s">
        <v>87</v>
      </c>
      <c r="L18" s="50">
        <v>0.43478260869565261</v>
      </c>
      <c r="N18">
        <f t="shared" si="0"/>
        <v>0.12823154085923999</v>
      </c>
      <c r="P18">
        <f t="shared" si="0"/>
        <v>0.13606008425723998</v>
      </c>
      <c r="R18">
        <f t="shared" si="0"/>
        <v>0.14372001287435998</v>
      </c>
      <c r="T18">
        <f t="shared" si="1"/>
        <v>120.12823154085925</v>
      </c>
      <c r="V18">
        <f t="shared" si="1"/>
        <v>120.13606008425724</v>
      </c>
      <c r="X18">
        <f t="shared" si="1"/>
        <v>120.14372001287435</v>
      </c>
    </row>
    <row r="19" spans="4:27">
      <c r="D19" s="139" t="s">
        <v>8</v>
      </c>
      <c r="E19" s="10">
        <v>20</v>
      </c>
      <c r="F19" s="144"/>
      <c r="G19" t="s">
        <v>88</v>
      </c>
      <c r="H19" s="50">
        <v>12.891818319842905</v>
      </c>
      <c r="I19" t="s">
        <v>84</v>
      </c>
      <c r="J19" s="50">
        <v>13.762763799052275</v>
      </c>
      <c r="K19" t="s">
        <v>89</v>
      </c>
      <c r="L19" s="50">
        <v>6.022537158711109</v>
      </c>
      <c r="N19">
        <f t="shared" si="0"/>
        <v>0.14172072332963997</v>
      </c>
      <c r="P19">
        <f t="shared" si="0"/>
        <v>0.14528572155396</v>
      </c>
      <c r="R19">
        <f t="shared" si="0"/>
        <v>0.14889889542995999</v>
      </c>
      <c r="T19">
        <f t="shared" si="1"/>
        <v>20.141720723329641</v>
      </c>
      <c r="V19">
        <f t="shared" si="1"/>
        <v>20.145285721553961</v>
      </c>
      <c r="X19">
        <f t="shared" si="1"/>
        <v>20.148898895429959</v>
      </c>
    </row>
    <row r="20" spans="4:27">
      <c r="D20" s="129"/>
      <c r="E20" s="10">
        <v>40</v>
      </c>
      <c r="F20" s="144"/>
      <c r="G20" t="s">
        <v>90</v>
      </c>
      <c r="H20" s="50">
        <v>3.1596283388487016</v>
      </c>
      <c r="I20" t="s">
        <v>91</v>
      </c>
      <c r="J20" s="50">
        <v>4.8064582403602047</v>
      </c>
      <c r="K20" t="s">
        <v>92</v>
      </c>
      <c r="L20" s="50">
        <v>2.386758174456169</v>
      </c>
      <c r="N20">
        <f t="shared" si="0"/>
        <v>0.1287494291148</v>
      </c>
      <c r="P20">
        <f t="shared" si="0"/>
        <v>0.13890244770635998</v>
      </c>
      <c r="R20">
        <f t="shared" si="0"/>
        <v>0.14524958981519998</v>
      </c>
      <c r="T20">
        <f t="shared" si="1"/>
        <v>40.128749429114798</v>
      </c>
      <c r="V20">
        <f t="shared" si="1"/>
        <v>40.138902447706357</v>
      </c>
      <c r="X20">
        <f t="shared" si="1"/>
        <v>40.145249589815201</v>
      </c>
    </row>
    <row r="21" spans="4:27">
      <c r="D21" s="129"/>
      <c r="E21" s="10">
        <v>60</v>
      </c>
      <c r="F21" s="144"/>
      <c r="G21" t="s">
        <v>93</v>
      </c>
      <c r="H21" s="50">
        <v>2.03231385508712</v>
      </c>
      <c r="I21" t="s">
        <v>94</v>
      </c>
      <c r="J21" s="50">
        <v>1.4695426879483728</v>
      </c>
      <c r="K21" t="s">
        <v>95</v>
      </c>
      <c r="L21" s="50">
        <v>1.76739878323355</v>
      </c>
      <c r="N21">
        <f t="shared" si="0"/>
        <v>0.12031869007079998</v>
      </c>
      <c r="P21">
        <f t="shared" si="0"/>
        <v>0.13059214779155998</v>
      </c>
      <c r="R21">
        <f t="shared" si="0"/>
        <v>0.14115465942239996</v>
      </c>
      <c r="T21">
        <f t="shared" si="1"/>
        <v>60.120318690070803</v>
      </c>
      <c r="V21">
        <f t="shared" si="1"/>
        <v>60.13059214779156</v>
      </c>
      <c r="X21">
        <f t="shared" si="1"/>
        <v>60.141154659422398</v>
      </c>
    </row>
    <row r="22" spans="4:27">
      <c r="D22" s="129"/>
      <c r="E22" s="10">
        <v>80</v>
      </c>
      <c r="F22" s="144"/>
      <c r="G22" t="s">
        <v>96</v>
      </c>
      <c r="H22" s="50">
        <v>2.1435989952919718</v>
      </c>
      <c r="I22" t="s">
        <v>97</v>
      </c>
      <c r="J22" s="50">
        <v>1.0313981468949109</v>
      </c>
      <c r="K22" t="s">
        <v>98</v>
      </c>
      <c r="L22" s="50">
        <v>0.88823118336865581</v>
      </c>
      <c r="N22">
        <f t="shared" si="0"/>
        <v>0.10975617843995997</v>
      </c>
      <c r="P22">
        <f t="shared" si="0"/>
        <v>0.12357054655920001</v>
      </c>
      <c r="R22">
        <f t="shared" si="0"/>
        <v>0.13730060728799998</v>
      </c>
      <c r="T22">
        <f t="shared" si="1"/>
        <v>80.109756178439966</v>
      </c>
      <c r="V22">
        <f t="shared" si="1"/>
        <v>80.123570546559193</v>
      </c>
      <c r="X22">
        <f t="shared" si="1"/>
        <v>80.137300607287997</v>
      </c>
    </row>
    <row r="23" spans="4:27">
      <c r="D23" s="129"/>
      <c r="E23" s="10">
        <v>100</v>
      </c>
      <c r="F23" s="144"/>
      <c r="G23" t="s">
        <v>99</v>
      </c>
      <c r="H23" s="50">
        <v>3.3579919331299299</v>
      </c>
      <c r="I23" t="s">
        <v>100</v>
      </c>
      <c r="J23" s="50">
        <v>4.1097678018209098</v>
      </c>
      <c r="K23" t="s">
        <v>101</v>
      </c>
      <c r="L23" s="50">
        <v>0.8932169966271839</v>
      </c>
      <c r="N23">
        <f t="shared" si="0"/>
        <v>0.10204807417115999</v>
      </c>
      <c r="P23">
        <f t="shared" si="0"/>
        <v>0.11694639445319999</v>
      </c>
      <c r="R23">
        <f t="shared" si="0"/>
        <v>0.13336224776316</v>
      </c>
      <c r="T23">
        <f t="shared" si="1"/>
        <v>100.10204807417117</v>
      </c>
      <c r="V23">
        <f t="shared" si="1"/>
        <v>100.11694639445319</v>
      </c>
      <c r="X23">
        <f t="shared" si="1"/>
        <v>100.13336224776316</v>
      </c>
    </row>
    <row r="24" spans="4:27" ht="17.25" thickBot="1">
      <c r="D24" s="130"/>
      <c r="E24" s="22">
        <v>120</v>
      </c>
      <c r="F24" s="144"/>
      <c r="G24" t="s">
        <v>102</v>
      </c>
      <c r="H24" s="50">
        <v>2.5953277181492864</v>
      </c>
      <c r="I24" t="s">
        <v>103</v>
      </c>
      <c r="J24" s="50">
        <v>2.5131893049408265</v>
      </c>
      <c r="K24" t="s">
        <v>104</v>
      </c>
      <c r="L24" s="50">
        <v>0.45149339779259273</v>
      </c>
      <c r="N24">
        <f t="shared" si="0"/>
        <v>9.084723515555998E-2</v>
      </c>
      <c r="P24">
        <f t="shared" si="0"/>
        <v>0.11059925234435999</v>
      </c>
      <c r="R24">
        <f t="shared" si="0"/>
        <v>0.12943593215124</v>
      </c>
      <c r="T24">
        <f t="shared" si="1"/>
        <v>120.09084723515556</v>
      </c>
      <c r="V24">
        <f t="shared" si="1"/>
        <v>120.11059925234436</v>
      </c>
      <c r="X24">
        <f t="shared" si="1"/>
        <v>120.12943593215124</v>
      </c>
    </row>
    <row r="31" spans="4:27">
      <c r="T31">
        <f t="array" ref="T31:U35">LINEST(G7:G12+0,T7:T12+0,1,1)</f>
        <v>2.8518359800463536E-2</v>
      </c>
      <c r="U31">
        <v>-5.4979234297781288E-2</v>
      </c>
      <c r="W31">
        <f t="array" ref="W31:X35">LINEST(I7:I12+0,V7:V12+0,1,1)</f>
        <v>1.96189170768537E-2</v>
      </c>
      <c r="X31">
        <v>4.8011415168834448E-2</v>
      </c>
      <c r="Z31">
        <f t="array" ref="Z31:AA35">LINEST(K7:K12+0,X7:X12+0,1,1)</f>
        <v>1.0058361106044886E-2</v>
      </c>
      <c r="AA31">
        <v>1.6130309684056265E-2</v>
      </c>
    </row>
    <row r="32" spans="4:27">
      <c r="T32">
        <v>2.7126120328307957E-4</v>
      </c>
      <c r="U32">
        <v>2.1158403314793899E-2</v>
      </c>
      <c r="W32">
        <v>2.6051915938794752E-4</v>
      </c>
      <c r="X32">
        <v>2.0322409772955161E-2</v>
      </c>
      <c r="Z32">
        <v>4.4119396729472105E-5</v>
      </c>
      <c r="AA32">
        <v>3.4420487852540255E-3</v>
      </c>
    </row>
    <row r="33" spans="5:27">
      <c r="T33">
        <v>0.9996382328493586</v>
      </c>
      <c r="U33">
        <v>2.2687548001110752E-2</v>
      </c>
      <c r="W33">
        <v>0.99929517215375951</v>
      </c>
      <c r="X33">
        <v>2.1791447611088838E-2</v>
      </c>
      <c r="Z33">
        <v>0.99992304599028581</v>
      </c>
      <c r="AA33">
        <v>3.6908464472190593E-3</v>
      </c>
    </row>
    <row r="34" spans="5:27">
      <c r="T34">
        <v>11052.835848439063</v>
      </c>
      <c r="U34">
        <v>4</v>
      </c>
      <c r="W34">
        <v>5671.1446772936433</v>
      </c>
      <c r="X34">
        <v>4</v>
      </c>
      <c r="Z34">
        <v>51975.097838452071</v>
      </c>
      <c r="AA34">
        <v>4</v>
      </c>
    </row>
    <row r="35" spans="5:27">
      <c r="T35">
        <v>5.689169100662788</v>
      </c>
      <c r="U35">
        <v>2.0588993372108177E-3</v>
      </c>
      <c r="W35">
        <v>2.6930405312440522</v>
      </c>
      <c r="X35">
        <v>1.8994687559473176E-3</v>
      </c>
      <c r="Z35">
        <v>0.70802284394334569</v>
      </c>
      <c r="AA35">
        <v>5.4489389987798212E-5</v>
      </c>
    </row>
    <row r="37" spans="5:27" ht="17.25" thickBot="1">
      <c r="T37">
        <f t="array" ref="T37:U41">LINEST(G13:G18+0,T13:T18+0,1,1)</f>
        <v>1.6936304167882381E-2</v>
      </c>
      <c r="U37">
        <v>1.4280054085484162E-2</v>
      </c>
      <c r="W37">
        <f t="array" ref="W37:X41">LINEST(I13:I18+0,V13:V18+0,1,1)</f>
        <v>1.1978864753567017E-2</v>
      </c>
      <c r="X37">
        <v>-7.5659947917664505E-3</v>
      </c>
      <c r="Z37">
        <f t="array" ref="Z37:AA41">LINEST(K13:K18+0,X13:X18+0,1,1)</f>
        <v>6.3090507020673653E-3</v>
      </c>
      <c r="AA37">
        <v>9.1024198632345121E-3</v>
      </c>
    </row>
    <row r="38" spans="5:27" ht="17.25" thickBot="1">
      <c r="E38" s="33" t="s">
        <v>23</v>
      </c>
      <c r="F38" s="127" t="s">
        <v>20</v>
      </c>
      <c r="G38" s="135"/>
      <c r="H38" s="135"/>
      <c r="I38" s="128"/>
      <c r="J38" s="127" t="s">
        <v>21</v>
      </c>
      <c r="K38" s="135"/>
      <c r="L38" s="135"/>
      <c r="M38" s="128"/>
      <c r="N38" s="127" t="s">
        <v>22</v>
      </c>
      <c r="O38" s="135"/>
      <c r="P38" s="135"/>
      <c r="Q38" s="128"/>
      <c r="T38">
        <v>3.793114762973527E-4</v>
      </c>
      <c r="U38">
        <v>2.9590178178283345E-2</v>
      </c>
      <c r="W38">
        <v>3.5515155574384179E-4</v>
      </c>
      <c r="X38">
        <v>2.7707195022599936E-2</v>
      </c>
      <c r="Z38">
        <v>4.260889220351583E-5</v>
      </c>
      <c r="AA38">
        <v>3.3243575794206204E-3</v>
      </c>
    </row>
    <row r="39" spans="5:27">
      <c r="E39" s="129" t="s">
        <v>5</v>
      </c>
      <c r="F39" s="136" t="s">
        <v>17</v>
      </c>
      <c r="G39" s="137"/>
      <c r="H39" s="131" t="s">
        <v>19</v>
      </c>
      <c r="I39" s="132"/>
      <c r="J39" s="138" t="s">
        <v>17</v>
      </c>
      <c r="K39" s="137"/>
      <c r="L39" s="131" t="s">
        <v>19</v>
      </c>
      <c r="M39" s="132"/>
      <c r="N39" s="138" t="s">
        <v>17</v>
      </c>
      <c r="O39" s="137"/>
      <c r="P39" s="131" t="s">
        <v>19</v>
      </c>
      <c r="Q39" s="132"/>
      <c r="T39">
        <v>0.99799763070302816</v>
      </c>
      <c r="U39">
        <v>3.1729002918930001E-2</v>
      </c>
      <c r="W39">
        <v>0.99649626070040342</v>
      </c>
      <c r="X39">
        <v>2.9709824696308555E-2</v>
      </c>
      <c r="Z39">
        <v>0.9998175880800253</v>
      </c>
      <c r="AA39">
        <v>3.5646448262761986E-3</v>
      </c>
    </row>
    <row r="40" spans="5:27" ht="17.25" thickBot="1">
      <c r="E40" s="130"/>
      <c r="F40" s="2" t="s">
        <v>15</v>
      </c>
      <c r="G40" s="17" t="s">
        <v>18</v>
      </c>
      <c r="H40" s="133"/>
      <c r="I40" s="134"/>
      <c r="J40" s="16" t="s">
        <v>15</v>
      </c>
      <c r="K40" s="17" t="s">
        <v>18</v>
      </c>
      <c r="L40" s="133"/>
      <c r="M40" s="134"/>
      <c r="N40" s="16" t="s">
        <v>15</v>
      </c>
      <c r="O40" s="17" t="s">
        <v>18</v>
      </c>
      <c r="P40" s="133"/>
      <c r="Q40" s="134"/>
      <c r="T40">
        <v>1993.6335064911852</v>
      </c>
      <c r="U40">
        <v>4</v>
      </c>
      <c r="W40">
        <v>1137.6374501551772</v>
      </c>
      <c r="X40">
        <v>4</v>
      </c>
      <c r="Z40">
        <v>21924.391524811945</v>
      </c>
      <c r="AA40">
        <v>4</v>
      </c>
    </row>
    <row r="41" spans="5:27">
      <c r="E41" s="5">
        <v>400</v>
      </c>
      <c r="F41" s="40" t="str">
        <f>FIXED(T31,3-(1+INT(LOG10(ABS(T31)))))</f>
        <v>0.0285</v>
      </c>
      <c r="G41" s="41">
        <f>100*(L19/L18)</f>
        <v>1385.1835465035538</v>
      </c>
      <c r="H41" s="45" t="e">
        <f>(($E$41*0.1)^3)/(3*T31*100*데이터계산!B9*0.0001)</f>
        <v>#DIV/0!</v>
      </c>
      <c r="I41" s="42">
        <v>2.95</v>
      </c>
      <c r="J41" s="40" t="str">
        <f>FIXED(L24,3-(1+INT(LOG10(ABS(L24)))))</f>
        <v>0.451</v>
      </c>
      <c r="K41" s="41">
        <f>100*(L25/L24)</f>
        <v>0</v>
      </c>
      <c r="L41" s="45" t="e">
        <f>0.1*($N$29^3)/(3*J41*$B$9)</f>
        <v>#DIV/0!</v>
      </c>
      <c r="M41" s="42">
        <v>2.74</v>
      </c>
      <c r="N41" s="40" t="e">
        <f>FIXED(L30,3-(1+INT(LOG10(ABS(L30)))))</f>
        <v>#NUM!</v>
      </c>
      <c r="O41" s="41" t="e">
        <f>100*(L31/L30)</f>
        <v>#DIV/0!</v>
      </c>
      <c r="P41" s="45" t="e">
        <f>(($N$29*0.1)^3)/(3*N41*100*$B$9*0.0001)</f>
        <v>#NUM!</v>
      </c>
      <c r="Q41" s="42">
        <v>2.71</v>
      </c>
      <c r="T41">
        <v>2.0070499148284155</v>
      </c>
      <c r="U41">
        <v>4.026918504917874E-3</v>
      </c>
      <c r="W41">
        <v>1.004162638599392</v>
      </c>
      <c r="X41">
        <v>3.5306947339415425E-3</v>
      </c>
      <c r="Z41">
        <v>0.27858650656238337</v>
      </c>
      <c r="AA41">
        <v>5.0826770949990673E-5</v>
      </c>
    </row>
    <row r="42" spans="5:27">
      <c r="E42" s="19">
        <v>300</v>
      </c>
      <c r="F42" s="34" t="str">
        <f>FIXED(N18,3-(1+INT(LOG10(ABS(N18)))))</f>
        <v>0.128</v>
      </c>
      <c r="G42" s="35">
        <f>100*(N19/N18)</f>
        <v>110.51939513477973</v>
      </c>
      <c r="H42" s="46" t="e">
        <f>0.1*(3*$N$29-$N$30)*($N$30^2)/(6*F42*$B$9)</f>
        <v>#DIV/0!</v>
      </c>
      <c r="I42" s="29">
        <v>2.54</v>
      </c>
      <c r="J42" s="34" t="str">
        <f>FIXED(N24,3-(1+INT(LOG10(ABS(N24)))))</f>
        <v>0.0908</v>
      </c>
      <c r="K42" s="35">
        <f>100*(N25/N24)</f>
        <v>0</v>
      </c>
      <c r="L42" s="46" t="e">
        <f>0.1*(3*$N$29-$N$30)*($N$30^2)/(6*J42*$B$9)</f>
        <v>#DIV/0!</v>
      </c>
      <c r="M42" s="29">
        <f>2.98</f>
        <v>2.98</v>
      </c>
      <c r="N42" s="34" t="e">
        <f>FIXED(N30,3-(1+INT(LOG10(ABS(N30)))))</f>
        <v>#NUM!</v>
      </c>
      <c r="O42" s="35" t="e">
        <f>100*(N31/N30)</f>
        <v>#DIV/0!</v>
      </c>
      <c r="P42" s="46" t="e">
        <f>0.1*(3*$N$29-$N$30)*($N$30^2)/(6*N42*$B$9)</f>
        <v>#NUM!</v>
      </c>
      <c r="Q42" s="29">
        <v>2.65</v>
      </c>
    </row>
    <row r="43" spans="5:27" ht="17.25" thickBot="1">
      <c r="E43" s="20">
        <v>200</v>
      </c>
      <c r="F43" s="43" t="str">
        <f>FIXED(P18,3-(1+INT(LOG10(ABS(P18)))))</f>
        <v>0.136</v>
      </c>
      <c r="G43" s="44">
        <f>100*(P19/P18)</f>
        <v>106.78056121094097</v>
      </c>
      <c r="H43" s="47" t="e">
        <f>0.1*(3*$N$29-$N$31)*($N$31^2)/(6*F43*$B$9)</f>
        <v>#DIV/0!</v>
      </c>
      <c r="I43" s="32">
        <v>2.5499999999999998</v>
      </c>
      <c r="J43" s="43" t="str">
        <f>FIXED(P24,3-(1+INT(LOG10(ABS(P24)))))</f>
        <v>0.111</v>
      </c>
      <c r="K43" s="44">
        <f>100*(P25/P24)</f>
        <v>0</v>
      </c>
      <c r="L43" s="47" t="e">
        <f>0.1*(3*$N$29-$N$31)*($N$31^2)/(6*J43*$B$9)</f>
        <v>#DIV/0!</v>
      </c>
      <c r="M43" s="32">
        <f>2.56</f>
        <v>2.56</v>
      </c>
      <c r="N43" s="43" t="e">
        <f>FIXED(P30,3-(1+INT(LOG10(ABS(P30)))))</f>
        <v>#NUM!</v>
      </c>
      <c r="O43" s="44" t="e">
        <f>100*(P31/P30)</f>
        <v>#DIV/0!</v>
      </c>
      <c r="P43" s="47" t="e">
        <f>0.1*(3*$N$29-$N$31)*($N$31^2)/(6*N43*$B$9)</f>
        <v>#NUM!</v>
      </c>
      <c r="Q43" s="32">
        <v>2.69</v>
      </c>
      <c r="T43">
        <f t="array" ref="T43:U47">LINEST(G19:G24+0,T19:T24+0,1,1)</f>
        <v>4.0945810354330543E-2</v>
      </c>
      <c r="U43">
        <v>0.23306102915423432</v>
      </c>
      <c r="W43">
        <f t="array" ref="W43:X47">LINEST(I19:I24+0,V19:V24+0,1,1)</f>
        <v>2.9227410443747878E-2</v>
      </c>
      <c r="X43">
        <v>5.1683740326457617E-2</v>
      </c>
      <c r="Z43">
        <f t="array" ref="Z43:AA47">LINEST(K19:K24+0,X19:X24+0,1,1)</f>
        <v>1.6233172702948079E-2</v>
      </c>
      <c r="AA43">
        <v>9.1770682089786781E-4</v>
      </c>
    </row>
    <row r="44" spans="5:27" ht="17.25" thickBot="1">
      <c r="E44" s="19" t="s">
        <v>24</v>
      </c>
      <c r="F44" s="127" t="s">
        <v>25</v>
      </c>
      <c r="G44" s="128"/>
      <c r="H44" s="46" t="e">
        <f>AVERAGE(H41:H43)</f>
        <v>#DIV/0!</v>
      </c>
      <c r="I44" s="32" t="e">
        <f>100*(_xlfn.STDEV.S(H41:H43)/SQRT(3))/H44</f>
        <v>#DIV/0!</v>
      </c>
      <c r="J44" s="127" t="s">
        <v>25</v>
      </c>
      <c r="K44" s="128"/>
      <c r="L44" s="46" t="e">
        <f>AVERAGE(L41:L43)</f>
        <v>#DIV/0!</v>
      </c>
      <c r="M44" s="32" t="e">
        <f>100*(_xlfn.STDEV.S(L41:L43)/SQRT(3))/L44</f>
        <v>#DIV/0!</v>
      </c>
      <c r="N44" s="127" t="s">
        <v>25</v>
      </c>
      <c r="O44" s="128"/>
      <c r="P44" s="46" t="e">
        <f>AVERAGE(P41:P43)</f>
        <v>#NUM!</v>
      </c>
      <c r="Q44" s="32" t="e">
        <f>100*(_xlfn.STDEV.S(P41:P43)/SQRT(3))/P44</f>
        <v>#NUM!</v>
      </c>
      <c r="T44">
        <v>1.3395142129135672E-3</v>
      </c>
      <c r="U44">
        <v>0.10446244740721962</v>
      </c>
      <c r="W44">
        <v>5.9789384723476591E-4</v>
      </c>
      <c r="X44">
        <v>4.6634696565553038E-2</v>
      </c>
      <c r="Z44">
        <v>9.5506102289195455E-5</v>
      </c>
      <c r="AA44">
        <v>7.450530576586345E-3</v>
      </c>
    </row>
    <row r="45" spans="5:27" ht="17.25" thickBot="1">
      <c r="E45" s="33" t="s">
        <v>23</v>
      </c>
      <c r="F45" s="127">
        <f>재료의탄성계수!F14</f>
        <v>1.1263532801447971</v>
      </c>
      <c r="G45" s="135"/>
      <c r="H45" s="135"/>
      <c r="I45" s="128"/>
      <c r="J45" s="127">
        <f>재료의탄성계수!F15</f>
        <v>1.276353280144797</v>
      </c>
      <c r="K45" s="135"/>
      <c r="L45" s="135"/>
      <c r="M45" s="128"/>
      <c r="N45" s="127">
        <f>재료의탄성계수!F16</f>
        <v>1.6563532801447971</v>
      </c>
      <c r="O45" s="135"/>
      <c r="P45" s="135"/>
      <c r="Q45" s="128"/>
      <c r="T45">
        <v>0.99573734193553765</v>
      </c>
      <c r="U45">
        <v>0.11201655891690272</v>
      </c>
      <c r="W45">
        <v>0.9983289050434333</v>
      </c>
      <c r="X45">
        <v>5.0005785548118104E-2</v>
      </c>
      <c r="Z45">
        <v>0.99986156200878451</v>
      </c>
      <c r="AA45">
        <v>7.9890518606564841E-3</v>
      </c>
    </row>
    <row r="46" spans="5:27" ht="17.25" thickBot="1">
      <c r="E46" s="21" t="s">
        <v>45</v>
      </c>
      <c r="F46" s="124">
        <f>재료의탄성계수!G14</f>
        <v>3.765806926373616E-2</v>
      </c>
      <c r="G46" s="125"/>
      <c r="H46" s="125"/>
      <c r="I46" s="125"/>
      <c r="J46" s="124">
        <f>재료의탄성계수!G15</f>
        <v>0.18765806926373607</v>
      </c>
      <c r="K46" s="125"/>
      <c r="L46" s="125"/>
      <c r="M46" s="125"/>
      <c r="N46" s="124">
        <f>재료의탄성계수!G16</f>
        <v>0.56765806926373608</v>
      </c>
      <c r="O46" s="125"/>
      <c r="P46" s="125"/>
      <c r="Q46" s="126"/>
      <c r="T46">
        <v>934.38162468338237</v>
      </c>
      <c r="U46">
        <v>4</v>
      </c>
      <c r="W46">
        <v>2389.6401604717876</v>
      </c>
      <c r="X46">
        <v>4</v>
      </c>
      <c r="Z46">
        <v>28889.802668477474</v>
      </c>
      <c r="AA46">
        <v>4</v>
      </c>
    </row>
    <row r="47" spans="5:27" ht="17.25" thickBot="1">
      <c r="E47" s="21" t="s">
        <v>46</v>
      </c>
      <c r="F47" s="217" t="e">
        <f>ABS(F46-H44)/F46</f>
        <v>#DIV/0!</v>
      </c>
      <c r="G47" s="218"/>
      <c r="H47" s="218"/>
      <c r="I47" s="219"/>
      <c r="J47" s="217" t="e">
        <f>ABS(J46-L44)/J46</f>
        <v>#DIV/0!</v>
      </c>
      <c r="K47" s="218"/>
      <c r="L47" s="218"/>
      <c r="M47" s="219"/>
      <c r="N47" s="218" t="e">
        <f>ABS(N46-P44)/N46</f>
        <v>#NUM!</v>
      </c>
      <c r="O47" s="218"/>
      <c r="P47" s="218"/>
      <c r="Q47" s="219"/>
      <c r="T47">
        <v>11.724349162113667</v>
      </c>
      <c r="U47">
        <v>5.0190837886335757E-2</v>
      </c>
      <c r="W47">
        <v>5.9754830189801957</v>
      </c>
      <c r="X47">
        <v>1.0002314353137511E-2</v>
      </c>
      <c r="Z47">
        <v>1.8438902002014712</v>
      </c>
      <c r="AA47">
        <v>2.5529979852903528E-4</v>
      </c>
    </row>
  </sheetData>
  <mergeCells count="29">
    <mergeCell ref="F46:I46"/>
    <mergeCell ref="J46:M46"/>
    <mergeCell ref="N46:Q46"/>
    <mergeCell ref="F47:I47"/>
    <mergeCell ref="J47:M47"/>
    <mergeCell ref="N47:Q47"/>
    <mergeCell ref="F44:G44"/>
    <mergeCell ref="J44:K44"/>
    <mergeCell ref="N44:O44"/>
    <mergeCell ref="F45:I45"/>
    <mergeCell ref="J45:M45"/>
    <mergeCell ref="N45:Q45"/>
    <mergeCell ref="F38:I38"/>
    <mergeCell ref="J38:M38"/>
    <mergeCell ref="N38:Q38"/>
    <mergeCell ref="E39:E40"/>
    <mergeCell ref="F39:G39"/>
    <mergeCell ref="H39:I40"/>
    <mergeCell ref="J39:K39"/>
    <mergeCell ref="L39:M40"/>
    <mergeCell ref="N39:O39"/>
    <mergeCell ref="P39:Q40"/>
    <mergeCell ref="F5:F6"/>
    <mergeCell ref="F7:F24"/>
    <mergeCell ref="D4:D6"/>
    <mergeCell ref="E5:E6"/>
    <mergeCell ref="D7:D12"/>
    <mergeCell ref="D13:D18"/>
    <mergeCell ref="D19:D2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827A-6351-4F80-8FD3-8ADA10683167}">
  <dimension ref="A1"/>
  <sheetViews>
    <sheetView topLeftCell="A11" workbookViewId="0">
      <selection activeCell="Y20" sqref="Y2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9479-97A6-4192-AA3E-B297C21136E0}">
  <dimension ref="A1:P18"/>
  <sheetViews>
    <sheetView workbookViewId="0">
      <selection activeCell="H21" sqref="H21"/>
    </sheetView>
  </sheetViews>
  <sheetFormatPr defaultRowHeight="16.5"/>
  <cols>
    <col min="5" max="5" width="10" bestFit="1" customWidth="1"/>
    <col min="15" max="15" width="20.625" customWidth="1"/>
  </cols>
  <sheetData>
    <row r="1" spans="1:16">
      <c r="A1" s="38" t="s">
        <v>26</v>
      </c>
      <c r="B1" s="39">
        <v>2.15</v>
      </c>
      <c r="E1" cm="1">
        <f t="array" ref="E1:E18">ABS(데이터계산!$V$32/(1000000)-재료의탄성계수!$B$1:$B$18)</f>
        <v>1.034702953479858</v>
      </c>
      <c r="F1" cm="1">
        <f t="array" ref="F1:F18">ABS(데이터계산!$Z$32/(1000000)-재료의탄성계수!$B$1:$B$18)</f>
        <v>0.32364671985520288</v>
      </c>
      <c r="G1" cm="1">
        <f t="array" ref="G1:G18">ABS(데이터계산!$AD$32/(1000000)-재료의탄성계수!$B$1:$B$18)</f>
        <v>1.4123419307362637</v>
      </c>
    </row>
    <row r="2" spans="1:16" ht="36">
      <c r="A2" s="38" t="s">
        <v>27</v>
      </c>
      <c r="B2" s="39">
        <v>2.12</v>
      </c>
      <c r="E2">
        <v>1.0047029534798582</v>
      </c>
      <c r="F2">
        <v>0.29364671985520308</v>
      </c>
      <c r="G2">
        <v>1.3823419307362639</v>
      </c>
      <c r="M2" cm="1">
        <f t="array" ref="M2">SMALL(ABS(_xlfn.ANCHORARRAY(E1)), 1)</f>
        <v>0.13470295347985806</v>
      </c>
      <c r="N2">
        <f>MATCH($M$2, $E$1:$E$21, 0)</f>
        <v>9</v>
      </c>
      <c r="O2" t="str" cm="1">
        <f t="array" aca="1" ref="O2" ca="1">INDIRECT(ADDRESS($N$2,1))</f>
        <v>구 리</v>
      </c>
      <c r="P2" cm="1">
        <f t="array" aca="1" ref="P2" ca="1">INDIRECT(ADDRESS($N$2,2))*10^6</f>
        <v>1250000</v>
      </c>
    </row>
    <row r="3" spans="1:16" ht="24">
      <c r="A3" s="38" t="s">
        <v>28</v>
      </c>
      <c r="B3" s="39">
        <v>2.09</v>
      </c>
      <c r="E3">
        <v>0.97470295347985791</v>
      </c>
      <c r="F3">
        <v>0.26364671985520283</v>
      </c>
      <c r="G3">
        <v>1.3523419307362636</v>
      </c>
      <c r="M3" cm="1">
        <f t="array" ref="M3">SMALL(ABS(_xlfn.ANCHORARRAY(F1)), 1)</f>
        <v>0.26364671985520283</v>
      </c>
      <c r="N3">
        <f>MATCH($M$3,_xlfn.ANCHORARRAY( F1), 0)</f>
        <v>3</v>
      </c>
      <c r="O3" t="str" cm="1">
        <f t="array" aca="1" ref="O3" ca="1">INDIRECT(ADDRESS($N$3,1))</f>
        <v>경강(C 0.4~0.5%)</v>
      </c>
      <c r="P3" cm="1">
        <f t="array" aca="1" ref="P3" ca="1">INDIRECT(ADDRESS($N$3,2))*10^6</f>
        <v>2089999.9999999998</v>
      </c>
    </row>
    <row r="4" spans="1:16">
      <c r="A4" s="38" t="s">
        <v>29</v>
      </c>
      <c r="B4" s="39">
        <v>2.15</v>
      </c>
      <c r="E4">
        <v>1.034702953479858</v>
      </c>
      <c r="F4">
        <v>0.32364671985520288</v>
      </c>
      <c r="G4">
        <v>1.4123419307362637</v>
      </c>
      <c r="M4" cm="1">
        <f t="array" ref="M4">SMALL(ABS(_xlfn.ANCHORARRAY(G1)), 1)</f>
        <v>1.7658069263736142E-2</v>
      </c>
      <c r="N4">
        <f>MATCH($M$4,_xlfn.ANCHORARRAY( G1), 0)</f>
        <v>13</v>
      </c>
      <c r="O4" t="str" cm="1">
        <f t="array" aca="1" ref="O4" ca="1">INDIRECT(ADDRESS($N$4,1))</f>
        <v>알루미늄</v>
      </c>
      <c r="P4" cm="1">
        <f t="array" aca="1" ref="P4" ca="1">INDIRECT(ADDRESS($N$4,2))*10^6</f>
        <v>720000</v>
      </c>
    </row>
    <row r="5" spans="1:16">
      <c r="A5" s="38" t="s">
        <v>30</v>
      </c>
      <c r="B5" s="39">
        <v>1.3</v>
      </c>
      <c r="E5">
        <v>0.1847029534798581</v>
      </c>
      <c r="F5">
        <v>0.52635328014479699</v>
      </c>
      <c r="G5">
        <v>0.56234193073626393</v>
      </c>
    </row>
    <row r="6" spans="1:16" ht="24">
      <c r="A6" s="38" t="s">
        <v>31</v>
      </c>
      <c r="B6" s="39">
        <v>2.1</v>
      </c>
      <c r="E6">
        <v>0.98470295347985815</v>
      </c>
      <c r="F6">
        <v>0.27364671985520306</v>
      </c>
      <c r="G6">
        <v>1.3623419307362639</v>
      </c>
    </row>
    <row r="7" spans="1:16">
      <c r="A7" s="38" t="s">
        <v>32</v>
      </c>
      <c r="B7" s="39">
        <v>2.1</v>
      </c>
      <c r="E7">
        <v>0.98470295347985815</v>
      </c>
      <c r="F7">
        <v>0.27364671985520306</v>
      </c>
      <c r="G7">
        <v>1.3623419307362639</v>
      </c>
    </row>
    <row r="8" spans="1:16">
      <c r="A8" s="38" t="s">
        <v>33</v>
      </c>
      <c r="B8" s="39">
        <v>3.7</v>
      </c>
      <c r="E8">
        <v>2.5847029534798582</v>
      </c>
      <c r="F8">
        <v>1.8736467198552031</v>
      </c>
      <c r="G8">
        <v>2.962341930736264</v>
      </c>
    </row>
    <row r="9" spans="1:16">
      <c r="A9" s="38" t="s">
        <v>34</v>
      </c>
      <c r="B9" s="39">
        <v>1.25</v>
      </c>
      <c r="E9">
        <v>0.13470295347985806</v>
      </c>
      <c r="F9">
        <v>0.57635328014479703</v>
      </c>
      <c r="G9">
        <v>0.51234193073626388</v>
      </c>
    </row>
    <row r="10" spans="1:16">
      <c r="A10" s="38" t="s">
        <v>35</v>
      </c>
      <c r="B10" s="39">
        <v>1.34</v>
      </c>
      <c r="E10">
        <v>0.22470295347985814</v>
      </c>
      <c r="F10">
        <v>0.48635328014479695</v>
      </c>
      <c r="G10">
        <v>0.60234193073626396</v>
      </c>
    </row>
    <row r="11" spans="1:16">
      <c r="A11" s="38" t="s">
        <v>36</v>
      </c>
      <c r="B11" s="39">
        <v>0.95</v>
      </c>
      <c r="E11">
        <v>0.16529704652014199</v>
      </c>
      <c r="F11">
        <v>0.87635328014479708</v>
      </c>
      <c r="G11">
        <v>0.21234193073626384</v>
      </c>
    </row>
    <row r="12" spans="1:16">
      <c r="A12" s="38" t="s">
        <v>37</v>
      </c>
      <c r="B12" s="39">
        <v>0.98</v>
      </c>
      <c r="E12">
        <v>0.13529704652014196</v>
      </c>
      <c r="F12">
        <v>0.84635328014479705</v>
      </c>
      <c r="G12">
        <v>0.24234193073626387</v>
      </c>
    </row>
    <row r="13" spans="1:16">
      <c r="A13" s="38" t="s">
        <v>38</v>
      </c>
      <c r="B13" s="39">
        <v>0.72</v>
      </c>
      <c r="E13">
        <v>0.39529704652014197</v>
      </c>
      <c r="F13">
        <v>1.1063532801447971</v>
      </c>
      <c r="G13">
        <v>1.7658069263736142E-2</v>
      </c>
    </row>
    <row r="14" spans="1:16">
      <c r="A14" s="38" t="s">
        <v>39</v>
      </c>
      <c r="B14" s="39">
        <v>0.7</v>
      </c>
      <c r="E14">
        <v>0.41529704652014199</v>
      </c>
      <c r="F14">
        <v>1.1263532801447971</v>
      </c>
      <c r="G14">
        <v>3.765806926373616E-2</v>
      </c>
    </row>
    <row r="15" spans="1:16">
      <c r="A15" s="38" t="s">
        <v>40</v>
      </c>
      <c r="B15" s="39">
        <v>0.55000000000000004</v>
      </c>
      <c r="E15">
        <v>0.5652970465201419</v>
      </c>
      <c r="F15">
        <v>1.276353280144797</v>
      </c>
      <c r="G15">
        <v>0.18765806926373607</v>
      </c>
    </row>
    <row r="16" spans="1:16">
      <c r="A16" s="38" t="s">
        <v>41</v>
      </c>
      <c r="B16" s="39">
        <v>0.17</v>
      </c>
      <c r="E16">
        <v>0.9452970465201419</v>
      </c>
      <c r="F16">
        <v>1.6563532801447971</v>
      </c>
      <c r="G16">
        <v>0.56765806926373608</v>
      </c>
    </row>
    <row r="17" spans="1:7">
      <c r="A17" s="38" t="s">
        <v>42</v>
      </c>
      <c r="B17" s="39">
        <v>0.81</v>
      </c>
      <c r="E17">
        <v>0.30529704652014189</v>
      </c>
      <c r="F17">
        <v>1.016353280144797</v>
      </c>
      <c r="G17">
        <v>7.2341930736263937E-2</v>
      </c>
    </row>
    <row r="18" spans="1:7">
      <c r="A18" s="38" t="s">
        <v>43</v>
      </c>
      <c r="B18" s="39">
        <v>0.81</v>
      </c>
      <c r="E18">
        <v>0.30529704652014189</v>
      </c>
      <c r="F18">
        <v>1.016353280144797</v>
      </c>
      <c r="G18">
        <v>7.2341930736263937E-2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30C9C5E62EF144F9209F5F8EC72BC84" ma:contentTypeVersion="3" ma:contentTypeDescription="새 문서를 만듭니다." ma:contentTypeScope="" ma:versionID="24ffbb027042fd0c639d93d374ac80a2">
  <xsd:schema xmlns:xsd="http://www.w3.org/2001/XMLSchema" xmlns:xs="http://www.w3.org/2001/XMLSchema" xmlns:p="http://schemas.microsoft.com/office/2006/metadata/properties" xmlns:ns3="6b28e3d6-4e92-425e-afcd-ed371da3b97a" targetNamespace="http://schemas.microsoft.com/office/2006/metadata/properties" ma:root="true" ma:fieldsID="b87eb0c5e7dcd809a82a941e1fb36624" ns3:_="">
    <xsd:import namespace="6b28e3d6-4e92-425e-afcd-ed371da3b9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8e3d6-4e92-425e-afcd-ed371da3b9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A5BB1-A790-431B-9104-51B1A39E247F}">
  <ds:schemaRefs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6b28e3d6-4e92-425e-afcd-ed371da3b97a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756EAD-3F5A-4ACC-BEE6-E47906D30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8e3d6-4e92-425e-afcd-ed371da3b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B4FC38-193D-4A56-9108-80FA694A72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데이터계산</vt:lpstr>
      <vt:lpstr>삽입용데이터</vt:lpstr>
      <vt:lpstr>실험장치</vt:lpstr>
      <vt:lpstr>다이얼게이지스프링력이영향을줄까</vt:lpstr>
      <vt:lpstr>파악용그래프</vt:lpstr>
      <vt:lpstr>재료의탄성계수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찬우 김</dc:creator>
  <cp:lastModifiedBy>김찬우(학부생-기계시스템공학전공)</cp:lastModifiedBy>
  <dcterms:created xsi:type="dcterms:W3CDTF">2023-10-06T00:58:46Z</dcterms:created>
  <dcterms:modified xsi:type="dcterms:W3CDTF">2023-10-12T17:46:01Z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0x010100530C9C5E62EF144F9209F5F8EC72BC84</vt:lpwstr>
  </property>
</Properties>
</file>