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바탕화면\"/>
    </mc:Choice>
  </mc:AlternateContent>
  <xr:revisionPtr revIDLastSave="0" documentId="8_{C5D61689-A0EA-4906-BBD5-F3CA86F53638}" xr6:coauthVersionLast="47" xr6:coauthVersionMax="47" xr10:uidLastSave="{00000000-0000-0000-0000-000000000000}"/>
  <bookViews>
    <workbookView xWindow="-120" yWindow="-120" windowWidth="29040" windowHeight="15720" xr2:uid="{91E9456B-1F30-4D7E-94FF-ABC6F449FAD8}"/>
  </bookViews>
  <sheets>
    <sheet name="Result" sheetId="3" r:id="rId1"/>
    <sheet name="단위 환산 및 완전수 정의(수정금지)" sheetId="1" r:id="rId2"/>
    <sheet name="측정값 원본(수정금지)" sheetId="2" r:id="rId3"/>
    <sheet name="보고서 작성용" sheetId="5" r:id="rId4"/>
  </sheets>
  <definedNames>
    <definedName name="_xlnm._FilterDatabase" localSheetId="3" hidden="1">'보고서 작성용'!$AD$3:$AD$5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7" i="5" l="1"/>
  <c r="B23" i="3"/>
  <c r="B22" i="3"/>
  <c r="B21" i="3"/>
  <c r="AB19" i="5" l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20" i="1"/>
  <c r="H20" i="1"/>
  <c r="C2" i="1"/>
  <c r="C20" i="1" s="1"/>
  <c r="B3" i="3" s="1"/>
  <c r="C3" i="1"/>
  <c r="C4" i="1"/>
  <c r="C22" i="1" s="1"/>
  <c r="C5" i="1"/>
  <c r="C23" i="1" s="1"/>
  <c r="C6" i="1"/>
  <c r="C24" i="1" s="1"/>
  <c r="C7" i="1"/>
  <c r="C25" i="1" s="1"/>
  <c r="C8" i="1"/>
  <c r="C26" i="1" s="1"/>
  <c r="B9" i="3" s="1"/>
  <c r="C9" i="1"/>
  <c r="C27" i="1" s="1"/>
  <c r="C10" i="1"/>
  <c r="C28" i="1" s="1"/>
  <c r="C11" i="1"/>
  <c r="C29" i="1" s="1"/>
  <c r="B12" i="3" s="1"/>
  <c r="C12" i="1"/>
  <c r="C30" i="1" s="1"/>
  <c r="C13" i="1"/>
  <c r="C31" i="1" s="1"/>
  <c r="C14" i="1"/>
  <c r="C32" i="1" s="1"/>
  <c r="B15" i="3" s="1"/>
  <c r="C15" i="1"/>
  <c r="C16" i="1"/>
  <c r="C34" i="1" s="1"/>
  <c r="C21" i="1"/>
  <c r="C33" i="1"/>
  <c r="K29" i="2"/>
  <c r="J5" i="1"/>
  <c r="E5" i="3"/>
  <c r="E9" i="3"/>
  <c r="L6" i="1"/>
  <c r="M6" i="1" s="1"/>
  <c r="L5" i="1"/>
  <c r="M5" i="1" s="1"/>
  <c r="L4" i="1"/>
  <c r="M4" i="1" s="1"/>
  <c r="E7" i="3"/>
  <c r="A20" i="1"/>
  <c r="A30" i="1"/>
  <c r="F2" i="1"/>
  <c r="F20" i="1" s="1"/>
  <c r="E3" i="1"/>
  <c r="E21" i="1" s="1"/>
  <c r="F3" i="1"/>
  <c r="F21" i="1" s="1"/>
  <c r="G3" i="1"/>
  <c r="G21" i="1" s="1"/>
  <c r="F6" i="1"/>
  <c r="F24" i="1" s="1"/>
  <c r="G6" i="1"/>
  <c r="G24" i="1" s="1"/>
  <c r="G8" i="1"/>
  <c r="G26" i="1" s="1"/>
  <c r="H8" i="1"/>
  <c r="H26" i="1" s="1"/>
  <c r="E9" i="1"/>
  <c r="E27" i="1" s="1"/>
  <c r="H11" i="1"/>
  <c r="H29" i="1" s="1"/>
  <c r="E12" i="1"/>
  <c r="E30" i="1" s="1"/>
  <c r="H12" i="1"/>
  <c r="H30" i="1" s="1"/>
  <c r="F14" i="1"/>
  <c r="F32" i="1" s="1"/>
  <c r="G14" i="1"/>
  <c r="G32" i="1" s="1"/>
  <c r="D12" i="1"/>
  <c r="D30" i="1" s="1"/>
  <c r="D13" i="1"/>
  <c r="D31" i="1" s="1"/>
  <c r="B7" i="1"/>
  <c r="B25" i="1" s="1"/>
  <c r="J26" i="2"/>
  <c r="A7" i="1"/>
  <c r="A25" i="1" s="1"/>
  <c r="A12" i="1"/>
  <c r="A2" i="1"/>
  <c r="K26" i="2"/>
  <c r="J29" i="2"/>
  <c r="J3" i="1"/>
  <c r="E4" i="1" s="1"/>
  <c r="E22" i="1" s="1"/>
  <c r="D3" i="1"/>
  <c r="D21" i="1" s="1"/>
  <c r="H29" i="2"/>
  <c r="L23" i="2"/>
  <c r="K23" i="2"/>
  <c r="J23" i="2"/>
  <c r="E27" i="2"/>
  <c r="F27" i="2"/>
  <c r="G27" i="2"/>
  <c r="H27" i="2"/>
  <c r="E26" i="2"/>
  <c r="F26" i="2"/>
  <c r="G26" i="2"/>
  <c r="H26" i="2"/>
  <c r="D27" i="2"/>
  <c r="D26" i="2"/>
  <c r="D25" i="2"/>
  <c r="C37" i="2"/>
  <c r="C32" i="2"/>
  <c r="C27" i="2"/>
  <c r="B28" i="2"/>
  <c r="B33" i="2"/>
  <c r="B23" i="2"/>
  <c r="C24" i="2"/>
  <c r="C25" i="2"/>
  <c r="C26" i="2"/>
  <c r="C28" i="2"/>
  <c r="C29" i="2"/>
  <c r="C30" i="2"/>
  <c r="C31" i="2"/>
  <c r="C33" i="2"/>
  <c r="C34" i="2"/>
  <c r="C35" i="2"/>
  <c r="C36" i="2"/>
  <c r="C23" i="2"/>
  <c r="E23" i="2"/>
  <c r="F23" i="2"/>
  <c r="G23" i="2"/>
  <c r="H23" i="2"/>
  <c r="E24" i="2"/>
  <c r="F24" i="2"/>
  <c r="G24" i="2"/>
  <c r="H24" i="2"/>
  <c r="E25" i="2"/>
  <c r="F25" i="2"/>
  <c r="G25" i="2"/>
  <c r="H25" i="2"/>
  <c r="E28" i="2"/>
  <c r="F28" i="2"/>
  <c r="G28" i="2"/>
  <c r="H28" i="2"/>
  <c r="E29" i="2"/>
  <c r="F29" i="2"/>
  <c r="G29" i="2"/>
  <c r="E30" i="2"/>
  <c r="F30" i="2"/>
  <c r="G30" i="2"/>
  <c r="H30" i="2"/>
  <c r="E31" i="2"/>
  <c r="F31" i="2"/>
  <c r="G31" i="2"/>
  <c r="H31" i="2"/>
  <c r="E32" i="2"/>
  <c r="F32" i="2"/>
  <c r="G32" i="2"/>
  <c r="H32" i="2"/>
  <c r="E33" i="2"/>
  <c r="F33" i="2"/>
  <c r="G33" i="2"/>
  <c r="H33" i="2"/>
  <c r="E34" i="2"/>
  <c r="F34" i="2"/>
  <c r="G34" i="2"/>
  <c r="H34" i="2"/>
  <c r="E35" i="2"/>
  <c r="F35" i="2"/>
  <c r="G35" i="2"/>
  <c r="H35" i="2"/>
  <c r="E36" i="2"/>
  <c r="F36" i="2"/>
  <c r="G36" i="2"/>
  <c r="H36" i="2"/>
  <c r="E37" i="2"/>
  <c r="F37" i="2"/>
  <c r="G37" i="2"/>
  <c r="H37" i="2"/>
  <c r="D24" i="2"/>
  <c r="D28" i="2"/>
  <c r="D29" i="2"/>
  <c r="D30" i="2"/>
  <c r="D31" i="2"/>
  <c r="D32" i="2"/>
  <c r="D33" i="2"/>
  <c r="D34" i="2"/>
  <c r="D35" i="2"/>
  <c r="D36" i="2"/>
  <c r="D37" i="2"/>
  <c r="D23" i="2"/>
  <c r="D10" i="1"/>
  <c r="D28" i="1" s="1"/>
  <c r="D8" i="1"/>
  <c r="D26" i="1" s="1"/>
  <c r="D7" i="1"/>
  <c r="D25" i="1" s="1"/>
  <c r="D6" i="1"/>
  <c r="D24" i="1" s="1"/>
  <c r="D2" i="1"/>
  <c r="D20" i="1" s="1"/>
  <c r="B12" i="1" l="1"/>
  <c r="B30" i="1" s="1"/>
  <c r="G12" i="1"/>
  <c r="G30" i="1" s="1"/>
  <c r="F8" i="1"/>
  <c r="F26" i="1" s="1"/>
  <c r="H2" i="1"/>
  <c r="D9" i="1"/>
  <c r="D27" i="1" s="1"/>
  <c r="D14" i="1"/>
  <c r="D32" i="1" s="1"/>
  <c r="F12" i="1"/>
  <c r="F30" i="1" s="1"/>
  <c r="K50" i="1" s="1"/>
  <c r="L50" i="1" s="1"/>
  <c r="H6" i="1"/>
  <c r="H24" i="1" s="1"/>
  <c r="G2" i="1"/>
  <c r="G20" i="1" s="1"/>
  <c r="G15" i="1"/>
  <c r="G33" i="1" s="1"/>
  <c r="F11" i="1"/>
  <c r="F29" i="1" s="1"/>
  <c r="G5" i="1"/>
  <c r="G23" i="1" s="1"/>
  <c r="H15" i="1"/>
  <c r="H33" i="1" s="1"/>
  <c r="G11" i="1"/>
  <c r="G29" i="1" s="1"/>
  <c r="E6" i="1"/>
  <c r="E24" i="1" s="1"/>
  <c r="H5" i="1"/>
  <c r="H23" i="1" s="1"/>
  <c r="E3" i="3"/>
  <c r="H9" i="1"/>
  <c r="H27" i="1" s="1"/>
  <c r="F5" i="1"/>
  <c r="F23" i="1" s="1"/>
  <c r="F15" i="1"/>
  <c r="F33" i="1" s="1"/>
  <c r="E15" i="1"/>
  <c r="E33" i="1" s="1"/>
  <c r="G9" i="1"/>
  <c r="G27" i="1" s="1"/>
  <c r="H14" i="1"/>
  <c r="H32" i="1" s="1"/>
  <c r="F9" i="1"/>
  <c r="F27" i="1" s="1"/>
  <c r="H3" i="1"/>
  <c r="H21" i="1" s="1"/>
  <c r="C13" i="3"/>
  <c r="B28" i="3" s="1"/>
  <c r="A28" i="3" s="1"/>
  <c r="L24" i="1"/>
  <c r="M24" i="1" s="1"/>
  <c r="N24" i="1" s="1"/>
  <c r="O24" i="1" s="1"/>
  <c r="I6" i="1" s="1"/>
  <c r="A7" i="3" s="1"/>
  <c r="K44" i="1"/>
  <c r="L44" i="1" s="1"/>
  <c r="C8" i="3"/>
  <c r="B27" i="3" s="1"/>
  <c r="A27" i="3" s="1"/>
  <c r="K41" i="1"/>
  <c r="L41" i="1" s="1"/>
  <c r="L21" i="1"/>
  <c r="M21" i="1" s="1"/>
  <c r="N21" i="1" s="1"/>
  <c r="O21" i="1" s="1"/>
  <c r="I21" i="1" s="1"/>
  <c r="E14" i="1"/>
  <c r="E32" i="1" s="1"/>
  <c r="D11" i="1"/>
  <c r="D29" i="1" s="1"/>
  <c r="E8" i="1"/>
  <c r="E26" i="1" s="1"/>
  <c r="E5" i="1"/>
  <c r="E23" i="1" s="1"/>
  <c r="H13" i="1"/>
  <c r="H31" i="1" s="1"/>
  <c r="H4" i="1"/>
  <c r="H22" i="1" s="1"/>
  <c r="D16" i="1"/>
  <c r="D34" i="1" s="1"/>
  <c r="F16" i="1"/>
  <c r="F34" i="1" s="1"/>
  <c r="F13" i="1"/>
  <c r="F31" i="1" s="1"/>
  <c r="F10" i="1"/>
  <c r="F28" i="1" s="1"/>
  <c r="F7" i="1"/>
  <c r="F25" i="1" s="1"/>
  <c r="F4" i="1"/>
  <c r="F22" i="1" s="1"/>
  <c r="E11" i="1"/>
  <c r="E29" i="1" s="1"/>
  <c r="E2" i="1"/>
  <c r="E20" i="1" s="1"/>
  <c r="D15" i="1"/>
  <c r="D33" i="1" s="1"/>
  <c r="H16" i="1"/>
  <c r="H34" i="1" s="1"/>
  <c r="H10" i="1"/>
  <c r="H28" i="1" s="1"/>
  <c r="H7" i="1"/>
  <c r="H25" i="1" s="1"/>
  <c r="B2" i="1"/>
  <c r="B20" i="1" s="1"/>
  <c r="D4" i="1"/>
  <c r="D22" i="1" s="1"/>
  <c r="G16" i="1"/>
  <c r="G34" i="1" s="1"/>
  <c r="G13" i="1"/>
  <c r="G31" i="1" s="1"/>
  <c r="G10" i="1"/>
  <c r="G28" i="1" s="1"/>
  <c r="G7" i="1"/>
  <c r="G25" i="1" s="1"/>
  <c r="G4" i="1"/>
  <c r="G22" i="1" s="1"/>
  <c r="D5" i="1"/>
  <c r="D23" i="1" s="1"/>
  <c r="E16" i="1"/>
  <c r="E34" i="1" s="1"/>
  <c r="E13" i="1"/>
  <c r="E31" i="1" s="1"/>
  <c r="E10" i="1"/>
  <c r="E28" i="1" s="1"/>
  <c r="E7" i="1"/>
  <c r="E25" i="1" s="1"/>
  <c r="I3" i="1"/>
  <c r="A4" i="3" s="1"/>
  <c r="B14" i="3"/>
  <c r="B6" i="3"/>
  <c r="B11" i="3"/>
  <c r="B16" i="3"/>
  <c r="B7" i="3"/>
  <c r="B10" i="3"/>
  <c r="B17" i="3"/>
  <c r="B13" i="3"/>
  <c r="B5" i="3"/>
  <c r="B4" i="3"/>
  <c r="B8" i="3"/>
  <c r="I24" i="1" l="1"/>
  <c r="K47" i="1"/>
  <c r="L47" i="1" s="1"/>
  <c r="L28" i="1"/>
  <c r="M28" i="1" s="1"/>
  <c r="N28" i="1" s="1"/>
  <c r="O28" i="1" s="1"/>
  <c r="I28" i="1" s="1"/>
  <c r="L32" i="1"/>
  <c r="M32" i="1" s="1"/>
  <c r="N32" i="1" s="1"/>
  <c r="O32" i="1" s="1"/>
  <c r="I32" i="1" s="1"/>
  <c r="K48" i="1"/>
  <c r="L48" i="1" s="1"/>
  <c r="L30" i="1"/>
  <c r="M30" i="1" s="1"/>
  <c r="N30" i="1" s="1"/>
  <c r="O30" i="1" s="1"/>
  <c r="I30" i="1" s="1"/>
  <c r="L33" i="1"/>
  <c r="M33" i="1" s="1"/>
  <c r="N33" i="1" s="1"/>
  <c r="O33" i="1" s="1"/>
  <c r="I33" i="1" s="1"/>
  <c r="L27" i="1"/>
  <c r="M27" i="1" s="1"/>
  <c r="N27" i="1" s="1"/>
  <c r="O27" i="1" s="1"/>
  <c r="I9" i="1" s="1"/>
  <c r="A10" i="3" s="1"/>
  <c r="C3" i="3"/>
  <c r="B26" i="3" s="1"/>
  <c r="A26" i="3" s="1"/>
  <c r="L31" i="1"/>
  <c r="M31" i="1" s="1"/>
  <c r="N31" i="1" s="1"/>
  <c r="O31" i="1" s="1"/>
  <c r="K53" i="1"/>
  <c r="L53" i="1" s="1"/>
  <c r="K49" i="1"/>
  <c r="L49" i="1" s="1"/>
  <c r="L25" i="1"/>
  <c r="M25" i="1" s="1"/>
  <c r="N25" i="1" s="1"/>
  <c r="O25" i="1" s="1"/>
  <c r="L23" i="1"/>
  <c r="M23" i="1" s="1"/>
  <c r="N23" i="1" s="1"/>
  <c r="O23" i="1" s="1"/>
  <c r="K43" i="1"/>
  <c r="L43" i="1" s="1"/>
  <c r="K46" i="1"/>
  <c r="L46" i="1" s="1"/>
  <c r="K45" i="1"/>
  <c r="L45" i="1" s="1"/>
  <c r="L29" i="1"/>
  <c r="M29" i="1" s="1"/>
  <c r="N29" i="1" s="1"/>
  <c r="O29" i="1" s="1"/>
  <c r="K54" i="1"/>
  <c r="L54" i="1" s="1"/>
  <c r="I10" i="1"/>
  <c r="A11" i="3" s="1"/>
  <c r="L34" i="1"/>
  <c r="M34" i="1" s="1"/>
  <c r="N34" i="1" s="1"/>
  <c r="O34" i="1" s="1"/>
  <c r="K42" i="1"/>
  <c r="L42" i="1" s="1"/>
  <c r="L22" i="1"/>
  <c r="M22" i="1" s="1"/>
  <c r="N22" i="1" s="1"/>
  <c r="O22" i="1" s="1"/>
  <c r="K52" i="1"/>
  <c r="L52" i="1" s="1"/>
  <c r="K51" i="1"/>
  <c r="L51" i="1" s="1"/>
  <c r="L26" i="1"/>
  <c r="M26" i="1" s="1"/>
  <c r="N26" i="1" s="1"/>
  <c r="O26" i="1" s="1"/>
  <c r="I14" i="1" l="1"/>
  <c r="A15" i="3" s="1"/>
  <c r="I15" i="1"/>
  <c r="A16" i="3" s="1"/>
  <c r="I27" i="1"/>
  <c r="I12" i="1"/>
  <c r="A13" i="3" s="1"/>
  <c r="I23" i="1"/>
  <c r="I5" i="1"/>
  <c r="A6" i="3" s="1"/>
  <c r="I25" i="1"/>
  <c r="I7" i="1"/>
  <c r="A8" i="3" s="1"/>
  <c r="I34" i="1"/>
  <c r="I16" i="1"/>
  <c r="A17" i="3" s="1"/>
  <c r="I4" i="1"/>
  <c r="A5" i="3" s="1"/>
  <c r="I22" i="1"/>
  <c r="I29" i="1"/>
  <c r="I11" i="1"/>
  <c r="A12" i="3" s="1"/>
  <c r="I13" i="1"/>
  <c r="A14" i="3" s="1"/>
  <c r="I31" i="1"/>
  <c r="I8" i="1"/>
  <c r="A9" i="3" s="1"/>
  <c r="I26" i="1"/>
  <c r="L20" i="1"/>
  <c r="M20" i="1" s="1"/>
  <c r="N20" i="1" s="1"/>
  <c r="O20" i="1" s="1"/>
  <c r="K40" i="1"/>
  <c r="L40" i="1" s="1"/>
  <c r="I2" i="1" l="1"/>
  <c r="A3" i="3" s="1"/>
  <c r="I20" i="1"/>
</calcChain>
</file>

<file path=xl/sharedStrings.xml><?xml version="1.0" encoding="utf-8"?>
<sst xmlns="http://schemas.openxmlformats.org/spreadsheetml/2006/main" count="324" uniqueCount="148">
  <si>
    <t>density (g/ml)</t>
    <phoneticPr fontId="2" type="noConversion"/>
  </si>
  <si>
    <t>Temp. (K)</t>
    <phoneticPr fontId="2" type="noConversion"/>
  </si>
  <si>
    <t>deadvolume (ml)</t>
    <phoneticPr fontId="2" type="noConversion"/>
  </si>
  <si>
    <t>Absolute Pressure (kpa)</t>
    <phoneticPr fontId="2" type="noConversion"/>
  </si>
  <si>
    <t>Last Volume (ml) - 1</t>
    <phoneticPr fontId="2" type="noConversion"/>
  </si>
  <si>
    <t>Air Mass (g)</t>
    <phoneticPr fontId="2" type="noConversion"/>
  </si>
  <si>
    <t>air pressure (kPa)</t>
    <phoneticPr fontId="2" type="noConversion"/>
  </si>
  <si>
    <t>* 실험 측정값 작성본 원본 *
수정금지</t>
    <phoneticPr fontId="2" type="noConversion"/>
  </si>
  <si>
    <t>deadvolume (ml)</t>
  </si>
  <si>
    <t>Temp. (K)</t>
  </si>
  <si>
    <t>density (g/ml)</t>
  </si>
  <si>
    <t>air pressure (kPa)</t>
  </si>
  <si>
    <t>Volume Avg ^-1 (ml^-1)</t>
    <phoneticPr fontId="2" type="noConversion"/>
  </si>
  <si>
    <t>R (J/kg-K)</t>
    <phoneticPr fontId="2" type="noConversion"/>
  </si>
  <si>
    <t>Fitting Line Slope (mN-m)</t>
    <phoneticPr fontId="2" type="noConversion"/>
  </si>
  <si>
    <t>P (MPa)</t>
    <phoneticPr fontId="2" type="noConversion"/>
  </si>
  <si>
    <t>V1 (ml)</t>
    <phoneticPr fontId="2" type="noConversion"/>
  </si>
  <si>
    <t>V2 (ml)</t>
    <phoneticPr fontId="2" type="noConversion"/>
  </si>
  <si>
    <t>V3 (ml)</t>
    <phoneticPr fontId="2" type="noConversion"/>
  </si>
  <si>
    <t>V4 (ml)</t>
    <phoneticPr fontId="2" type="noConversion"/>
  </si>
  <si>
    <t>V5 (ml)</t>
    <phoneticPr fontId="2" type="noConversion"/>
  </si>
  <si>
    <t>기계공학부
기계시스템공학전공
20191089
김 찬 우</t>
    <phoneticPr fontId="2" type="noConversion"/>
  </si>
  <si>
    <t>Real R (J/kg-K)</t>
    <phoneticPr fontId="2" type="noConversion"/>
  </si>
  <si>
    <t>error (%)</t>
    <phoneticPr fontId="2" type="noConversion"/>
  </si>
  <si>
    <t>기체상수를 구하기 위해 정리한 값</t>
    <phoneticPr fontId="2" type="noConversion"/>
  </si>
  <si>
    <t>* 유효숫자 고려 *
수정금지</t>
    <phoneticPr fontId="2" type="noConversion"/>
  </si>
  <si>
    <t>Tube Diameter (mm)</t>
    <phoneticPr fontId="2" type="noConversion"/>
  </si>
  <si>
    <t>Tube Length (mm)</t>
    <phoneticPr fontId="2" type="noConversion"/>
  </si>
  <si>
    <r>
      <t>Env Temp. (</t>
    </r>
    <r>
      <rPr>
        <b/>
        <sz val="11"/>
        <color theme="1"/>
        <rFont val="맑은 고딕"/>
        <family val="3"/>
        <charset val="129"/>
      </rPr>
      <t>°C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</si>
  <si>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t>Env Temp. (K)</t>
    <phoneticPr fontId="2" type="noConversion"/>
  </si>
  <si>
    <t>Syringe</t>
  </si>
  <si>
    <t>Syringe</t>
    <phoneticPr fontId="2" type="noConversion"/>
  </si>
  <si>
    <t>20 mL Syringe</t>
  </si>
  <si>
    <t>20 mL Syringe</t>
    <phoneticPr fontId="2" type="noConversion"/>
  </si>
  <si>
    <t>50 mL Syringe</t>
  </si>
  <si>
    <t>50 mL Syringe</t>
    <phoneticPr fontId="2" type="noConversion"/>
  </si>
  <si>
    <t>100 mL Syringe</t>
  </si>
  <si>
    <t>100 mL Syringe</t>
    <phoneticPr fontId="2" type="noConversion"/>
  </si>
  <si>
    <t>유효숫자</t>
    <phoneticPr fontId="2" type="noConversion"/>
  </si>
  <si>
    <t>Volume (ml) - 1</t>
    <phoneticPr fontId="2" type="noConversion"/>
  </si>
  <si>
    <t xml:space="preserve">Volume Avg ^-1 (1/ml) </t>
    <phoneticPr fontId="2" type="noConversion"/>
  </si>
  <si>
    <t>0.030</t>
  </si>
  <si>
    <t>14.3</t>
  </si>
  <si>
    <t>0.050</t>
  </si>
  <si>
    <t>12.0</t>
  </si>
  <si>
    <t>0.070</t>
  </si>
  <si>
    <t>9.9</t>
  </si>
  <si>
    <t>10.0</t>
  </si>
  <si>
    <t>0.090</t>
  </si>
  <si>
    <t>8.2</t>
  </si>
  <si>
    <t>0.120</t>
  </si>
  <si>
    <t>6.5</t>
  </si>
  <si>
    <t>38.8</t>
  </si>
  <si>
    <t>38.0</t>
  </si>
  <si>
    <t>38.5</t>
  </si>
  <si>
    <t>38.3</t>
  </si>
  <si>
    <t>32.5</t>
  </si>
  <si>
    <t>28.0</t>
  </si>
  <si>
    <t>24.5</t>
  </si>
  <si>
    <t>24.0</t>
  </si>
  <si>
    <t>20.0</t>
  </si>
  <si>
    <t>20.5</t>
  </si>
  <si>
    <t>20.1</t>
  </si>
  <si>
    <t>78.0</t>
  </si>
  <si>
    <t>66.0</t>
  </si>
  <si>
    <t>67.0</t>
  </si>
  <si>
    <t>58.0</t>
  </si>
  <si>
    <t>51.0</t>
  </si>
  <si>
    <t>42.0</t>
  </si>
  <si>
    <t>43.0</t>
  </si>
  <si>
    <t>44.0</t>
  </si>
  <si>
    <t>15.4</t>
  </si>
  <si>
    <t>13.1</t>
  </si>
  <si>
    <t>11.1</t>
  </si>
  <si>
    <t>9.3</t>
  </si>
  <si>
    <t>221</t>
  </si>
  <si>
    <t>7.6</t>
  </si>
  <si>
    <t>39.9</t>
  </si>
  <si>
    <t>39.1</t>
  </si>
  <si>
    <t>39.6</t>
  </si>
  <si>
    <t>39.4</t>
  </si>
  <si>
    <t>33.6</t>
  </si>
  <si>
    <t>29.1</t>
  </si>
  <si>
    <t>25.6</t>
  </si>
  <si>
    <t>25.1</t>
  </si>
  <si>
    <t>21.1</t>
  </si>
  <si>
    <t>21.6</t>
  </si>
  <si>
    <t>21.2</t>
  </si>
  <si>
    <t>79.1</t>
  </si>
  <si>
    <t>67.1</t>
  </si>
  <si>
    <t>68.1</t>
  </si>
  <si>
    <t>59.1</t>
  </si>
  <si>
    <t>52.1</t>
  </si>
  <si>
    <t>43.1</t>
  </si>
  <si>
    <t>44.1</t>
  </si>
  <si>
    <t>45.1</t>
  </si>
  <si>
    <t>try 1</t>
    <phoneticPr fontId="2" type="noConversion"/>
  </si>
  <si>
    <t>try 2</t>
  </si>
  <si>
    <t>try 3</t>
  </si>
  <si>
    <t>try 4</t>
  </si>
  <si>
    <t>try 5</t>
  </si>
  <si>
    <t xml:space="preserve">Volume Avg (ml) </t>
    <phoneticPr fontId="2" type="noConversion"/>
  </si>
  <si>
    <t>try 1</t>
  </si>
  <si>
    <t>Gauge
Pressure (MPa)</t>
    <phoneticPr fontId="2" type="noConversion"/>
  </si>
  <si>
    <t>39.5</t>
  </si>
  <si>
    <t>25.5</t>
  </si>
  <si>
    <t>21.4</t>
  </si>
  <si>
    <t>67.9</t>
  </si>
  <si>
    <t>131</t>
  </si>
  <si>
    <t>151</t>
  </si>
  <si>
    <t>171</t>
  </si>
  <si>
    <t>11.0</t>
  </si>
  <si>
    <t>191</t>
  </si>
  <si>
    <t>0.02537</t>
  </si>
  <si>
    <t>0.06137</t>
  </si>
  <si>
    <t>0.12137</t>
  </si>
  <si>
    <t>Tube Length (mm)</t>
  </si>
  <si>
    <t>21.35</t>
  </si>
  <si>
    <t>3.90</t>
  </si>
  <si>
    <t>95.50</t>
  </si>
  <si>
    <t>1.14</t>
  </si>
  <si>
    <t>294.5</t>
  </si>
  <si>
    <t>K (mN-m)</t>
    <phoneticPr fontId="2" type="noConversion"/>
  </si>
  <si>
    <t>error (%)</t>
  </si>
  <si>
    <t>Uncertainty</t>
    <phoneticPr fontId="2" type="noConversion"/>
  </si>
  <si>
    <t>Env Temp. (°C)</t>
    <phoneticPr fontId="2" type="noConversion"/>
  </si>
  <si>
    <t>±0.05 °C</t>
    <phoneticPr fontId="2" type="noConversion"/>
  </si>
  <si>
    <t xml:space="preserve">±2.3E-3 mL </t>
    <phoneticPr fontId="2" type="noConversion"/>
  </si>
  <si>
    <t>Dead Space (mL)</t>
    <phoneticPr fontId="2" type="noConversion"/>
  </si>
  <si>
    <t xml:space="preserve">V Uncertainty (ml) </t>
    <phoneticPr fontId="2" type="noConversion"/>
  </si>
  <si>
    <t xml:space="preserve">Volume
Uncertainty </t>
    <phoneticPr fontId="2" type="noConversion"/>
  </si>
  <si>
    <t>-</t>
    <phoneticPr fontId="2" type="noConversion"/>
  </si>
  <si>
    <t xml:space="preserve">  </t>
    <phoneticPr fontId="2" type="noConversion"/>
  </si>
  <si>
    <t xml:space="preserve">Syringe Volume (mL) </t>
    <phoneticPr fontId="2" type="noConversion"/>
  </si>
  <si>
    <t xml:space="preserve">Air volume (ml) </t>
    <phoneticPr fontId="2" type="noConversion"/>
  </si>
  <si>
    <t>Absolute
pressure (kpa)</t>
    <phoneticPr fontId="2" type="noConversion"/>
  </si>
  <si>
    <t>Air mass (g)</t>
    <phoneticPr fontId="2" type="noConversion"/>
  </si>
  <si>
    <t xml:space="preserve">Volume 
average (mL) </t>
    <phoneticPr fontId="2" type="noConversion"/>
  </si>
  <si>
    <t>±0.05</t>
    <phoneticPr fontId="2" type="noConversion"/>
  </si>
  <si>
    <t>±0.005</t>
    <phoneticPr fontId="2" type="noConversion"/>
  </si>
  <si>
    <t>±5</t>
    <phoneticPr fontId="2" type="noConversion"/>
  </si>
  <si>
    <r>
      <t xml:space="preserve">• table 1.2 - </t>
    </r>
    <r>
      <rPr>
        <sz val="11"/>
        <color theme="1"/>
        <rFont val="Arial Unicode MS"/>
        <family val="1"/>
        <charset val="129"/>
      </rPr>
      <t>측정값</t>
    </r>
    <phoneticPr fontId="2" type="noConversion"/>
  </si>
  <si>
    <r>
      <t>• table 2 - Deadspace</t>
    </r>
    <r>
      <rPr>
        <sz val="11"/>
        <color theme="1"/>
        <rFont val="Arial Unicode MS"/>
        <family val="1"/>
        <charset val="129"/>
      </rPr>
      <t>와 환경온도(절대)</t>
    </r>
    <phoneticPr fontId="2" type="noConversion"/>
  </si>
  <si>
    <r>
      <t>• table 4 - fitting line</t>
    </r>
    <r>
      <rPr>
        <sz val="11"/>
        <color theme="1"/>
        <rFont val="Arial Unicode MS"/>
        <family val="1"/>
        <charset val="129"/>
      </rPr>
      <t>의 기울기(</t>
    </r>
    <r>
      <rPr>
        <sz val="11"/>
        <color theme="1"/>
        <rFont val="Cambria"/>
        <family val="1"/>
      </rPr>
      <t>K</t>
    </r>
    <r>
      <rPr>
        <sz val="11"/>
        <color theme="1"/>
        <rFont val="Arial Unicode MS"/>
        <family val="1"/>
        <charset val="129"/>
      </rPr>
      <t xml:space="preserve">)와 </t>
    </r>
    <r>
      <rPr>
        <sz val="11"/>
        <color theme="1"/>
        <rFont val="Cambria"/>
        <family val="1"/>
      </rPr>
      <t>R</t>
    </r>
    <r>
      <rPr>
        <sz val="11"/>
        <color theme="1"/>
        <rFont val="Arial Unicode MS"/>
        <family val="1"/>
        <charset val="129"/>
      </rPr>
      <t>값 계산</t>
    </r>
    <phoneticPr fontId="2" type="noConversion"/>
  </si>
  <si>
    <r>
      <t xml:space="preserve">• table 1.1 - </t>
    </r>
    <r>
      <rPr>
        <sz val="11"/>
        <color theme="1"/>
        <rFont val="바탕"/>
        <family val="1"/>
        <charset val="129"/>
      </rPr>
      <t>측정값</t>
    </r>
    <phoneticPr fontId="2" type="noConversion"/>
  </si>
  <si>
    <r>
      <t xml:space="preserve">• table 3 - </t>
    </r>
    <r>
      <rPr>
        <sz val="11"/>
        <color theme="1"/>
        <rFont val="바탕"/>
        <family val="1"/>
        <charset val="129"/>
      </rPr>
      <t>측정값 데이터 계산</t>
    </r>
    <phoneticPr fontId="2" type="noConversion"/>
  </si>
  <si>
    <t>s-error</t>
    <phoneticPr fontId="2" type="noConversion"/>
  </si>
  <si>
    <t>R (J/kg-K) 유효숫자 고려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</si>
</sst>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_);[Red]\(0.0\)"/>
    <numFmt numFmtId="181" formatCode="0.0E+00"/>
    <numFmt numFmtId="184" formatCode="&quot;±&quot;0.0E+00\ &quot;mL&quot;"/>
    <numFmt numFmtId="187" formatCode="&quot;±&quot;0.0&quot; mL&quot;"/>
    <numFmt numFmtId="188" formatCode="0.00_);[Red]\(0.00\)"/>
  </numFmts>
  <fonts count="1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바탕"/>
      <family val="1"/>
      <charset val="129"/>
    </font>
    <font>
      <sz val="11"/>
      <color theme="1"/>
      <name val="Arial Unicode MS"/>
      <family val="1"/>
      <charset val="129"/>
    </font>
    <font>
      <sz val="11"/>
      <color theme="1"/>
      <name val="맑은 고딕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ck">
        <color rgb="FF0070C0"/>
      </left>
      <right style="thick">
        <color rgb="FF0070C0"/>
      </right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medium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3F3F3F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 style="thin">
        <color rgb="FF3F3F3F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/>
      <bottom/>
      <diagonal style="medium">
        <color indexed="64"/>
      </diagonal>
    </border>
  </borders>
  <cellStyleXfs count="3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41" applyNumberFormat="0" applyAlignment="0" applyProtection="0">
      <alignment vertical="center"/>
    </xf>
  </cellStyleXfs>
  <cellXfs count="230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4" fillId="6" borderId="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0" borderId="12" xfId="1" applyNumberFormat="1" applyFont="1" applyBorder="1">
      <alignment vertical="center"/>
    </xf>
    <xf numFmtId="0" fontId="5" fillId="0" borderId="4" xfId="1" applyNumberFormat="1" applyFont="1" applyBorder="1">
      <alignment vertical="center"/>
    </xf>
    <xf numFmtId="0" fontId="5" fillId="0" borderId="15" xfId="1" applyNumberFormat="1" applyFont="1" applyBorder="1">
      <alignment vertical="center"/>
    </xf>
    <xf numFmtId="0" fontId="5" fillId="0" borderId="18" xfId="1" applyNumberFormat="1" applyFont="1" applyBorder="1">
      <alignment vertical="center"/>
    </xf>
    <xf numFmtId="0" fontId="5" fillId="0" borderId="5" xfId="1" applyNumberFormat="1" applyFont="1" applyBorder="1">
      <alignment vertical="center"/>
    </xf>
    <xf numFmtId="0" fontId="0" fillId="0" borderId="2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30" xfId="0" applyBorder="1">
      <alignment vertical="center"/>
    </xf>
    <xf numFmtId="0" fontId="0" fillId="0" borderId="1" xfId="0" applyBorder="1">
      <alignment vertical="center"/>
    </xf>
    <xf numFmtId="0" fontId="0" fillId="0" borderId="31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2" xfId="0" applyFont="1" applyBorder="1">
      <alignment vertical="center"/>
    </xf>
    <xf numFmtId="0" fontId="0" fillId="0" borderId="12" xfId="0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15" xfId="0" applyFont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5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5" fillId="0" borderId="5" xfId="0" applyFon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5" fillId="0" borderId="12" xfId="1" applyNumberFormat="1" applyFont="1" applyBorder="1" applyAlignment="1">
      <alignment horizontal="right" vertical="center"/>
    </xf>
    <xf numFmtId="0" fontId="5" fillId="0" borderId="4" xfId="1" applyNumberFormat="1" applyFont="1" applyBorder="1" applyAlignment="1">
      <alignment horizontal="right" vertical="center"/>
    </xf>
    <xf numFmtId="0" fontId="5" fillId="0" borderId="15" xfId="1" applyNumberFormat="1" applyFont="1" applyBorder="1" applyAlignment="1">
      <alignment horizontal="right" vertical="center"/>
    </xf>
    <xf numFmtId="0" fontId="5" fillId="0" borderId="18" xfId="1" applyNumberFormat="1" applyFont="1" applyBorder="1" applyAlignment="1">
      <alignment horizontal="right" vertical="center"/>
    </xf>
    <xf numFmtId="0" fontId="5" fillId="0" borderId="5" xfId="1" applyNumberFormat="1" applyFont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23" xfId="0" applyBorder="1">
      <alignment vertical="center"/>
    </xf>
    <xf numFmtId="0" fontId="5" fillId="0" borderId="2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3" xfId="0" applyBorder="1" applyAlignment="1">
      <alignment horizontal="right" vertical="center"/>
    </xf>
    <xf numFmtId="0" fontId="5" fillId="2" borderId="23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right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right" vertical="center"/>
    </xf>
    <xf numFmtId="0" fontId="0" fillId="2" borderId="24" xfId="0" applyFill="1" applyBorder="1" applyAlignment="1">
      <alignment horizontal="right" vertical="center"/>
    </xf>
    <xf numFmtId="0" fontId="0" fillId="2" borderId="25" xfId="0" applyFill="1" applyBorder="1" applyAlignment="1">
      <alignment horizontal="right" vertical="center"/>
    </xf>
    <xf numFmtId="0" fontId="0" fillId="2" borderId="30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31" xfId="0" applyFill="1" applyBorder="1" applyAlignment="1">
      <alignment horizontal="right" vertical="center"/>
    </xf>
    <xf numFmtId="0" fontId="0" fillId="2" borderId="27" xfId="0" applyFill="1" applyBorder="1" applyAlignment="1">
      <alignment horizontal="right" vertical="center"/>
    </xf>
    <xf numFmtId="0" fontId="0" fillId="2" borderId="28" xfId="0" applyFill="1" applyBorder="1" applyAlignment="1">
      <alignment horizontal="right" vertical="center"/>
    </xf>
    <xf numFmtId="176" fontId="5" fillId="6" borderId="12" xfId="1" applyNumberFormat="1" applyFont="1" applyFill="1" applyBorder="1" applyAlignment="1">
      <alignment horizontal="right" vertical="center"/>
    </xf>
    <xf numFmtId="176" fontId="5" fillId="6" borderId="4" xfId="1" applyNumberFormat="1" applyFont="1" applyFill="1" applyBorder="1" applyAlignment="1">
      <alignment horizontal="right" vertical="center"/>
    </xf>
    <xf numFmtId="176" fontId="5" fillId="6" borderId="5" xfId="1" applyNumberFormat="1" applyFont="1" applyFill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0" fillId="10" borderId="0" xfId="0" applyFill="1">
      <alignment vertical="center"/>
    </xf>
    <xf numFmtId="0" fontId="11" fillId="10" borderId="57" xfId="0" applyFont="1" applyFill="1" applyBorder="1" applyAlignment="1">
      <alignment horizontal="center" vertical="center"/>
    </xf>
    <xf numFmtId="0" fontId="11" fillId="10" borderId="54" xfId="0" applyFont="1" applyFill="1" applyBorder="1" applyAlignment="1">
      <alignment horizontal="center" vertical="center"/>
    </xf>
    <xf numFmtId="0" fontId="11" fillId="10" borderId="47" xfId="2" applyFont="1" applyFill="1" applyBorder="1" applyAlignment="1">
      <alignment horizontal="center" vertical="center"/>
    </xf>
    <xf numFmtId="0" fontId="11" fillId="10" borderId="39" xfId="2" applyFont="1" applyFill="1" applyBorder="1" applyAlignment="1">
      <alignment horizontal="center" vertical="center"/>
    </xf>
    <xf numFmtId="0" fontId="12" fillId="10" borderId="52" xfId="0" applyFont="1" applyFill="1" applyBorder="1" applyAlignment="1">
      <alignment horizontal="right" vertical="center"/>
    </xf>
    <xf numFmtId="0" fontId="12" fillId="10" borderId="35" xfId="0" applyFont="1" applyFill="1" applyBorder="1" applyAlignment="1">
      <alignment horizontal="right" vertical="center"/>
    </xf>
    <xf numFmtId="0" fontId="12" fillId="10" borderId="52" xfId="2" applyFont="1" applyFill="1" applyBorder="1" applyAlignment="1">
      <alignment horizontal="right" vertical="center"/>
    </xf>
    <xf numFmtId="0" fontId="12" fillId="10" borderId="51" xfId="2" applyFont="1" applyFill="1" applyBorder="1" applyAlignment="1">
      <alignment horizontal="right" vertical="center"/>
    </xf>
    <xf numFmtId="0" fontId="12" fillId="10" borderId="44" xfId="2" applyFont="1" applyFill="1" applyBorder="1" applyAlignment="1">
      <alignment horizontal="right" vertical="center"/>
    </xf>
    <xf numFmtId="0" fontId="12" fillId="10" borderId="58" xfId="2" applyFont="1" applyFill="1" applyBorder="1" applyAlignment="1">
      <alignment horizontal="right" vertical="center"/>
    </xf>
    <xf numFmtId="0" fontId="12" fillId="10" borderId="53" xfId="0" applyFont="1" applyFill="1" applyBorder="1" applyAlignment="1">
      <alignment horizontal="right" vertical="center"/>
    </xf>
    <xf numFmtId="0" fontId="12" fillId="10" borderId="37" xfId="0" applyFont="1" applyFill="1" applyBorder="1" applyAlignment="1">
      <alignment horizontal="right" vertical="center"/>
    </xf>
    <xf numFmtId="0" fontId="12" fillId="10" borderId="53" xfId="2" applyFont="1" applyFill="1" applyBorder="1" applyAlignment="1">
      <alignment horizontal="right" vertical="center"/>
    </xf>
    <xf numFmtId="0" fontId="12" fillId="10" borderId="43" xfId="2" applyFont="1" applyFill="1" applyBorder="1" applyAlignment="1">
      <alignment horizontal="right" vertical="center"/>
    </xf>
    <xf numFmtId="0" fontId="12" fillId="10" borderId="42" xfId="2" applyFont="1" applyFill="1" applyBorder="1" applyAlignment="1">
      <alignment horizontal="right" vertical="center"/>
    </xf>
    <xf numFmtId="0" fontId="12" fillId="10" borderId="59" xfId="2" applyFont="1" applyFill="1" applyBorder="1" applyAlignment="1">
      <alignment horizontal="right" vertical="center"/>
    </xf>
    <xf numFmtId="0" fontId="12" fillId="10" borderId="54" xfId="0" applyFont="1" applyFill="1" applyBorder="1" applyAlignment="1">
      <alignment horizontal="right" vertical="center"/>
    </xf>
    <xf numFmtId="0" fontId="12" fillId="10" borderId="40" xfId="0" applyFont="1" applyFill="1" applyBorder="1" applyAlignment="1">
      <alignment horizontal="right" vertical="center"/>
    </xf>
    <xf numFmtId="0" fontId="12" fillId="10" borderId="54" xfId="2" applyFont="1" applyFill="1" applyBorder="1" applyAlignment="1">
      <alignment horizontal="right" vertical="center"/>
    </xf>
    <xf numFmtId="0" fontId="12" fillId="10" borderId="47" xfId="2" applyFont="1" applyFill="1" applyBorder="1" applyAlignment="1">
      <alignment horizontal="right" vertical="center"/>
    </xf>
    <xf numFmtId="0" fontId="12" fillId="10" borderId="45" xfId="2" applyFont="1" applyFill="1" applyBorder="1" applyAlignment="1">
      <alignment horizontal="right" vertical="center"/>
    </xf>
    <xf numFmtId="0" fontId="12" fillId="10" borderId="60" xfId="2" applyFont="1" applyFill="1" applyBorder="1" applyAlignment="1">
      <alignment horizontal="right" vertical="center"/>
    </xf>
    <xf numFmtId="0" fontId="11" fillId="10" borderId="55" xfId="0" applyFont="1" applyFill="1" applyBorder="1" applyAlignment="1">
      <alignment horizontal="center" vertical="center"/>
    </xf>
    <xf numFmtId="0" fontId="12" fillId="10" borderId="54" xfId="1" applyNumberFormat="1" applyFont="1" applyFill="1" applyBorder="1">
      <alignment vertical="center"/>
    </xf>
    <xf numFmtId="0" fontId="12" fillId="10" borderId="53" xfId="1" applyNumberFormat="1" applyFont="1" applyFill="1" applyBorder="1">
      <alignment vertical="center"/>
    </xf>
    <xf numFmtId="0" fontId="5" fillId="6" borderId="12" xfId="1" applyNumberFormat="1" applyFont="1" applyFill="1" applyBorder="1">
      <alignment vertical="center"/>
    </xf>
    <xf numFmtId="0" fontId="5" fillId="6" borderId="4" xfId="1" applyNumberFormat="1" applyFont="1" applyFill="1" applyBorder="1">
      <alignment vertical="center"/>
    </xf>
    <xf numFmtId="0" fontId="5" fillId="6" borderId="5" xfId="1" applyNumberFormat="1" applyFont="1" applyFill="1" applyBorder="1">
      <alignment vertical="center"/>
    </xf>
    <xf numFmtId="0" fontId="12" fillId="10" borderId="53" xfId="1" applyNumberFormat="1" applyFont="1" applyFill="1" applyBorder="1" applyAlignment="1">
      <alignment horizontal="right" vertical="center"/>
    </xf>
    <xf numFmtId="0" fontId="12" fillId="10" borderId="54" xfId="1" applyNumberFormat="1" applyFont="1" applyFill="1" applyBorder="1" applyAlignment="1">
      <alignment horizontal="righ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6" borderId="11" xfId="1" applyNumberFormat="1" applyFont="1" applyFill="1" applyBorder="1" applyAlignment="1">
      <alignment horizontal="center" vertical="center"/>
    </xf>
    <xf numFmtId="0" fontId="5" fillId="6" borderId="6" xfId="1" applyNumberFormat="1" applyFont="1" applyFill="1" applyBorder="1" applyAlignment="1">
      <alignment horizontal="center" vertical="center"/>
    </xf>
    <xf numFmtId="0" fontId="5" fillId="6" borderId="7" xfId="1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8" fillId="8" borderId="32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10" borderId="52" xfId="0" applyFont="1" applyFill="1" applyBorder="1" applyAlignment="1">
      <alignment horizontal="center" vertical="center"/>
    </xf>
    <xf numFmtId="0" fontId="11" fillId="10" borderId="53" xfId="0" applyFont="1" applyFill="1" applyBorder="1" applyAlignment="1">
      <alignment horizontal="center" vertical="center"/>
    </xf>
    <xf numFmtId="0" fontId="11" fillId="10" borderId="54" xfId="0" applyFont="1" applyFill="1" applyBorder="1" applyAlignment="1">
      <alignment horizontal="center" vertical="center"/>
    </xf>
    <xf numFmtId="0" fontId="11" fillId="10" borderId="52" xfId="0" applyFont="1" applyFill="1" applyBorder="1" applyAlignment="1">
      <alignment horizontal="center" vertical="center" wrapText="1"/>
    </xf>
    <xf numFmtId="0" fontId="11" fillId="10" borderId="48" xfId="2" applyFont="1" applyFill="1" applyBorder="1" applyAlignment="1">
      <alignment horizontal="center" vertical="center"/>
    </xf>
    <xf numFmtId="0" fontId="11" fillId="10" borderId="49" xfId="2" applyFont="1" applyFill="1" applyBorder="1" applyAlignment="1">
      <alignment horizontal="center" vertical="center"/>
    </xf>
    <xf numFmtId="0" fontId="11" fillId="10" borderId="50" xfId="2" applyFont="1" applyFill="1" applyBorder="1" applyAlignment="1">
      <alignment horizontal="center" vertical="center"/>
    </xf>
    <xf numFmtId="0" fontId="12" fillId="10" borderId="52" xfId="2" applyFont="1" applyFill="1" applyBorder="1" applyAlignment="1">
      <alignment horizontal="right" vertical="center"/>
    </xf>
    <xf numFmtId="0" fontId="12" fillId="10" borderId="53" xfId="2" applyFont="1" applyFill="1" applyBorder="1" applyAlignment="1">
      <alignment horizontal="right" vertical="center"/>
    </xf>
    <xf numFmtId="0" fontId="12" fillId="10" borderId="54" xfId="2" applyFont="1" applyFill="1" applyBorder="1" applyAlignment="1">
      <alignment horizontal="right" vertical="center"/>
    </xf>
    <xf numFmtId="0" fontId="11" fillId="10" borderId="46" xfId="0" applyFont="1" applyFill="1" applyBorder="1" applyAlignment="1">
      <alignment horizontal="center" vertical="center"/>
    </xf>
    <xf numFmtId="0" fontId="12" fillId="10" borderId="54" xfId="0" applyFont="1" applyFill="1" applyBorder="1" applyAlignment="1">
      <alignment horizontal="center" vertical="center"/>
    </xf>
    <xf numFmtId="0" fontId="12" fillId="10" borderId="61" xfId="0" applyFont="1" applyFill="1" applyBorder="1" applyAlignment="1">
      <alignment horizontal="center" vertical="center"/>
    </xf>
    <xf numFmtId="0" fontId="12" fillId="10" borderId="56" xfId="0" applyFont="1" applyFill="1" applyBorder="1" applyAlignment="1">
      <alignment horizontal="center" vertical="center"/>
    </xf>
    <xf numFmtId="0" fontId="12" fillId="10" borderId="57" xfId="0" applyFont="1" applyFill="1" applyBorder="1" applyAlignment="1">
      <alignment horizontal="center" vertical="center"/>
    </xf>
    <xf numFmtId="0" fontId="12" fillId="10" borderId="54" xfId="0" applyNumberFormat="1" applyFont="1" applyFill="1" applyBorder="1" applyAlignment="1">
      <alignment horizontal="center" vertical="center"/>
    </xf>
    <xf numFmtId="0" fontId="12" fillId="10" borderId="61" xfId="0" applyNumberFormat="1" applyFont="1" applyFill="1" applyBorder="1" applyAlignment="1">
      <alignment horizontal="center" vertical="center"/>
    </xf>
    <xf numFmtId="0" fontId="12" fillId="10" borderId="56" xfId="0" applyNumberFormat="1" applyFont="1" applyFill="1" applyBorder="1" applyAlignment="1">
      <alignment horizontal="center" vertical="center"/>
    </xf>
    <xf numFmtId="0" fontId="12" fillId="10" borderId="5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181" fontId="5" fillId="0" borderId="12" xfId="0" applyNumberFormat="1" applyFont="1" applyBorder="1" applyAlignment="1">
      <alignment horizontal="right" vertical="center"/>
    </xf>
    <xf numFmtId="181" fontId="5" fillId="0" borderId="4" xfId="0" applyNumberFormat="1" applyFont="1" applyBorder="1" applyAlignment="1">
      <alignment horizontal="right" vertical="center"/>
    </xf>
    <xf numFmtId="181" fontId="5" fillId="0" borderId="15" xfId="0" applyNumberFormat="1" applyFont="1" applyBorder="1" applyAlignment="1">
      <alignment horizontal="right" vertical="center"/>
    </xf>
    <xf numFmtId="181" fontId="5" fillId="0" borderId="18" xfId="0" applyNumberFormat="1" applyFont="1" applyBorder="1" applyAlignment="1">
      <alignment horizontal="right" vertical="center"/>
    </xf>
    <xf numFmtId="181" fontId="5" fillId="0" borderId="5" xfId="0" applyNumberFormat="1" applyFont="1" applyBorder="1" applyAlignment="1">
      <alignment horizontal="right" vertical="center"/>
    </xf>
    <xf numFmtId="184" fontId="12" fillId="10" borderId="54" xfId="2" applyNumberFormat="1" applyFont="1" applyFill="1" applyBorder="1" applyAlignment="1">
      <alignment horizontal="right" vertical="center"/>
    </xf>
    <xf numFmtId="184" fontId="12" fillId="10" borderId="53" xfId="2" applyNumberFormat="1" applyFont="1" applyFill="1" applyBorder="1" applyAlignment="1">
      <alignment horizontal="right" vertical="center"/>
    </xf>
    <xf numFmtId="184" fontId="12" fillId="10" borderId="52" xfId="2" applyNumberFormat="1" applyFont="1" applyFill="1" applyBorder="1" applyAlignment="1">
      <alignment horizontal="right" vertical="center"/>
    </xf>
    <xf numFmtId="187" fontId="12" fillId="10" borderId="52" xfId="2" applyNumberFormat="1" applyFont="1" applyFill="1" applyBorder="1" applyAlignment="1">
      <alignment horizontal="right" vertical="center"/>
    </xf>
    <xf numFmtId="187" fontId="12" fillId="10" borderId="53" xfId="2" applyNumberFormat="1" applyFont="1" applyFill="1" applyBorder="1" applyAlignment="1">
      <alignment horizontal="right" vertical="center"/>
    </xf>
    <xf numFmtId="0" fontId="12" fillId="10" borderId="62" xfId="0" applyFont="1" applyFill="1" applyBorder="1" applyAlignment="1">
      <alignment horizontal="right" vertical="center"/>
    </xf>
    <xf numFmtId="0" fontId="12" fillId="10" borderId="63" xfId="0" applyFont="1" applyFill="1" applyBorder="1" applyAlignment="1">
      <alignment horizontal="right" vertical="center"/>
    </xf>
    <xf numFmtId="0" fontId="12" fillId="10" borderId="64" xfId="0" applyFont="1" applyFill="1" applyBorder="1" applyAlignment="1">
      <alignment horizontal="right" vertical="center"/>
    </xf>
    <xf numFmtId="0" fontId="12" fillId="10" borderId="65" xfId="0" applyFont="1" applyFill="1" applyBorder="1" applyAlignment="1">
      <alignment horizontal="right" vertical="center"/>
    </xf>
    <xf numFmtId="0" fontId="12" fillId="10" borderId="30" xfId="0" applyFont="1" applyFill="1" applyBorder="1" applyAlignment="1">
      <alignment horizontal="right" vertical="center"/>
    </xf>
    <xf numFmtId="0" fontId="12" fillId="10" borderId="66" xfId="0" applyFont="1" applyFill="1" applyBorder="1" applyAlignment="1">
      <alignment horizontal="right" vertical="center"/>
    </xf>
    <xf numFmtId="0" fontId="11" fillId="10" borderId="64" xfId="0" applyFont="1" applyFill="1" applyBorder="1" applyAlignment="1">
      <alignment horizontal="center" vertical="center"/>
    </xf>
    <xf numFmtId="0" fontId="11" fillId="10" borderId="30" xfId="0" applyFont="1" applyFill="1" applyBorder="1" applyAlignment="1">
      <alignment horizontal="center" vertical="center"/>
    </xf>
    <xf numFmtId="0" fontId="11" fillId="10" borderId="37" xfId="0" applyFont="1" applyFill="1" applyBorder="1" applyAlignment="1">
      <alignment horizontal="center" vertical="center"/>
    </xf>
    <xf numFmtId="0" fontId="11" fillId="10" borderId="67" xfId="0" applyFont="1" applyFill="1" applyBorder="1" applyAlignment="1">
      <alignment horizontal="center" vertical="center"/>
    </xf>
    <xf numFmtId="0" fontId="11" fillId="10" borderId="68" xfId="0" applyFont="1" applyFill="1" applyBorder="1" applyAlignment="1">
      <alignment horizontal="center" vertical="center"/>
    </xf>
    <xf numFmtId="0" fontId="11" fillId="10" borderId="69" xfId="0" applyFont="1" applyFill="1" applyBorder="1" applyAlignment="1">
      <alignment horizontal="center" vertical="center"/>
    </xf>
    <xf numFmtId="0" fontId="11" fillId="10" borderId="70" xfId="0" applyFont="1" applyFill="1" applyBorder="1" applyAlignment="1">
      <alignment horizontal="center" vertical="center"/>
    </xf>
    <xf numFmtId="0" fontId="0" fillId="10" borderId="69" xfId="0" applyFill="1" applyBorder="1" applyAlignment="1">
      <alignment horizontal="center" vertical="center"/>
    </xf>
    <xf numFmtId="0" fontId="0" fillId="10" borderId="71" xfId="0" applyFill="1" applyBorder="1" applyAlignment="1">
      <alignment horizontal="center" vertical="center"/>
    </xf>
    <xf numFmtId="0" fontId="0" fillId="10" borderId="70" xfId="0" applyFill="1" applyBorder="1" applyAlignment="1">
      <alignment horizontal="center" vertical="center"/>
    </xf>
    <xf numFmtId="0" fontId="11" fillId="10" borderId="54" xfId="0" applyFont="1" applyFill="1" applyBorder="1" applyAlignment="1">
      <alignment horizontal="center" vertical="center" wrapText="1"/>
    </xf>
    <xf numFmtId="0" fontId="11" fillId="10" borderId="52" xfId="2" applyFont="1" applyFill="1" applyBorder="1" applyAlignment="1">
      <alignment horizontal="center" vertical="center"/>
    </xf>
    <xf numFmtId="0" fontId="11" fillId="10" borderId="53" xfId="2" applyFont="1" applyFill="1" applyBorder="1" applyAlignment="1">
      <alignment horizontal="center" vertical="center"/>
    </xf>
    <xf numFmtId="0" fontId="11" fillId="10" borderId="54" xfId="2" applyFont="1" applyFill="1" applyBorder="1" applyAlignment="1">
      <alignment horizontal="center" vertical="center"/>
    </xf>
    <xf numFmtId="0" fontId="11" fillId="10" borderId="52" xfId="2" applyFont="1" applyFill="1" applyBorder="1" applyAlignment="1">
      <alignment horizontal="center" vertical="center" wrapText="1"/>
    </xf>
    <xf numFmtId="0" fontId="11" fillId="10" borderId="54" xfId="2" applyFont="1" applyFill="1" applyBorder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15" fillId="10" borderId="34" xfId="0" applyFont="1" applyFill="1" applyBorder="1" applyAlignment="1">
      <alignment horizontal="center" vertical="center"/>
    </xf>
    <xf numFmtId="0" fontId="12" fillId="10" borderId="34" xfId="0" applyFont="1" applyFill="1" applyBorder="1" applyAlignment="1">
      <alignment horizontal="center" vertical="center"/>
    </xf>
    <xf numFmtId="188" fontId="12" fillId="10" borderId="53" xfId="1" applyNumberFormat="1" applyFont="1" applyFill="1" applyBorder="1" applyAlignment="1">
      <alignment horizontal="right" vertical="center"/>
    </xf>
    <xf numFmtId="188" fontId="12" fillId="10" borderId="54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3">
    <cellStyle name="쉼표 [0]" xfId="1" builtinId="6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10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</a:rPr>
              <a:t>50ml syringe,</a:t>
            </a:r>
            <a:r>
              <a:rPr lang="en-US" altLang="ko-KR" sz="11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</a:rPr>
              <a:t> </a:t>
            </a:r>
            <a:r>
              <a:rPr lang="en-US" altLang="ko-KR" sz="110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</a:rPr>
              <a:t>P - 1/V line </a:t>
            </a:r>
            <a:endParaRPr lang="ko-KR" altLang="en-US" sz="1100">
              <a:solidFill>
                <a:schemeClr val="tx1"/>
              </a:solidFill>
              <a:latin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30321560868251585"/>
          <c:y val="2.475202599729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663082488946236"/>
          <c:y val="0.11468423942888523"/>
          <c:w val="0.75010766949160179"/>
          <c:h val="0.74195542949990345"/>
        </c:manualLayout>
      </c:layout>
      <c:scatterChart>
        <c:scatterStyle val="lineMarker"/>
        <c:varyColors val="0"/>
        <c:ser>
          <c:idx val="2"/>
          <c:order val="0"/>
          <c:tx>
            <c:v>50ml syringe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9.2607782677708209E-2"/>
                  <c:y val="1.56750108602211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Result!$A$8:$A$12</c:f>
              <c:numCache>
                <c:formatCode>General</c:formatCode>
                <c:ptCount val="5"/>
                <c:pt idx="0">
                  <c:v>2.5316455696202531E-2</c:v>
                </c:pt>
                <c:pt idx="1">
                  <c:v>2.976190476190476E-2</c:v>
                </c:pt>
                <c:pt idx="2">
                  <c:v>3.4364261168384876E-2</c:v>
                </c:pt>
                <c:pt idx="3">
                  <c:v>3.9215686274509803E-2</c:v>
                </c:pt>
                <c:pt idx="4">
                  <c:v>4.6728971962616828E-2</c:v>
                </c:pt>
              </c:numCache>
            </c:numRef>
          </c:xVal>
          <c:yVal>
            <c:numRef>
              <c:f>Result!$B$8:$B$12</c:f>
              <c:numCache>
                <c:formatCode>General</c:formatCode>
                <c:ptCount val="5"/>
                <c:pt idx="0">
                  <c:v>131</c:v>
                </c:pt>
                <c:pt idx="1">
                  <c:v>151</c:v>
                </c:pt>
                <c:pt idx="2">
                  <c:v>171</c:v>
                </c:pt>
                <c:pt idx="3">
                  <c:v>191</c:v>
                </c:pt>
                <c:pt idx="4">
                  <c:v>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18-4D61-91D3-886452756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29487"/>
        <c:axId val="180269343"/>
      </c:scatterChart>
      <c:valAx>
        <c:axId val="186729487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1/Volume  (1/ml)</a:t>
                </a:r>
                <a:endParaRPr lang="ko-KR" altLang="en-US">
                  <a:solidFill>
                    <a:schemeClr val="tx1"/>
                  </a:solidFill>
                  <a:latin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12700" cap="sq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ko-KR"/>
          </a:p>
        </c:txPr>
        <c:crossAx val="180269343"/>
        <c:crosses val="autoZero"/>
        <c:crossBetween val="midCat"/>
        <c:majorUnit val="5.000000000000001E-3"/>
      </c:valAx>
      <c:valAx>
        <c:axId val="180269343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Absolute pressure  (kPa)</a:t>
                </a:r>
                <a:endParaRPr lang="ko-KR" altLang="en-US">
                  <a:solidFill>
                    <a:schemeClr val="tx1"/>
                  </a:solidFill>
                  <a:latin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1.5288467140832894E-2"/>
              <c:y val="0.22904608873767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ko-KR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5875" cap="sq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ko-KR"/>
          </a:p>
        </c:txPr>
        <c:crossAx val="18672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10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</a:rPr>
              <a:t>20ml syringe,</a:t>
            </a:r>
            <a:r>
              <a:rPr lang="en-US" altLang="ko-KR" sz="11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</a:rPr>
              <a:t> </a:t>
            </a:r>
            <a:r>
              <a:rPr lang="en-US" altLang="ko-KR" sz="110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</a:rPr>
              <a:t>P - 1/V line </a:t>
            </a:r>
            <a:endParaRPr lang="ko-KR" altLang="en-US" sz="1100">
              <a:solidFill>
                <a:schemeClr val="tx1"/>
              </a:solidFill>
              <a:latin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30321560868251585"/>
          <c:y val="2.475202599729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663082488946236"/>
          <c:y val="0.11468423942888523"/>
          <c:w val="0.75010766949160179"/>
          <c:h val="0.74195542949990345"/>
        </c:manualLayout>
      </c:layout>
      <c:scatterChart>
        <c:scatterStyle val="lineMarker"/>
        <c:varyColors val="0"/>
        <c:ser>
          <c:idx val="2"/>
          <c:order val="0"/>
          <c:tx>
            <c:v>20ml syringe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name>fitting line</c:name>
            <c:spPr>
              <a:ln w="127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023083618199478"/>
                  <c:y val="8.798647702621335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Result!$A$3:$A$7</c:f>
              <c:numCache>
                <c:formatCode>General</c:formatCode>
                <c:ptCount val="5"/>
                <c:pt idx="0">
                  <c:v>6.4935064935064929E-2</c:v>
                </c:pt>
                <c:pt idx="1">
                  <c:v>7.6335877862595422E-2</c:v>
                </c:pt>
                <c:pt idx="2">
                  <c:v>9.00900900900901E-2</c:v>
                </c:pt>
                <c:pt idx="3">
                  <c:v>0.1075268817204301</c:v>
                </c:pt>
                <c:pt idx="4">
                  <c:v>0.13157894736842105</c:v>
                </c:pt>
              </c:numCache>
            </c:numRef>
          </c:xVal>
          <c:yVal>
            <c:numRef>
              <c:f>Result!$B$3:$B$7</c:f>
              <c:numCache>
                <c:formatCode>General</c:formatCode>
                <c:ptCount val="5"/>
                <c:pt idx="0">
                  <c:v>131</c:v>
                </c:pt>
                <c:pt idx="1">
                  <c:v>151</c:v>
                </c:pt>
                <c:pt idx="2">
                  <c:v>171</c:v>
                </c:pt>
                <c:pt idx="3">
                  <c:v>191</c:v>
                </c:pt>
                <c:pt idx="4">
                  <c:v>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5F-43DE-9BB4-A4DDB2309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29487"/>
        <c:axId val="180269343"/>
      </c:scatterChart>
      <c:valAx>
        <c:axId val="186729487"/>
        <c:scaling>
          <c:orientation val="minMax"/>
          <c:min val="5.000000000000001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1/Volume  (1/ml)</a:t>
                </a:r>
                <a:endParaRPr lang="ko-KR" altLang="en-US">
                  <a:solidFill>
                    <a:schemeClr val="tx1"/>
                  </a:solidFill>
                  <a:latin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12700" cap="sq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ko-KR"/>
          </a:p>
        </c:txPr>
        <c:crossAx val="180269343"/>
        <c:crosses val="autoZero"/>
        <c:crossBetween val="midCat"/>
      </c:valAx>
      <c:valAx>
        <c:axId val="180269343"/>
        <c:scaling>
          <c:orientation val="minMax"/>
          <c:max val="240"/>
          <c:min val="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Absolute pressure  (kPa)</a:t>
                </a:r>
                <a:endParaRPr lang="ko-KR" altLang="en-US">
                  <a:solidFill>
                    <a:schemeClr val="tx1"/>
                  </a:solidFill>
                  <a:latin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1.5288467140832894E-2"/>
              <c:y val="0.22904608873767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ko-KR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5875" cap="sq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ko-KR"/>
          </a:p>
        </c:txPr>
        <c:crossAx val="18672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10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</a:rPr>
              <a:t>100ml syringe,</a:t>
            </a:r>
            <a:r>
              <a:rPr lang="en-US" altLang="ko-KR" sz="11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</a:rPr>
              <a:t> </a:t>
            </a:r>
            <a:r>
              <a:rPr lang="en-US" altLang="ko-KR" sz="110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</a:rPr>
              <a:t>P - 1/V line </a:t>
            </a:r>
            <a:endParaRPr lang="ko-KR" altLang="en-US" sz="1100">
              <a:solidFill>
                <a:schemeClr val="tx1"/>
              </a:solidFill>
              <a:latin typeface="Cambria Math" panose="02040503050406030204" pitchFamily="18" charset="0"/>
            </a:endParaRPr>
          </a:p>
        </c:rich>
      </c:tx>
      <c:layout>
        <c:manualLayout>
          <c:xMode val="edge"/>
          <c:yMode val="edge"/>
          <c:x val="0.29558714261086949"/>
          <c:y val="2.475202599729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7663082488946236"/>
          <c:y val="0.11468423942888523"/>
          <c:w val="0.75010766949160179"/>
          <c:h val="0.74195542949990345"/>
        </c:manualLayout>
      </c:layout>
      <c:scatterChart>
        <c:scatterStyle val="lineMarker"/>
        <c:varyColors val="0"/>
        <c:ser>
          <c:idx val="2"/>
          <c:order val="0"/>
          <c:tx>
            <c:v>100ml syringe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6.7434051719081484E-2"/>
                  <c:y val="2.13955134708934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Result!$A$13:$A$17</c:f>
              <c:numCache>
                <c:formatCode>General</c:formatCode>
                <c:ptCount val="5"/>
                <c:pt idx="0">
                  <c:v>1.2642225031605564E-2</c:v>
                </c:pt>
                <c:pt idx="1">
                  <c:v>1.4727540500736375E-2</c:v>
                </c:pt>
                <c:pt idx="2">
                  <c:v>1.6920473773265651E-2</c:v>
                </c:pt>
                <c:pt idx="3">
                  <c:v>1.9193857965451054E-2</c:v>
                </c:pt>
                <c:pt idx="4">
                  <c:v>2.2675736961451247E-2</c:v>
                </c:pt>
              </c:numCache>
            </c:numRef>
          </c:xVal>
          <c:yVal>
            <c:numRef>
              <c:f>Result!$B$13:$B$17</c:f>
              <c:numCache>
                <c:formatCode>General</c:formatCode>
                <c:ptCount val="5"/>
                <c:pt idx="0">
                  <c:v>131</c:v>
                </c:pt>
                <c:pt idx="1">
                  <c:v>151</c:v>
                </c:pt>
                <c:pt idx="2">
                  <c:v>171</c:v>
                </c:pt>
                <c:pt idx="3">
                  <c:v>191</c:v>
                </c:pt>
                <c:pt idx="4">
                  <c:v>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BB-4F7E-8430-8350C8D83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29487"/>
        <c:axId val="180269343"/>
      </c:scatterChart>
      <c:valAx>
        <c:axId val="186729487"/>
        <c:scaling>
          <c:orientation val="minMax"/>
          <c:max val="2.4000000000000004E-2"/>
          <c:min val="1.0000000000000002E-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1/Volume  (1/ml)</a:t>
                </a:r>
                <a:endParaRPr lang="ko-KR" altLang="en-US">
                  <a:solidFill>
                    <a:schemeClr val="tx1"/>
                  </a:solidFill>
                  <a:latin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ko-KR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12700" cap="sq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ko-KR"/>
          </a:p>
        </c:txPr>
        <c:crossAx val="180269343"/>
        <c:crosses val="autoZero"/>
        <c:crossBetween val="midCat"/>
        <c:majorUnit val="2.0000000000000005E-3"/>
      </c:valAx>
      <c:valAx>
        <c:axId val="180269343"/>
        <c:scaling>
          <c:orientation val="minMax"/>
          <c:max val="240"/>
          <c:min val="12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Absolute pressure  (kPa)</a:t>
                </a:r>
                <a:endParaRPr lang="ko-KR" altLang="en-US">
                  <a:solidFill>
                    <a:schemeClr val="tx1"/>
                  </a:solidFill>
                  <a:latin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1.5288467140832894E-2"/>
              <c:y val="0.22904608873767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ko-KR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5875" cap="sq" cmpd="sng" algn="ctr">
            <a:solidFill>
              <a:schemeClr val="tx1"/>
            </a:solidFill>
            <a:round/>
            <a:headEnd type="none"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ko-KR"/>
          </a:p>
        </c:txPr>
        <c:crossAx val="18672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555034</xdr:colOff>
      <xdr:row>21</xdr:row>
      <xdr:rowOff>123508</xdr:rowOff>
    </xdr:from>
    <xdr:to>
      <xdr:col>9</xdr:col>
      <xdr:colOff>840053</xdr:colOff>
      <xdr:row>34</xdr:row>
      <xdr:rowOff>89925</xdr:rowOff>
    </xdr:to>
    <xdr:graphicFrame macro="">
      <xdr:nvGraphicFramePr>
        <xdr:cNvPr id="24" name="차트 15">
          <a:extLst>
            <a:ext uri="{FF2B5EF4-FFF2-40B4-BE49-F238E27FC236}">
              <a16:creationId xmlns:a16="http://schemas.microsoft.com/office/drawing/2014/main" id="{91A31889-6871-4D07-90F3-F53AAB769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83358</xdr:colOff>
      <xdr:row>21</xdr:row>
      <xdr:rowOff>120949</xdr:rowOff>
    </xdr:from>
    <xdr:to>
      <xdr:col>7</xdr:col>
      <xdr:colOff>511869</xdr:colOff>
      <xdr:row>34</xdr:row>
      <xdr:rowOff>90374</xdr:rowOff>
    </xdr:to>
    <xdr:graphicFrame macro="">
      <xdr:nvGraphicFramePr>
        <xdr:cNvPr id="23" name="차트 17">
          <a:extLst>
            <a:ext uri="{FF2B5EF4-FFF2-40B4-BE49-F238E27FC236}">
              <a16:creationId xmlns:a16="http://schemas.microsoft.com/office/drawing/2014/main" id="{BBC0D58E-93C5-403F-A4C1-90607A632E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886233</xdr:colOff>
      <xdr:row>21</xdr:row>
      <xdr:rowOff>122470</xdr:rowOff>
    </xdr:from>
    <xdr:to>
      <xdr:col>13</xdr:col>
      <xdr:colOff>576141</xdr:colOff>
      <xdr:row>34</xdr:row>
      <xdr:rowOff>86289</xdr:rowOff>
    </xdr:to>
    <xdr:graphicFrame macro="">
      <xdr:nvGraphicFramePr>
        <xdr:cNvPr id="25" name="차트 18">
          <a:extLst>
            <a:ext uri="{FF2B5EF4-FFF2-40B4-BE49-F238E27FC236}">
              <a16:creationId xmlns:a16="http://schemas.microsoft.com/office/drawing/2014/main" id="{EC1902AA-6E37-43F2-A3AC-CA2F6BC00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29</xdr:row>
      <xdr:rowOff>71004</xdr:rowOff>
    </xdr:from>
    <xdr:to>
      <xdr:col>0</xdr:col>
      <xdr:colOff>628650</xdr:colOff>
      <xdr:row>30</xdr:row>
      <xdr:rowOff>137679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74AB317-00BB-E48A-132C-8D0B17E2BE58}"/>
            </a:ext>
          </a:extLst>
        </xdr:cNvPr>
        <xdr:cNvSpPr txBox="1"/>
      </xdr:nvSpPr>
      <xdr:spPr>
        <a:xfrm>
          <a:off x="0" y="6392140"/>
          <a:ext cx="628650" cy="2744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600">
              <a:latin typeface="Adobe 고딕 Std B" panose="020B0800000000000000" pitchFamily="34" charset="-127"/>
              <a:ea typeface="Adobe 고딕 Std B" panose="020B0800000000000000" pitchFamily="34" charset="-127"/>
            </a:rPr>
            <a:t>비고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A575-211F-4D14-BBEA-0CACDD1A1128}">
  <sheetPr>
    <pageSetUpPr fitToPage="1"/>
  </sheetPr>
  <dimension ref="A1:T38"/>
  <sheetViews>
    <sheetView tabSelected="1" zoomScaleNormal="100" workbookViewId="0">
      <selection activeCell="I6" sqref="I6"/>
    </sheetView>
  </sheetViews>
  <sheetFormatPr defaultRowHeight="16.5"/>
  <cols>
    <col min="1" max="1" width="33.125" customWidth="1"/>
    <col min="2" max="2" width="27.25" customWidth="1"/>
    <col min="3" max="3" width="14" customWidth="1"/>
    <col min="5" max="5" width="18" customWidth="1"/>
    <col min="7" max="7" width="29.375" customWidth="1"/>
    <col min="8" max="8" width="13.125" customWidth="1"/>
    <col min="9" max="9" width="27.25" customWidth="1"/>
    <col min="10" max="10" width="20.625" customWidth="1"/>
    <col min="12" max="12" width="9.625" customWidth="1"/>
    <col min="15" max="15" width="27.25" customWidth="1"/>
    <col min="16" max="16" width="20.625" customWidth="1"/>
    <col min="18" max="18" width="9.625" customWidth="1"/>
  </cols>
  <sheetData>
    <row r="1" spans="1:14" ht="17.25" thickBot="1">
      <c r="A1" s="138" t="s">
        <v>24</v>
      </c>
      <c r="B1" s="138"/>
      <c r="C1" s="138"/>
      <c r="G1" s="228"/>
      <c r="H1" s="228"/>
      <c r="I1" s="228"/>
      <c r="J1" s="228"/>
      <c r="K1" s="228"/>
      <c r="L1" s="228"/>
      <c r="M1" s="228"/>
      <c r="N1" s="228"/>
    </row>
    <row r="2" spans="1:14" ht="18" thickTop="1" thickBot="1">
      <c r="A2" s="6" t="s">
        <v>12</v>
      </c>
      <c r="B2" s="6" t="s">
        <v>3</v>
      </c>
      <c r="C2" s="5" t="s">
        <v>5</v>
      </c>
      <c r="E2" s="10" t="s">
        <v>8</v>
      </c>
      <c r="G2" s="223"/>
      <c r="H2" s="223"/>
      <c r="I2" s="223"/>
      <c r="J2" s="229"/>
      <c r="K2" s="229"/>
      <c r="L2" s="229"/>
      <c r="M2" s="229"/>
      <c r="N2" s="229"/>
    </row>
    <row r="3" spans="1:14" ht="17.25" thickTop="1">
      <c r="A3" s="59">
        <f>'단위 환산 및 완전수 정의(수정금지)'!I2+0</f>
        <v>6.4935064935064929E-2</v>
      </c>
      <c r="B3" s="59">
        <f>'단위 환산 및 완전수 정의(수정금지)'!C20+0</f>
        <v>131</v>
      </c>
      <c r="C3" s="139" t="str">
        <f>'단위 환산 및 완전수 정의(수정금지)'!B20</f>
        <v>0.02537</v>
      </c>
      <c r="E3" s="11" t="str">
        <f>'단위 환산 및 완전수 정의(수정금지)'!J3</f>
        <v>1.14</v>
      </c>
      <c r="G3" s="224"/>
      <c r="H3" s="225"/>
      <c r="I3" s="226"/>
      <c r="J3" s="226"/>
      <c r="K3" s="226"/>
      <c r="L3" s="226"/>
      <c r="M3" s="226"/>
      <c r="N3" s="226"/>
    </row>
    <row r="4" spans="1:14">
      <c r="A4" s="17">
        <f>'단위 환산 및 완전수 정의(수정금지)'!I3+0</f>
        <v>7.6335877862595422E-2</v>
      </c>
      <c r="B4" s="60">
        <f>'단위 환산 및 완전수 정의(수정금지)'!C21+0</f>
        <v>151</v>
      </c>
      <c r="C4" s="140"/>
      <c r="E4" s="12" t="s">
        <v>9</v>
      </c>
      <c r="G4" s="228"/>
      <c r="H4" s="228"/>
      <c r="I4" s="227"/>
      <c r="J4" s="184"/>
      <c r="K4" s="184"/>
      <c r="L4" s="184"/>
      <c r="M4" s="184"/>
      <c r="N4" s="184"/>
    </row>
    <row r="5" spans="1:14">
      <c r="A5" s="17">
        <f>'단위 환산 및 완전수 정의(수정금지)'!I4+0</f>
        <v>9.00900900900901E-2</v>
      </c>
      <c r="B5" s="60">
        <f>'단위 환산 및 완전수 정의(수정금지)'!C22+0</f>
        <v>171</v>
      </c>
      <c r="C5" s="140"/>
      <c r="E5" s="12" t="str">
        <f>'단위 환산 및 완전수 정의(수정금지)'!J5</f>
        <v>294.50</v>
      </c>
      <c r="G5" s="228"/>
      <c r="H5" s="228"/>
      <c r="I5" s="227"/>
      <c r="J5" s="184"/>
      <c r="K5" s="184"/>
      <c r="L5" s="184"/>
      <c r="M5" s="184"/>
      <c r="N5" s="184"/>
    </row>
    <row r="6" spans="1:14">
      <c r="A6" s="17">
        <f>'단위 환산 및 완전수 정의(수정금지)'!I5+0</f>
        <v>0.1075268817204301</v>
      </c>
      <c r="B6" s="60">
        <f>'단위 환산 및 완전수 정의(수정금지)'!C23+0</f>
        <v>191</v>
      </c>
      <c r="C6" s="140"/>
      <c r="E6" s="13" t="s">
        <v>10</v>
      </c>
      <c r="G6" s="228"/>
      <c r="H6" s="228"/>
      <c r="I6" s="227"/>
      <c r="J6" s="184"/>
      <c r="K6" s="184"/>
      <c r="L6" s="184"/>
      <c r="M6" s="184"/>
      <c r="N6" s="184"/>
    </row>
    <row r="7" spans="1:14">
      <c r="A7" s="18">
        <f>'단위 환산 및 완전수 정의(수정금지)'!I6+0</f>
        <v>0.13157894736842105</v>
      </c>
      <c r="B7" s="61">
        <f>'단위 환산 및 완전수 정의(수정금지)'!C24+0</f>
        <v>221</v>
      </c>
      <c r="C7" s="141"/>
      <c r="E7" s="13">
        <f>'단위 환산 및 완전수 정의(수정금지)'!J7</f>
        <v>1.1999999999999999E-3</v>
      </c>
      <c r="G7" s="228"/>
      <c r="H7" s="228"/>
      <c r="I7" s="227"/>
      <c r="J7" s="184"/>
      <c r="K7" s="184"/>
      <c r="L7" s="184"/>
      <c r="M7" s="184"/>
      <c r="N7" s="184"/>
    </row>
    <row r="8" spans="1:14">
      <c r="A8" s="19">
        <f>'단위 환산 및 완전수 정의(수정금지)'!I7+0</f>
        <v>2.5316455696202531E-2</v>
      </c>
      <c r="B8" s="62">
        <f>'단위 환산 및 완전수 정의(수정금지)'!C25+0</f>
        <v>131</v>
      </c>
      <c r="C8" s="142" t="str">
        <f>'단위 환산 및 완전수 정의(수정금지)'!B25</f>
        <v>0.06137</v>
      </c>
      <c r="E8" s="14" t="s">
        <v>11</v>
      </c>
      <c r="G8" s="228"/>
      <c r="H8" s="228"/>
      <c r="I8" s="227"/>
      <c r="J8" s="184"/>
      <c r="K8" s="184"/>
      <c r="L8" s="184"/>
      <c r="M8" s="184"/>
      <c r="N8" s="184"/>
    </row>
    <row r="9" spans="1:14" ht="17.25" thickBot="1">
      <c r="A9" s="17">
        <f>'단위 환산 및 완전수 정의(수정금지)'!I8+0</f>
        <v>2.976190476190476E-2</v>
      </c>
      <c r="B9" s="60">
        <f>'단위 환산 및 완전수 정의(수정금지)'!C26+0</f>
        <v>151</v>
      </c>
      <c r="C9" s="140"/>
      <c r="E9" s="15">
        <f>'단위 환산 및 완전수 정의(수정금지)'!J9</f>
        <v>101.02</v>
      </c>
      <c r="G9" s="228"/>
      <c r="H9" s="228"/>
      <c r="I9" s="227"/>
      <c r="J9" s="184"/>
      <c r="K9" s="184"/>
      <c r="L9" s="184"/>
      <c r="M9" s="184"/>
      <c r="N9" s="184"/>
    </row>
    <row r="10" spans="1:14" ht="17.25" thickTop="1">
      <c r="A10" s="17">
        <f>'단위 환산 및 완전수 정의(수정금지)'!I9+0</f>
        <v>3.4364261168384876E-2</v>
      </c>
      <c r="B10" s="60">
        <f>'단위 환산 및 완전수 정의(수정금지)'!C27+0</f>
        <v>171</v>
      </c>
      <c r="C10" s="140"/>
      <c r="G10" s="228"/>
      <c r="H10" s="228"/>
      <c r="I10" s="227"/>
      <c r="J10" s="184"/>
      <c r="K10" s="184"/>
      <c r="L10" s="184"/>
      <c r="M10" s="184"/>
      <c r="N10" s="184"/>
    </row>
    <row r="11" spans="1:14">
      <c r="A11" s="17">
        <f>'단위 환산 및 완전수 정의(수정금지)'!I10+0</f>
        <v>3.9215686274509803E-2</v>
      </c>
      <c r="B11" s="60">
        <f>'단위 환산 및 완전수 정의(수정금지)'!C28+0</f>
        <v>191</v>
      </c>
      <c r="C11" s="140"/>
      <c r="G11" s="228"/>
      <c r="H11" s="228"/>
      <c r="I11" s="227"/>
      <c r="J11" s="184"/>
      <c r="K11" s="184"/>
      <c r="L11" s="184"/>
      <c r="M11" s="184"/>
      <c r="N11" s="184"/>
    </row>
    <row r="12" spans="1:14">
      <c r="A12" s="18">
        <f>'단위 환산 및 완전수 정의(수정금지)'!I11+0</f>
        <v>4.6728971962616828E-2</v>
      </c>
      <c r="B12" s="61">
        <f>'단위 환산 및 완전수 정의(수정금지)'!C29+0</f>
        <v>221</v>
      </c>
      <c r="C12" s="141"/>
      <c r="E12" s="144" t="s">
        <v>21</v>
      </c>
      <c r="G12" s="228"/>
      <c r="H12" s="228"/>
      <c r="I12" s="227"/>
      <c r="J12" s="184"/>
      <c r="K12" s="184"/>
      <c r="L12" s="184"/>
      <c r="M12" s="184"/>
      <c r="N12" s="184"/>
    </row>
    <row r="13" spans="1:14" ht="16.5" customHeight="1">
      <c r="A13" s="17">
        <f>'단위 환산 및 완전수 정의(수정금지)'!I12+0</f>
        <v>1.2642225031605564E-2</v>
      </c>
      <c r="B13" s="60">
        <f>'단위 환산 및 완전수 정의(수정금지)'!C30+0</f>
        <v>131</v>
      </c>
      <c r="C13" s="142" t="str">
        <f>'단위 환산 및 완전수 정의(수정금지)'!B30</f>
        <v>0.12137</v>
      </c>
      <c r="E13" s="145"/>
      <c r="G13" s="228"/>
      <c r="H13" s="228"/>
      <c r="I13" s="227"/>
      <c r="J13" s="184"/>
      <c r="K13" s="184"/>
      <c r="L13" s="184"/>
      <c r="M13" s="184"/>
      <c r="N13" s="184"/>
    </row>
    <row r="14" spans="1:14">
      <c r="A14" s="17">
        <f>'단위 환산 및 완전수 정의(수정금지)'!I13+0</f>
        <v>1.4727540500736375E-2</v>
      </c>
      <c r="B14" s="60">
        <f>'단위 환산 및 완전수 정의(수정금지)'!C31+0</f>
        <v>151</v>
      </c>
      <c r="C14" s="140"/>
      <c r="E14" s="145"/>
      <c r="G14" s="228"/>
      <c r="H14" s="228"/>
      <c r="I14" s="227"/>
      <c r="J14" s="184"/>
      <c r="K14" s="184"/>
      <c r="L14" s="184"/>
      <c r="M14" s="184"/>
      <c r="N14" s="184"/>
    </row>
    <row r="15" spans="1:14">
      <c r="A15" s="17">
        <f>'단위 환산 및 완전수 정의(수정금지)'!I14+0</f>
        <v>1.6920473773265651E-2</v>
      </c>
      <c r="B15" s="60">
        <f>'단위 환산 및 완전수 정의(수정금지)'!C32+0</f>
        <v>171</v>
      </c>
      <c r="C15" s="140"/>
      <c r="E15" s="145"/>
      <c r="G15" s="228"/>
      <c r="H15" s="228"/>
      <c r="I15" s="227"/>
      <c r="J15" s="184"/>
      <c r="K15" s="184"/>
      <c r="L15" s="184"/>
      <c r="M15" s="184"/>
      <c r="N15" s="184"/>
    </row>
    <row r="16" spans="1:14">
      <c r="A16" s="17">
        <f>'단위 환산 및 완전수 정의(수정금지)'!I15+0</f>
        <v>1.9193857965451054E-2</v>
      </c>
      <c r="B16" s="60">
        <f>'단위 환산 및 완전수 정의(수정금지)'!C33+0</f>
        <v>191</v>
      </c>
      <c r="C16" s="140"/>
      <c r="E16" s="145"/>
      <c r="G16" s="228"/>
      <c r="H16" s="228"/>
      <c r="I16" s="227"/>
      <c r="J16" s="184"/>
      <c r="K16" s="184"/>
      <c r="L16" s="184"/>
      <c r="M16" s="184"/>
      <c r="N16" s="184"/>
    </row>
    <row r="17" spans="1:20" ht="17.25" thickBot="1">
      <c r="A17" s="20">
        <f>'단위 환산 및 완전수 정의(수정금지)'!I16+0</f>
        <v>2.2675736961451247E-2</v>
      </c>
      <c r="B17" s="63">
        <f>'단위 환산 및 완전수 정의(수정금지)'!C34+0</f>
        <v>221</v>
      </c>
      <c r="C17" s="143"/>
      <c r="G17" s="228"/>
      <c r="H17" s="228"/>
      <c r="I17" s="227"/>
      <c r="J17" s="184"/>
      <c r="K17" s="184"/>
      <c r="L17" s="184"/>
      <c r="M17" s="184"/>
      <c r="N17" s="184"/>
    </row>
    <row r="18" spans="1:20" ht="17.25" thickTop="1">
      <c r="G18" s="228"/>
      <c r="H18" s="228"/>
      <c r="I18" s="227"/>
      <c r="J18" s="184"/>
      <c r="K18" s="184"/>
      <c r="L18" s="184"/>
      <c r="M18" s="184"/>
      <c r="N18" s="184"/>
    </row>
    <row r="19" spans="1:20" ht="17.25" thickBot="1"/>
    <row r="20" spans="1:20" ht="18" thickTop="1" thickBot="1">
      <c r="A20" s="6" t="s">
        <v>14</v>
      </c>
      <c r="B20" s="9" t="s">
        <v>13</v>
      </c>
      <c r="C20" s="9" t="s">
        <v>22</v>
      </c>
    </row>
    <row r="21" spans="1:20" ht="18" thickTop="1" thickBot="1">
      <c r="A21" s="16">
        <v>1808.3</v>
      </c>
      <c r="B21" s="117">
        <f>A21/(C3*$E$5)</f>
        <v>242.02750063073304</v>
      </c>
      <c r="C21" s="134">
        <v>287</v>
      </c>
    </row>
    <row r="22" spans="1:20">
      <c r="A22" s="17">
        <v>4900.3</v>
      </c>
      <c r="B22" s="118">
        <f>A22/(C8*$E$5)</f>
        <v>271.1322925626049</v>
      </c>
      <c r="C22" s="135"/>
      <c r="F22" s="122"/>
      <c r="G22" s="123"/>
      <c r="H22" s="123"/>
      <c r="I22" s="123"/>
      <c r="J22" s="123"/>
      <c r="K22" s="123"/>
      <c r="L22" s="123"/>
      <c r="M22" s="123"/>
      <c r="N22" s="124"/>
      <c r="O22" s="64"/>
      <c r="P22" s="137"/>
      <c r="Q22" s="137"/>
      <c r="R22" s="137"/>
      <c r="S22" s="137"/>
      <c r="T22" s="137"/>
    </row>
    <row r="23" spans="1:20" ht="17.25" thickBot="1">
      <c r="A23" s="20">
        <v>9996.5</v>
      </c>
      <c r="B23" s="119">
        <f>A23/(C13*$E$5*1.0088)</f>
        <v>277.23384333473979</v>
      </c>
      <c r="C23" s="136"/>
      <c r="F23" s="125"/>
      <c r="G23" s="126"/>
      <c r="H23" s="126"/>
      <c r="I23" s="126"/>
      <c r="J23" s="126"/>
      <c r="K23" s="126"/>
      <c r="L23" s="126"/>
      <c r="M23" s="126"/>
      <c r="N23" s="127"/>
      <c r="O23" s="65"/>
      <c r="P23" s="65"/>
      <c r="Q23" s="65"/>
      <c r="R23" s="65"/>
      <c r="S23" s="65"/>
      <c r="T23" s="65"/>
    </row>
    <row r="24" spans="1:20" ht="18" thickTop="1" thickBot="1">
      <c r="F24" s="125"/>
      <c r="G24" s="126"/>
      <c r="H24" s="126"/>
      <c r="I24" s="126"/>
      <c r="J24" s="126"/>
      <c r="K24" s="126"/>
      <c r="L24" s="126"/>
      <c r="M24" s="126"/>
      <c r="N24" s="127"/>
      <c r="O24" s="66"/>
      <c r="P24" s="29"/>
      <c r="Q24" s="29"/>
      <c r="R24" s="29"/>
      <c r="S24" s="29"/>
      <c r="T24" s="29"/>
    </row>
    <row r="25" spans="1:20" ht="18" thickTop="1" thickBot="1">
      <c r="A25" s="9" t="s">
        <v>23</v>
      </c>
      <c r="B25" s="9" t="s">
        <v>147</v>
      </c>
      <c r="C25" s="9" t="s">
        <v>22</v>
      </c>
      <c r="F25" s="125"/>
      <c r="G25" s="126"/>
      <c r="H25" s="126"/>
      <c r="I25" s="126"/>
      <c r="J25" s="126"/>
      <c r="K25" s="126"/>
      <c r="L25" s="126"/>
      <c r="M25" s="126"/>
      <c r="N25" s="127"/>
      <c r="O25" s="66"/>
      <c r="P25" s="29"/>
      <c r="Q25" s="29"/>
      <c r="R25" s="29"/>
      <c r="S25" s="29"/>
      <c r="T25" s="29"/>
    </row>
    <row r="26" spans="1:20" ht="17.25" thickTop="1">
      <c r="A26" s="117">
        <f xml:space="preserve"> ABS((($C$26-B26)/$C$26)) * 100</f>
        <v>16.376306620209057</v>
      </c>
      <c r="B26" s="87" t="str">
        <f>FIXED(B21,2-(1+INT(LOG10(ABS(B21)))))</f>
        <v>240</v>
      </c>
      <c r="C26" s="134">
        <v>287</v>
      </c>
      <c r="F26" s="125"/>
      <c r="G26" s="126"/>
      <c r="H26" s="126"/>
      <c r="I26" s="126"/>
      <c r="J26" s="126"/>
      <c r="K26" s="126"/>
      <c r="L26" s="126"/>
      <c r="M26" s="126"/>
      <c r="N26" s="127"/>
      <c r="O26" s="66"/>
      <c r="P26" s="29"/>
      <c r="Q26" s="29"/>
      <c r="R26" s="29"/>
      <c r="S26" s="29"/>
      <c r="T26" s="29"/>
    </row>
    <row r="27" spans="1:20">
      <c r="A27" s="118">
        <f xml:space="preserve"> ABS((($C$26-B27)/$C$26)) * 100</f>
        <v>5.5749128919860631</v>
      </c>
      <c r="B27" s="88" t="str">
        <f>FIXED(B22,3-(1+INT(LOG10(ABS(B22)))))</f>
        <v>271</v>
      </c>
      <c r="C27" s="135"/>
      <c r="F27" s="125"/>
      <c r="G27" s="126"/>
      <c r="H27" s="126"/>
      <c r="I27" s="126"/>
      <c r="J27" s="126"/>
      <c r="K27" s="126"/>
      <c r="L27" s="126"/>
      <c r="M27" s="126"/>
      <c r="N27" s="127"/>
      <c r="O27" s="66"/>
      <c r="P27" s="29"/>
      <c r="Q27" s="29"/>
      <c r="R27" s="29"/>
      <c r="S27" s="29"/>
      <c r="T27" s="29"/>
    </row>
    <row r="28" spans="1:20" ht="17.25" thickBot="1">
      <c r="A28" s="119">
        <f xml:space="preserve"> ABS((($C$26-B28)/$C$26)) * 100</f>
        <v>3.484320557491289</v>
      </c>
      <c r="B28" s="89" t="str">
        <f>FIXED(B23,3-(1+INT(LOG10(ABS(B23)))))</f>
        <v>277</v>
      </c>
      <c r="C28" s="136"/>
      <c r="F28" s="125"/>
      <c r="G28" s="126"/>
      <c r="H28" s="126"/>
      <c r="I28" s="126"/>
      <c r="J28" s="126"/>
      <c r="K28" s="126"/>
      <c r="L28" s="126"/>
      <c r="M28" s="126"/>
      <c r="N28" s="127"/>
      <c r="O28" s="66"/>
      <c r="P28" s="29"/>
      <c r="Q28" s="29"/>
      <c r="R28" s="29"/>
      <c r="S28" s="29"/>
      <c r="T28" s="29"/>
    </row>
    <row r="29" spans="1:20" ht="18" thickTop="1" thickBot="1">
      <c r="F29" s="125"/>
      <c r="G29" s="126"/>
      <c r="H29" s="126"/>
      <c r="I29" s="126"/>
      <c r="J29" s="126"/>
      <c r="K29" s="126"/>
      <c r="L29" s="126"/>
      <c r="M29" s="126"/>
      <c r="N29" s="127"/>
      <c r="O29" s="66"/>
      <c r="P29" s="29"/>
      <c r="Q29" s="29"/>
      <c r="R29" s="29"/>
      <c r="S29" s="29"/>
      <c r="T29" s="29"/>
    </row>
    <row r="30" spans="1:20">
      <c r="A30" s="122"/>
      <c r="B30" s="123"/>
      <c r="C30" s="124"/>
      <c r="F30" s="125"/>
      <c r="G30" s="126"/>
      <c r="H30" s="126"/>
      <c r="I30" s="126"/>
      <c r="J30" s="126"/>
      <c r="K30" s="126"/>
      <c r="L30" s="126"/>
      <c r="M30" s="126"/>
      <c r="N30" s="127"/>
      <c r="O30" s="66"/>
      <c r="P30" s="29"/>
      <c r="Q30" s="29"/>
      <c r="R30" s="29"/>
      <c r="S30" s="29"/>
      <c r="T30" s="29"/>
    </row>
    <row r="31" spans="1:20">
      <c r="A31" s="125"/>
      <c r="B31" s="126"/>
      <c r="C31" s="127"/>
      <c r="F31" s="125"/>
      <c r="G31" s="126"/>
      <c r="H31" s="126"/>
      <c r="I31" s="126"/>
      <c r="J31" s="126"/>
      <c r="K31" s="126"/>
      <c r="L31" s="126"/>
      <c r="M31" s="126"/>
      <c r="N31" s="127"/>
      <c r="O31" s="66"/>
      <c r="P31" s="29"/>
      <c r="Q31" s="29"/>
      <c r="R31" s="29"/>
      <c r="S31" s="29"/>
      <c r="T31" s="29"/>
    </row>
    <row r="32" spans="1:20">
      <c r="A32" s="125"/>
      <c r="B32" s="126"/>
      <c r="C32" s="127"/>
      <c r="F32" s="125"/>
      <c r="G32" s="126"/>
      <c r="H32" s="126"/>
      <c r="I32" s="126"/>
      <c r="J32" s="126"/>
      <c r="K32" s="126"/>
      <c r="L32" s="126"/>
      <c r="M32" s="126"/>
      <c r="N32" s="127"/>
      <c r="O32" s="66"/>
      <c r="P32" s="29"/>
      <c r="Q32" s="29"/>
      <c r="R32" s="29"/>
      <c r="S32" s="29"/>
      <c r="T32" s="29"/>
    </row>
    <row r="33" spans="1:20">
      <c r="A33" s="125"/>
      <c r="B33" s="126"/>
      <c r="C33" s="127"/>
      <c r="F33" s="125"/>
      <c r="G33" s="126"/>
      <c r="H33" s="126"/>
      <c r="I33" s="126"/>
      <c r="J33" s="126"/>
      <c r="K33" s="126"/>
      <c r="L33" s="126"/>
      <c r="M33" s="126"/>
      <c r="N33" s="127"/>
      <c r="O33" s="66"/>
      <c r="P33" s="29"/>
      <c r="Q33" s="29"/>
      <c r="R33" s="29"/>
      <c r="S33" s="29"/>
      <c r="T33" s="29"/>
    </row>
    <row r="34" spans="1:20">
      <c r="A34" s="125"/>
      <c r="B34" s="126"/>
      <c r="C34" s="127"/>
      <c r="F34" s="125"/>
      <c r="G34" s="126"/>
      <c r="H34" s="126"/>
      <c r="I34" s="126"/>
      <c r="J34" s="126"/>
      <c r="K34" s="126"/>
      <c r="L34" s="126"/>
      <c r="M34" s="126"/>
      <c r="N34" s="127"/>
      <c r="O34" s="66"/>
      <c r="P34" s="29"/>
      <c r="Q34" s="29"/>
      <c r="R34" s="29"/>
      <c r="S34" s="29"/>
      <c r="T34" s="29"/>
    </row>
    <row r="35" spans="1:20" ht="17.25" thickBot="1">
      <c r="A35" s="128"/>
      <c r="B35" s="129"/>
      <c r="C35" s="130"/>
      <c r="F35" s="128"/>
      <c r="G35" s="129"/>
      <c r="H35" s="129"/>
      <c r="I35" s="129"/>
      <c r="J35" s="129"/>
      <c r="K35" s="129"/>
      <c r="L35" s="129"/>
      <c r="M35" s="129"/>
      <c r="N35" s="130"/>
      <c r="O35" s="66"/>
      <c r="P35" s="29"/>
      <c r="Q35" s="29"/>
      <c r="R35" s="29"/>
      <c r="S35" s="29"/>
      <c r="T35" s="29"/>
    </row>
    <row r="36" spans="1:20">
      <c r="O36" s="66"/>
      <c r="P36" s="29"/>
      <c r="Q36" s="29"/>
      <c r="R36" s="29"/>
      <c r="S36" s="29"/>
      <c r="T36" s="29"/>
    </row>
    <row r="37" spans="1:20">
      <c r="O37" s="66"/>
      <c r="P37" s="29"/>
      <c r="Q37" s="29"/>
      <c r="R37" s="29"/>
      <c r="S37" s="29"/>
      <c r="T37" s="29"/>
    </row>
    <row r="38" spans="1:20">
      <c r="O38" s="66"/>
      <c r="P38" s="29"/>
      <c r="Q38" s="29"/>
      <c r="R38" s="29"/>
      <c r="S38" s="29"/>
      <c r="T38" s="29"/>
    </row>
  </sheetData>
  <mergeCells count="10">
    <mergeCell ref="A1:C1"/>
    <mergeCell ref="C3:C7"/>
    <mergeCell ref="C8:C12"/>
    <mergeCell ref="C13:C17"/>
    <mergeCell ref="E12:E16"/>
    <mergeCell ref="A30:C35"/>
    <mergeCell ref="F22:N35"/>
    <mergeCell ref="C21:C23"/>
    <mergeCell ref="P22:T22"/>
    <mergeCell ref="C26:C28"/>
  </mergeCells>
  <phoneticPr fontId="2" type="noConversion"/>
  <pageMargins left="0.25" right="0.25" top="0.75" bottom="0.75" header="0.3" footer="0.3"/>
  <pageSetup paperSize="9" scale="4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C29A-6BBF-4398-B63F-2DB6EF38A52F}">
  <dimension ref="A1:O54"/>
  <sheetViews>
    <sheetView zoomScaleNormal="100" workbookViewId="0">
      <selection activeCell="C32" sqref="C32"/>
    </sheetView>
  </sheetViews>
  <sheetFormatPr defaultRowHeight="16.5"/>
  <cols>
    <col min="1" max="1" width="29.375" customWidth="1"/>
    <col min="2" max="2" width="13.125" customWidth="1"/>
    <col min="3" max="3" width="27.25" customWidth="1"/>
    <col min="4" max="4" width="20.625" customWidth="1"/>
    <col min="6" max="6" width="9.625" customWidth="1"/>
    <col min="9" max="9" width="25.875" customWidth="1"/>
    <col min="10" max="10" width="18.25" customWidth="1"/>
    <col min="11" max="11" width="15.25" customWidth="1"/>
  </cols>
  <sheetData>
    <row r="1" spans="1:13" ht="28.5" customHeight="1" thickTop="1" thickBot="1">
      <c r="A1" s="4" t="s">
        <v>31</v>
      </c>
      <c r="B1" s="5" t="s">
        <v>5</v>
      </c>
      <c r="C1" s="6" t="s">
        <v>3</v>
      </c>
      <c r="D1" s="7" t="s">
        <v>4</v>
      </c>
      <c r="E1" s="7">
        <v>2</v>
      </c>
      <c r="F1" s="7">
        <v>3</v>
      </c>
      <c r="G1" s="7">
        <v>4</v>
      </c>
      <c r="H1" s="6">
        <v>5</v>
      </c>
      <c r="I1" s="6" t="s">
        <v>40</v>
      </c>
      <c r="J1" s="2"/>
    </row>
    <row r="2" spans="1:13" ht="17.25" thickTop="1">
      <c r="A2" s="149" t="str">
        <f xml:space="preserve"> '측정값 원본(수정금지)'!B23</f>
        <v>20 mL Syringe</v>
      </c>
      <c r="B2" s="151">
        <f>(20+$J$3)*$J$7</f>
        <v>2.5367999999999998E-2</v>
      </c>
      <c r="C2" s="30">
        <f>'측정값 원본(수정금지)'!C23*10^3+'단위 환산 및 완전수 정의(수정금지)'!$J$9</f>
        <v>131.01999999999998</v>
      </c>
      <c r="D2" s="8">
        <f xml:space="preserve"> '측정값 원본(수정금지)'!D23 + $J$3</f>
        <v>15.440000000000001</v>
      </c>
      <c r="E2" s="8">
        <f xml:space="preserve"> '측정값 원본(수정금지)'!E23 + $J$3</f>
        <v>15.440000000000001</v>
      </c>
      <c r="F2" s="8">
        <f xml:space="preserve"> '측정값 원본(수정금지)'!F23 + $J$3</f>
        <v>15.440000000000001</v>
      </c>
      <c r="G2" s="8">
        <f xml:space="preserve"> '측정값 원본(수정금지)'!G23 + $J$3</f>
        <v>15.440000000000001</v>
      </c>
      <c r="H2" s="31">
        <f xml:space="preserve"> '측정값 원본(수정금지)'!H23 + $J$3</f>
        <v>15.440000000000001</v>
      </c>
      <c r="I2" s="52">
        <f>O20^(-1)</f>
        <v>6.4935064935064929E-2</v>
      </c>
      <c r="J2" s="10" t="s">
        <v>2</v>
      </c>
    </row>
    <row r="3" spans="1:13">
      <c r="A3" s="132"/>
      <c r="B3" s="152"/>
      <c r="C3" s="32">
        <f>'측정값 원본(수정금지)'!C24*10^3+'단위 환산 및 완전수 정의(수정금지)'!$J$9</f>
        <v>151.01999999999998</v>
      </c>
      <c r="D3">
        <f xml:space="preserve"> '측정값 원본(수정금지)'!D24 + $J$3</f>
        <v>13.14</v>
      </c>
      <c r="E3">
        <f xml:space="preserve"> '측정값 원본(수정금지)'!E24 + $J$3</f>
        <v>13.14</v>
      </c>
      <c r="F3">
        <f xml:space="preserve"> '측정값 원본(수정금지)'!F24 + $J$3</f>
        <v>13.14</v>
      </c>
      <c r="G3">
        <f xml:space="preserve"> '측정값 원본(수정금지)'!G24 + $J$3</f>
        <v>13.14</v>
      </c>
      <c r="H3" s="33">
        <f xml:space="preserve"> '측정값 원본(수정금지)'!H24 + $J$3</f>
        <v>13.14</v>
      </c>
      <c r="I3" s="53">
        <f t="shared" ref="I3:I16" si="0">O21^(-1)</f>
        <v>7.6335877862595422E-2</v>
      </c>
      <c r="J3" s="11" t="str">
        <f>'측정값 원본(수정금지)'!J29</f>
        <v>1.14</v>
      </c>
    </row>
    <row r="4" spans="1:13">
      <c r="A4" s="132"/>
      <c r="B4" s="152"/>
      <c r="C4" s="32">
        <f>'측정값 원본(수정금지)'!C25*10^3+'단위 환산 및 완전수 정의(수정금지)'!$J$9</f>
        <v>171.01999999999998</v>
      </c>
      <c r="D4">
        <f xml:space="preserve"> '측정값 원본(수정금지)'!D25 + $J$3</f>
        <v>11.040000000000001</v>
      </c>
      <c r="E4">
        <f xml:space="preserve"> '측정값 원본(수정금지)'!E25 + $J$3</f>
        <v>11.14</v>
      </c>
      <c r="F4">
        <f xml:space="preserve"> '측정값 원본(수정금지)'!F25 + $J$3</f>
        <v>11.14</v>
      </c>
      <c r="G4">
        <f xml:space="preserve"> '측정값 원본(수정금지)'!G25 + $J$3</f>
        <v>11.14</v>
      </c>
      <c r="H4" s="33">
        <f xml:space="preserve"> '측정값 원본(수정금지)'!H25 + $J$3</f>
        <v>11.14</v>
      </c>
      <c r="I4" s="53">
        <f t="shared" si="0"/>
        <v>9.00900900900901E-2</v>
      </c>
      <c r="J4" s="12" t="s">
        <v>1</v>
      </c>
      <c r="L4">
        <f>(20+$J$3)</f>
        <v>21.14</v>
      </c>
      <c r="M4">
        <f>L4*$J$7</f>
        <v>2.5367999999999998E-2</v>
      </c>
    </row>
    <row r="5" spans="1:13">
      <c r="A5" s="132"/>
      <c r="B5" s="152"/>
      <c r="C5" s="32">
        <f>'측정값 원본(수정금지)'!C26*10^3+'단위 환산 및 완전수 정의(수정금지)'!$J$9</f>
        <v>191.01999999999998</v>
      </c>
      <c r="D5">
        <f xml:space="preserve"> '측정값 원본(수정금지)'!D26 + $J$3</f>
        <v>9.34</v>
      </c>
      <c r="E5">
        <f xml:space="preserve"> '측정값 원본(수정금지)'!E26 + $J$3</f>
        <v>9.34</v>
      </c>
      <c r="F5">
        <f xml:space="preserve"> '측정값 원본(수정금지)'!F26 + $J$3</f>
        <v>9.34</v>
      </c>
      <c r="G5">
        <f xml:space="preserve"> '측정값 원본(수정금지)'!G26 + $J$3</f>
        <v>9.34</v>
      </c>
      <c r="H5" s="33">
        <f xml:space="preserve"> '측정값 원본(수정금지)'!H26 + $J$3</f>
        <v>9.34</v>
      </c>
      <c r="I5" s="53">
        <f t="shared" si="0"/>
        <v>0.1075268817204301</v>
      </c>
      <c r="J5" s="12" t="str">
        <f>'측정값 원본(수정금지)'!K29</f>
        <v>294.50</v>
      </c>
      <c r="L5">
        <f>(50+$J$3)</f>
        <v>51.14</v>
      </c>
      <c r="M5">
        <f t="shared" ref="M5:M6" si="1">L5*$J$7</f>
        <v>6.1367999999999992E-2</v>
      </c>
    </row>
    <row r="6" spans="1:13">
      <c r="A6" s="150"/>
      <c r="B6" s="153"/>
      <c r="C6" s="34">
        <f>'측정값 원본(수정금지)'!C27*10^3+'단위 환산 및 완전수 정의(수정금지)'!$J$9</f>
        <v>221.01999999999998</v>
      </c>
      <c r="D6" s="35">
        <f xml:space="preserve"> '측정값 원본(수정금지)'!D27 + $J$3</f>
        <v>7.64</v>
      </c>
      <c r="E6" s="35">
        <f xml:space="preserve"> '측정값 원본(수정금지)'!E27 + $J$3</f>
        <v>7.64</v>
      </c>
      <c r="F6" s="35">
        <f xml:space="preserve"> '측정값 원본(수정금지)'!F27 + $J$3</f>
        <v>7.64</v>
      </c>
      <c r="G6" s="35">
        <f xml:space="preserve"> '측정값 원본(수정금지)'!G27 + $J$3</f>
        <v>7.64</v>
      </c>
      <c r="H6" s="36">
        <f xml:space="preserve"> '측정값 원본(수정금지)'!H27 + $J$3</f>
        <v>7.64</v>
      </c>
      <c r="I6" s="54">
        <f t="shared" si="0"/>
        <v>0.13157894736842105</v>
      </c>
      <c r="J6" s="13" t="s">
        <v>0</v>
      </c>
      <c r="L6">
        <f>(100+$J$3)</f>
        <v>101.14</v>
      </c>
      <c r="M6">
        <f t="shared" si="1"/>
        <v>0.12136799999999999</v>
      </c>
    </row>
    <row r="7" spans="1:13">
      <c r="A7" s="131" t="str">
        <f xml:space="preserve"> '측정값 원본(수정금지)'!B28</f>
        <v>50 mL Syringe</v>
      </c>
      <c r="B7" s="131">
        <f>(50+$J$3)*$J$7</f>
        <v>6.1367999999999992E-2</v>
      </c>
      <c r="C7" s="37">
        <f>'측정값 원본(수정금지)'!C28*10^3+'단위 환산 및 완전수 정의(수정금지)'!$J$9</f>
        <v>131.01999999999998</v>
      </c>
      <c r="D7" s="38">
        <f xml:space="preserve"> '측정값 원본(수정금지)'!D28 + $J$3</f>
        <v>39.94</v>
      </c>
      <c r="E7" s="38">
        <f xml:space="preserve"> '측정값 원본(수정금지)'!E28 + $J$3</f>
        <v>39.14</v>
      </c>
      <c r="F7" s="38">
        <f xml:space="preserve"> '측정값 원본(수정금지)'!F28 + $J$3</f>
        <v>39.64</v>
      </c>
      <c r="G7" s="38">
        <f xml:space="preserve"> '측정값 원본(수정금지)'!G28 + $J$3</f>
        <v>39.44</v>
      </c>
      <c r="H7" s="39">
        <f xml:space="preserve"> '측정값 원본(수정금지)'!H28 + $J$3</f>
        <v>39.64</v>
      </c>
      <c r="I7" s="55">
        <f t="shared" si="0"/>
        <v>2.5316455696202531E-2</v>
      </c>
      <c r="J7" s="13">
        <v>1.1999999999999999E-3</v>
      </c>
    </row>
    <row r="8" spans="1:13">
      <c r="A8" s="132"/>
      <c r="B8" s="132"/>
      <c r="C8" s="32">
        <f>'측정값 원본(수정금지)'!C29*10^3+'단위 환산 및 완전수 정의(수정금지)'!$J$9</f>
        <v>151.01999999999998</v>
      </c>
      <c r="D8">
        <f xml:space="preserve"> '측정값 원본(수정금지)'!D29 + $J$3</f>
        <v>33.64</v>
      </c>
      <c r="E8">
        <f xml:space="preserve"> '측정값 원본(수정금지)'!E29 + $J$3</f>
        <v>33.64</v>
      </c>
      <c r="F8">
        <f xml:space="preserve"> '측정값 원본(수정금지)'!F29 + $J$3</f>
        <v>33.64</v>
      </c>
      <c r="G8">
        <f xml:space="preserve"> '측정값 원본(수정금지)'!G29 + $J$3</f>
        <v>33.64</v>
      </c>
      <c r="H8" s="33">
        <f xml:space="preserve"> '측정값 원본(수정금지)'!H29 + $J$3</f>
        <v>33.64</v>
      </c>
      <c r="I8" s="53">
        <f t="shared" si="0"/>
        <v>2.976190476190476E-2</v>
      </c>
      <c r="J8" s="14" t="s">
        <v>6</v>
      </c>
    </row>
    <row r="9" spans="1:13" ht="17.25" thickBot="1">
      <c r="A9" s="132"/>
      <c r="B9" s="132"/>
      <c r="C9" s="32">
        <f>'측정값 원본(수정금지)'!C30*10^3+'단위 환산 및 완전수 정의(수정금지)'!$J$9</f>
        <v>171.01999999999998</v>
      </c>
      <c r="D9">
        <f xml:space="preserve"> '측정값 원본(수정금지)'!D30 + $J$3</f>
        <v>29.14</v>
      </c>
      <c r="E9">
        <f xml:space="preserve"> '측정값 원본(수정금지)'!E30 + $J$3</f>
        <v>29.14</v>
      </c>
      <c r="F9">
        <f xml:space="preserve"> '측정값 원본(수정금지)'!F30 + $J$3</f>
        <v>29.14</v>
      </c>
      <c r="G9">
        <f xml:space="preserve"> '측정값 원본(수정금지)'!G30 + $J$3</f>
        <v>29.14</v>
      </c>
      <c r="H9" s="33">
        <f xml:space="preserve"> '측정값 원본(수정금지)'!H30 + $J$3</f>
        <v>29.14</v>
      </c>
      <c r="I9" s="53">
        <f t="shared" si="0"/>
        <v>3.4364261168384876E-2</v>
      </c>
      <c r="J9" s="15">
        <v>101.02</v>
      </c>
    </row>
    <row r="10" spans="1:13" ht="17.25" thickTop="1">
      <c r="A10" s="132"/>
      <c r="B10" s="132"/>
      <c r="C10" s="32">
        <f>'측정값 원본(수정금지)'!C31*10^3+'단위 환산 및 완전수 정의(수정금지)'!$J$9</f>
        <v>191.01999999999998</v>
      </c>
      <c r="D10">
        <f xml:space="preserve"> '측정값 원본(수정금지)'!D31 + $J$3</f>
        <v>25.64</v>
      </c>
      <c r="E10">
        <f xml:space="preserve"> '측정값 원본(수정금지)'!E31 + $J$3</f>
        <v>25.64</v>
      </c>
      <c r="F10">
        <f xml:space="preserve"> '측정값 원본(수정금지)'!F31 + $J$3</f>
        <v>25.14</v>
      </c>
      <c r="G10">
        <f xml:space="preserve"> '측정값 원본(수정금지)'!G31 + $J$3</f>
        <v>25.64</v>
      </c>
      <c r="H10" s="33">
        <f xml:space="preserve"> '측정값 원본(수정금지)'!H31 + $J$3</f>
        <v>25.64</v>
      </c>
      <c r="I10" s="53">
        <f t="shared" si="0"/>
        <v>3.9215686274509803E-2</v>
      </c>
      <c r="J10" s="3"/>
    </row>
    <row r="11" spans="1:13">
      <c r="A11" s="150"/>
      <c r="B11" s="150"/>
      <c r="C11" s="34">
        <f>'측정값 원본(수정금지)'!C32*10^3+'단위 환산 및 완전수 정의(수정금지)'!$J$9</f>
        <v>221.01999999999998</v>
      </c>
      <c r="D11" s="35">
        <f xml:space="preserve"> '측정값 원본(수정금지)'!D32 + $J$3</f>
        <v>21.14</v>
      </c>
      <c r="E11" s="35">
        <f xml:space="preserve"> '측정값 원본(수정금지)'!E32 + $J$3</f>
        <v>21.64</v>
      </c>
      <c r="F11" s="35">
        <f xml:space="preserve"> '측정값 원본(수정금지)'!F32 + $J$3</f>
        <v>21.240000000000002</v>
      </c>
      <c r="G11" s="35">
        <f xml:space="preserve"> '측정값 원본(수정금지)'!G32 + $J$3</f>
        <v>21.64</v>
      </c>
      <c r="H11" s="36">
        <f xml:space="preserve"> '측정값 원본(수정금지)'!H32 + $J$3</f>
        <v>21.64</v>
      </c>
      <c r="I11" s="54">
        <f t="shared" si="0"/>
        <v>4.6728971962616828E-2</v>
      </c>
    </row>
    <row r="12" spans="1:13">
      <c r="A12" s="131" t="str">
        <f xml:space="preserve"> '측정값 원본(수정금지)'!B33</f>
        <v>100 mL Syringe</v>
      </c>
      <c r="B12" s="131">
        <f>(100+$J$3)*$J$7</f>
        <v>0.12136799999999999</v>
      </c>
      <c r="C12" s="32">
        <f>'측정값 원본(수정금지)'!C33*10^3+'단위 환산 및 완전수 정의(수정금지)'!$J$9</f>
        <v>131.01999999999998</v>
      </c>
      <c r="D12">
        <f xml:space="preserve"> '측정값 원본(수정금지)'!D33 + $J$3</f>
        <v>79.14</v>
      </c>
      <c r="E12">
        <f xml:space="preserve"> '측정값 원본(수정금지)'!E33 + $J$3</f>
        <v>79.14</v>
      </c>
      <c r="F12">
        <f xml:space="preserve"> '측정값 원본(수정금지)'!F33 + $J$3</f>
        <v>79.14</v>
      </c>
      <c r="G12">
        <f xml:space="preserve"> '측정값 원본(수정금지)'!G33 + $J$3</f>
        <v>79.14</v>
      </c>
      <c r="H12" s="33">
        <f xml:space="preserve"> '측정값 원본(수정금지)'!H33 + $J$3</f>
        <v>79.14</v>
      </c>
      <c r="I12" s="53">
        <f t="shared" si="0"/>
        <v>1.2642225031605564E-2</v>
      </c>
      <c r="J12" s="144" t="s">
        <v>21</v>
      </c>
    </row>
    <row r="13" spans="1:13">
      <c r="A13" s="132"/>
      <c r="B13" s="132"/>
      <c r="C13" s="32">
        <f>'측정값 원본(수정금지)'!C34*10^3+'단위 환산 및 완전수 정의(수정금지)'!$J$9</f>
        <v>151.01999999999998</v>
      </c>
      <c r="D13">
        <f xml:space="preserve"> '측정값 원본(수정금지)'!D34 + $J$3</f>
        <v>67.14</v>
      </c>
      <c r="E13">
        <f xml:space="preserve"> '측정값 원본(수정금지)'!E34 + $J$3</f>
        <v>68.14</v>
      </c>
      <c r="F13">
        <f xml:space="preserve"> '측정값 원본(수정금지)'!F34 + $J$3</f>
        <v>68.14</v>
      </c>
      <c r="G13">
        <f xml:space="preserve"> '측정값 원본(수정금지)'!G34 + $J$3</f>
        <v>68.14</v>
      </c>
      <c r="H13" s="33">
        <f xml:space="preserve"> '측정값 원본(수정금지)'!H34 + $J$3</f>
        <v>68.14</v>
      </c>
      <c r="I13" s="53">
        <f t="shared" si="0"/>
        <v>1.4727540500736375E-2</v>
      </c>
      <c r="J13" s="145"/>
    </row>
    <row r="14" spans="1:13">
      <c r="A14" s="132"/>
      <c r="B14" s="132"/>
      <c r="C14" s="32">
        <f>'측정값 원본(수정금지)'!C35*10^3+'단위 환산 및 완전수 정의(수정금지)'!$J$9</f>
        <v>171.01999999999998</v>
      </c>
      <c r="D14">
        <f xml:space="preserve"> '측정값 원본(수정금지)'!D35 + $J$3</f>
        <v>59.14</v>
      </c>
      <c r="E14">
        <f xml:space="preserve"> '측정값 원본(수정금지)'!E35 + $J$3</f>
        <v>59.14</v>
      </c>
      <c r="F14">
        <f xml:space="preserve"> '측정값 원본(수정금지)'!F35 + $J$3</f>
        <v>59.14</v>
      </c>
      <c r="G14">
        <f xml:space="preserve"> '측정값 원본(수정금지)'!G35 + $J$3</f>
        <v>59.14</v>
      </c>
      <c r="H14" s="33">
        <f xml:space="preserve"> '측정값 원본(수정금지)'!H35 + $J$3</f>
        <v>59.14</v>
      </c>
      <c r="I14" s="53">
        <f t="shared" si="0"/>
        <v>1.6920473773265651E-2</v>
      </c>
      <c r="J14" s="145"/>
    </row>
    <row r="15" spans="1:13">
      <c r="A15" s="132"/>
      <c r="B15" s="132"/>
      <c r="C15" s="32">
        <f>'측정값 원본(수정금지)'!C36*10^3+'단위 환산 및 완전수 정의(수정금지)'!$J$9</f>
        <v>191.01999999999998</v>
      </c>
      <c r="D15">
        <f xml:space="preserve"> '측정값 원본(수정금지)'!D36 + $J$3</f>
        <v>52.14</v>
      </c>
      <c r="E15">
        <f xml:space="preserve"> '측정값 원본(수정금지)'!E36 + $J$3</f>
        <v>52.14</v>
      </c>
      <c r="F15">
        <f xml:space="preserve"> '측정값 원본(수정금지)'!F36 + $J$3</f>
        <v>52.14</v>
      </c>
      <c r="G15">
        <f xml:space="preserve"> '측정값 원본(수정금지)'!G36 + $J$3</f>
        <v>52.14</v>
      </c>
      <c r="H15" s="33">
        <f xml:space="preserve"> '측정값 원본(수정금지)'!H36 + $J$3</f>
        <v>52.14</v>
      </c>
      <c r="I15" s="53">
        <f t="shared" si="0"/>
        <v>1.9193857965451054E-2</v>
      </c>
      <c r="J15" s="145"/>
    </row>
    <row r="16" spans="1:13" ht="17.25" thickBot="1">
      <c r="A16" s="133"/>
      <c r="B16" s="133"/>
      <c r="C16" s="40">
        <f>'측정값 원본(수정금지)'!C37*10^3+'단위 환산 및 완전수 정의(수정금지)'!$J$9</f>
        <v>221.01999999999998</v>
      </c>
      <c r="D16" s="41">
        <f xml:space="preserve"> '측정값 원본(수정금지)'!D37 + $J$3</f>
        <v>43.14</v>
      </c>
      <c r="E16" s="41">
        <f xml:space="preserve"> '측정값 원본(수정금지)'!E37 + $J$3</f>
        <v>44.14</v>
      </c>
      <c r="F16" s="41">
        <f xml:space="preserve"> '측정값 원본(수정금지)'!F37 + $J$3</f>
        <v>44.14</v>
      </c>
      <c r="G16" s="41">
        <f xml:space="preserve"> '측정값 원본(수정금지)'!G37 + $J$3</f>
        <v>45.14</v>
      </c>
      <c r="H16" s="42">
        <f xml:space="preserve"> '측정값 원본(수정금지)'!H37 + $J$3</f>
        <v>44.14</v>
      </c>
      <c r="I16" s="56">
        <f t="shared" si="0"/>
        <v>2.2675736961451247E-2</v>
      </c>
      <c r="J16" s="145"/>
    </row>
    <row r="17" spans="1:15" ht="18" thickTop="1" thickBot="1">
      <c r="D17" s="8"/>
    </row>
    <row r="18" spans="1:15" ht="18" thickTop="1" thickBot="1">
      <c r="A18" s="57" t="s">
        <v>38</v>
      </c>
      <c r="B18" s="58" t="s">
        <v>38</v>
      </c>
      <c r="C18" s="58" t="s">
        <v>38</v>
      </c>
      <c r="D18" s="146" t="s">
        <v>38</v>
      </c>
      <c r="E18" s="147"/>
      <c r="F18" s="147"/>
      <c r="G18" s="147"/>
      <c r="H18" s="148"/>
      <c r="I18" s="58" t="s">
        <v>38</v>
      </c>
      <c r="J18" s="58" t="s">
        <v>131</v>
      </c>
    </row>
    <row r="19" spans="1:15" ht="18" thickTop="1" thickBot="1">
      <c r="A19" s="90" t="s">
        <v>30</v>
      </c>
      <c r="B19" s="6" t="s">
        <v>5</v>
      </c>
      <c r="C19" s="6" t="s">
        <v>3</v>
      </c>
      <c r="D19" s="7" t="s">
        <v>39</v>
      </c>
      <c r="E19" s="7">
        <v>2</v>
      </c>
      <c r="F19" s="7">
        <v>3</v>
      </c>
      <c r="G19" s="7">
        <v>4</v>
      </c>
      <c r="H19" s="6">
        <v>5</v>
      </c>
      <c r="I19" s="6" t="s">
        <v>101</v>
      </c>
      <c r="J19" s="6" t="s">
        <v>129</v>
      </c>
    </row>
    <row r="20" spans="1:15" ht="17.25" thickTop="1">
      <c r="A20" s="149" t="str">
        <f t="shared" ref="A20" si="2">A2</f>
        <v>20 mL Syringe</v>
      </c>
      <c r="B20" s="151" t="str">
        <f>FIXED(B2,4-(1+INT(LOG10(ABS(B2)))))</f>
        <v>0.02537</v>
      </c>
      <c r="C20" s="52" t="str">
        <f>FIXED(C2,3-(1+INT(LOG10(ABS(C2)))))</f>
        <v>131</v>
      </c>
      <c r="D20" s="43">
        <f>FIXED(D2,3-(1+INT(LOG10(ABS(D2)))))+0</f>
        <v>15.4</v>
      </c>
      <c r="E20" s="43">
        <f t="shared" ref="E20:H20" si="3">FIXED(E2,3-(1+INT(LOG10(ABS(E2)))))+0</f>
        <v>15.4</v>
      </c>
      <c r="F20" s="43">
        <f t="shared" si="3"/>
        <v>15.4</v>
      </c>
      <c r="G20" s="43">
        <f t="shared" si="3"/>
        <v>15.4</v>
      </c>
      <c r="H20" s="44">
        <f t="shared" ref="D20:H21" si="4">FIXED(H2,3-(1+INT(LOG10(ABS(H2)))))+0</f>
        <v>15.4</v>
      </c>
      <c r="I20" s="52" t="str">
        <f>O20</f>
        <v>15.4</v>
      </c>
      <c r="J20" s="185">
        <f>L40</f>
        <v>0</v>
      </c>
      <c r="L20">
        <f>(D20+E20+F20+G20+H20)</f>
        <v>77</v>
      </c>
      <c r="M20" s="29" t="str">
        <f>FIXED(L20,3-(1+INT(LOG10(ABS(L20)))))</f>
        <v>77.0</v>
      </c>
      <c r="N20">
        <f>M20/5</f>
        <v>15.4</v>
      </c>
      <c r="O20" s="29" t="str">
        <f>FIXED(N20,3-(1+INT(LOG10(ABS(N20)))))</f>
        <v>15.4</v>
      </c>
    </row>
    <row r="21" spans="1:15">
      <c r="A21" s="132"/>
      <c r="B21" s="152"/>
      <c r="C21" s="53" t="str">
        <f t="shared" ref="C21:C34" si="5">FIXED(C3,3-(1+INT(LOG10(ABS(C3)))))</f>
        <v>151</v>
      </c>
      <c r="D21" s="29">
        <f t="shared" si="4"/>
        <v>13.1</v>
      </c>
      <c r="E21" s="29">
        <f t="shared" si="4"/>
        <v>13.1</v>
      </c>
      <c r="F21" s="29">
        <f t="shared" si="4"/>
        <v>13.1</v>
      </c>
      <c r="G21" s="29">
        <f t="shared" si="4"/>
        <v>13.1</v>
      </c>
      <c r="H21" s="45">
        <f t="shared" si="4"/>
        <v>13.1</v>
      </c>
      <c r="I21" s="53" t="str">
        <f t="shared" ref="I21:J34" si="6">O21</f>
        <v>13.1</v>
      </c>
      <c r="J21" s="186">
        <f t="shared" ref="J21:J34" si="7">L41</f>
        <v>0</v>
      </c>
      <c r="L21">
        <f t="shared" ref="L21:L34" si="8">(D21+E21+F21+G21+H21)</f>
        <v>65.5</v>
      </c>
      <c r="M21" s="29" t="str">
        <f t="shared" ref="M21:M24" si="9">FIXED(L21,3-(1+INT(LOG10(ABS(L21)))))</f>
        <v>65.5</v>
      </c>
      <c r="N21">
        <f t="shared" ref="N21:N34" si="10">M21/5</f>
        <v>13.1</v>
      </c>
      <c r="O21" s="29" t="str">
        <f t="shared" ref="O21:O34" si="11">FIXED(N21,3-(1+INT(LOG10(ABS(N21)))))</f>
        <v>13.1</v>
      </c>
    </row>
    <row r="22" spans="1:15">
      <c r="A22" s="132"/>
      <c r="B22" s="152"/>
      <c r="C22" s="53" t="str">
        <f t="shared" si="5"/>
        <v>171</v>
      </c>
      <c r="D22" s="29">
        <f t="shared" ref="D22:H22" si="12">FIXED(D4,3-(1+INT(LOG10(ABS(D4)))))+0</f>
        <v>11</v>
      </c>
      <c r="E22" s="29">
        <f t="shared" si="12"/>
        <v>11.1</v>
      </c>
      <c r="F22" s="29">
        <f t="shared" si="12"/>
        <v>11.1</v>
      </c>
      <c r="G22" s="29">
        <f t="shared" si="12"/>
        <v>11.1</v>
      </c>
      <c r="H22" s="45">
        <f t="shared" si="12"/>
        <v>11.1</v>
      </c>
      <c r="I22" s="53" t="str">
        <f t="shared" si="6"/>
        <v>11.1</v>
      </c>
      <c r="J22" s="186">
        <f t="shared" si="7"/>
        <v>1.9999999999999928E-2</v>
      </c>
      <c r="L22">
        <f t="shared" si="8"/>
        <v>55.400000000000006</v>
      </c>
      <c r="M22" s="29" t="str">
        <f t="shared" si="9"/>
        <v>55.4</v>
      </c>
      <c r="N22">
        <f t="shared" si="10"/>
        <v>11.08</v>
      </c>
      <c r="O22" s="29" t="str">
        <f t="shared" si="11"/>
        <v>11.1</v>
      </c>
    </row>
    <row r="23" spans="1:15">
      <c r="A23" s="132"/>
      <c r="B23" s="152"/>
      <c r="C23" s="53" t="str">
        <f t="shared" si="5"/>
        <v>191</v>
      </c>
      <c r="D23" s="29">
        <f t="shared" ref="D23:H23" si="13">FIXED(D5,3-(1+INT(LOG10(ABS(D5)))))+0</f>
        <v>9.34</v>
      </c>
      <c r="E23" s="29">
        <f t="shared" si="13"/>
        <v>9.34</v>
      </c>
      <c r="F23" s="29">
        <f t="shared" si="13"/>
        <v>9.34</v>
      </c>
      <c r="G23" s="29">
        <f t="shared" si="13"/>
        <v>9.34</v>
      </c>
      <c r="H23" s="45">
        <f t="shared" si="13"/>
        <v>9.34</v>
      </c>
      <c r="I23" s="53" t="str">
        <f t="shared" si="6"/>
        <v>9.3</v>
      </c>
      <c r="J23" s="186">
        <f t="shared" si="7"/>
        <v>0</v>
      </c>
      <c r="L23">
        <f t="shared" si="8"/>
        <v>46.7</v>
      </c>
      <c r="M23" s="29" t="str">
        <f t="shared" si="9"/>
        <v>46.7</v>
      </c>
      <c r="N23">
        <f t="shared" si="10"/>
        <v>9.34</v>
      </c>
      <c r="O23" s="29" t="str">
        <f>FIXED(N23,2-(1+INT(LOG10(ABS(N23)))))</f>
        <v>9.3</v>
      </c>
    </row>
    <row r="24" spans="1:15">
      <c r="A24" s="150"/>
      <c r="B24" s="153"/>
      <c r="C24" s="54" t="str">
        <f t="shared" si="5"/>
        <v>221</v>
      </c>
      <c r="D24" s="46">
        <f t="shared" ref="D24:H24" si="14">FIXED(D6,3-(1+INT(LOG10(ABS(D6)))))+0</f>
        <v>7.64</v>
      </c>
      <c r="E24" s="46">
        <f t="shared" si="14"/>
        <v>7.64</v>
      </c>
      <c r="F24" s="46">
        <f t="shared" si="14"/>
        <v>7.64</v>
      </c>
      <c r="G24" s="46">
        <f t="shared" si="14"/>
        <v>7.64</v>
      </c>
      <c r="H24" s="47">
        <f t="shared" si="14"/>
        <v>7.64</v>
      </c>
      <c r="I24" s="54" t="str">
        <f t="shared" si="6"/>
        <v>7.6</v>
      </c>
      <c r="J24" s="187">
        <f t="shared" si="7"/>
        <v>4.4408920985006262E-16</v>
      </c>
      <c r="L24">
        <f t="shared" si="8"/>
        <v>38.199999999999996</v>
      </c>
      <c r="M24" s="29" t="str">
        <f t="shared" si="9"/>
        <v>38.2</v>
      </c>
      <c r="N24">
        <f t="shared" si="10"/>
        <v>7.6400000000000006</v>
      </c>
      <c r="O24" s="29" t="str">
        <f>FIXED(N24,2-(1+INT(LOG10(ABS(N24)))))</f>
        <v>7.6</v>
      </c>
    </row>
    <row r="25" spans="1:15">
      <c r="A25" s="131" t="str">
        <f t="shared" ref="A25" si="15">A7</f>
        <v>50 mL Syringe</v>
      </c>
      <c r="B25" s="131" t="str">
        <f>FIXED(B7,4-(1+INT(LOG10(ABS(B7)))))</f>
        <v>0.06137</v>
      </c>
      <c r="C25" s="55" t="str">
        <f t="shared" si="5"/>
        <v>131</v>
      </c>
      <c r="D25" s="48">
        <f t="shared" ref="D25:H25" si="16">FIXED(D7,3-(1+INT(LOG10(ABS(D7)))))+0</f>
        <v>39.9</v>
      </c>
      <c r="E25" s="48">
        <f t="shared" si="16"/>
        <v>39.1</v>
      </c>
      <c r="F25" s="48">
        <f t="shared" si="16"/>
        <v>39.6</v>
      </c>
      <c r="G25" s="48">
        <f t="shared" si="16"/>
        <v>39.4</v>
      </c>
      <c r="H25" s="49">
        <f t="shared" si="16"/>
        <v>39.6</v>
      </c>
      <c r="I25" s="55" t="str">
        <f t="shared" si="6"/>
        <v>39.5</v>
      </c>
      <c r="J25" s="188">
        <f t="shared" si="7"/>
        <v>0.13190905958272889</v>
      </c>
      <c r="L25">
        <f t="shared" si="8"/>
        <v>197.6</v>
      </c>
      <c r="M25" s="29" t="str">
        <f>FIXED(L25,4-(1+INT(LOG10(ABS(L25)))))</f>
        <v>197.6</v>
      </c>
      <c r="N25">
        <f t="shared" si="10"/>
        <v>39.519999999999996</v>
      </c>
      <c r="O25" s="29" t="str">
        <f t="shared" si="11"/>
        <v>39.5</v>
      </c>
    </row>
    <row r="26" spans="1:15">
      <c r="A26" s="132"/>
      <c r="B26" s="132"/>
      <c r="C26" s="53" t="str">
        <f t="shared" si="5"/>
        <v>151</v>
      </c>
      <c r="D26" s="29">
        <f t="shared" ref="D26:H26" si="17">FIXED(D8,3-(1+INT(LOG10(ABS(D8)))))+0</f>
        <v>33.6</v>
      </c>
      <c r="E26" s="29">
        <f t="shared" si="17"/>
        <v>33.6</v>
      </c>
      <c r="F26" s="29">
        <f t="shared" si="17"/>
        <v>33.6</v>
      </c>
      <c r="G26" s="29">
        <f t="shared" si="17"/>
        <v>33.6</v>
      </c>
      <c r="H26" s="45">
        <f t="shared" si="17"/>
        <v>33.6</v>
      </c>
      <c r="I26" s="53" t="str">
        <f t="shared" si="6"/>
        <v>33.6</v>
      </c>
      <c r="J26" s="186">
        <f t="shared" si="7"/>
        <v>0</v>
      </c>
      <c r="L26">
        <f t="shared" si="8"/>
        <v>168</v>
      </c>
      <c r="M26" s="29" t="str">
        <f t="shared" ref="M26:M34" si="18">FIXED(L26,4-(1+INT(LOG10(ABS(L26)))))</f>
        <v>168.0</v>
      </c>
      <c r="N26">
        <f t="shared" si="10"/>
        <v>33.6</v>
      </c>
      <c r="O26" s="29" t="str">
        <f t="shared" si="11"/>
        <v>33.6</v>
      </c>
    </row>
    <row r="27" spans="1:15">
      <c r="A27" s="132"/>
      <c r="B27" s="132"/>
      <c r="C27" s="53" t="str">
        <f t="shared" si="5"/>
        <v>171</v>
      </c>
      <c r="D27" s="29">
        <f t="shared" ref="D27:H27" si="19">FIXED(D9,3-(1+INT(LOG10(ABS(D9)))))+0</f>
        <v>29.1</v>
      </c>
      <c r="E27" s="29">
        <f t="shared" si="19"/>
        <v>29.1</v>
      </c>
      <c r="F27" s="29">
        <f t="shared" si="19"/>
        <v>29.1</v>
      </c>
      <c r="G27" s="29">
        <f t="shared" si="19"/>
        <v>29.1</v>
      </c>
      <c r="H27" s="45">
        <f t="shared" si="19"/>
        <v>29.1</v>
      </c>
      <c r="I27" s="53" t="str">
        <f t="shared" si="6"/>
        <v>29.1</v>
      </c>
      <c r="J27" s="186">
        <f t="shared" si="7"/>
        <v>0</v>
      </c>
      <c r="L27">
        <f t="shared" si="8"/>
        <v>145.5</v>
      </c>
      <c r="M27" s="29" t="str">
        <f t="shared" si="18"/>
        <v>145.5</v>
      </c>
      <c r="N27">
        <f t="shared" si="10"/>
        <v>29.1</v>
      </c>
      <c r="O27" s="29" t="str">
        <f t="shared" si="11"/>
        <v>29.1</v>
      </c>
    </row>
    <row r="28" spans="1:15">
      <c r="A28" s="132"/>
      <c r="B28" s="132"/>
      <c r="C28" s="53" t="str">
        <f t="shared" si="5"/>
        <v>191</v>
      </c>
      <c r="D28" s="29">
        <f t="shared" ref="D28:H28" si="20">FIXED(D10,3-(1+INT(LOG10(ABS(D10)))))+0</f>
        <v>25.6</v>
      </c>
      <c r="E28" s="29">
        <f t="shared" si="20"/>
        <v>25.6</v>
      </c>
      <c r="F28" s="29">
        <f t="shared" si="20"/>
        <v>25.1</v>
      </c>
      <c r="G28" s="29">
        <f t="shared" si="20"/>
        <v>25.6</v>
      </c>
      <c r="H28" s="45">
        <f t="shared" si="20"/>
        <v>25.6</v>
      </c>
      <c r="I28" s="53" t="str">
        <f t="shared" si="6"/>
        <v>25.5</v>
      </c>
      <c r="J28" s="186">
        <f t="shared" si="7"/>
        <v>9.9999999999999992E-2</v>
      </c>
      <c r="L28">
        <f t="shared" si="8"/>
        <v>127.5</v>
      </c>
      <c r="M28" s="29" t="str">
        <f t="shared" si="18"/>
        <v>127.5</v>
      </c>
      <c r="N28">
        <f t="shared" si="10"/>
        <v>25.5</v>
      </c>
      <c r="O28" s="29" t="str">
        <f t="shared" si="11"/>
        <v>25.5</v>
      </c>
    </row>
    <row r="29" spans="1:15">
      <c r="A29" s="150"/>
      <c r="B29" s="150"/>
      <c r="C29" s="54" t="str">
        <f t="shared" si="5"/>
        <v>221</v>
      </c>
      <c r="D29" s="46">
        <f t="shared" ref="D29:H29" si="21">FIXED(D11,3-(1+INT(LOG10(ABS(D11)))))+0</f>
        <v>21.1</v>
      </c>
      <c r="E29" s="46">
        <f t="shared" si="21"/>
        <v>21.6</v>
      </c>
      <c r="F29" s="46">
        <f t="shared" si="21"/>
        <v>21.2</v>
      </c>
      <c r="G29" s="46">
        <f t="shared" si="21"/>
        <v>21.6</v>
      </c>
      <c r="H29" s="47">
        <f t="shared" si="21"/>
        <v>21.6</v>
      </c>
      <c r="I29" s="54" t="str">
        <f t="shared" si="6"/>
        <v>21.4</v>
      </c>
      <c r="J29" s="187">
        <f t="shared" si="7"/>
        <v>0.11135528725660064</v>
      </c>
      <c r="L29">
        <f t="shared" si="8"/>
        <v>107.1</v>
      </c>
      <c r="M29" s="29" t="str">
        <f t="shared" si="18"/>
        <v>107.1</v>
      </c>
      <c r="N29">
        <f t="shared" si="10"/>
        <v>21.419999999999998</v>
      </c>
      <c r="O29" s="29" t="str">
        <f t="shared" si="11"/>
        <v>21.4</v>
      </c>
    </row>
    <row r="30" spans="1:15">
      <c r="A30" s="131" t="str">
        <f t="shared" ref="A30" si="22">A12</f>
        <v>100 mL Syringe</v>
      </c>
      <c r="B30" s="131" t="str">
        <f>FIXED(B12,5-(1+INT(LOG10(ABS(B12)))))</f>
        <v>0.12137</v>
      </c>
      <c r="C30" s="53" t="str">
        <f t="shared" si="5"/>
        <v>131</v>
      </c>
      <c r="D30" s="29">
        <f t="shared" ref="D30:H30" si="23">FIXED(D12,3-(1+INT(LOG10(ABS(D12)))))+0</f>
        <v>79.099999999999994</v>
      </c>
      <c r="E30" s="29">
        <f t="shared" si="23"/>
        <v>79.099999999999994</v>
      </c>
      <c r="F30" s="29">
        <f t="shared" si="23"/>
        <v>79.099999999999994</v>
      </c>
      <c r="G30" s="29">
        <f t="shared" si="23"/>
        <v>79.099999999999994</v>
      </c>
      <c r="H30" s="45">
        <f t="shared" si="23"/>
        <v>79.099999999999994</v>
      </c>
      <c r="I30" s="53" t="str">
        <f t="shared" si="6"/>
        <v>79.1</v>
      </c>
      <c r="J30" s="186">
        <f t="shared" si="7"/>
        <v>0</v>
      </c>
      <c r="L30">
        <f t="shared" si="8"/>
        <v>395.5</v>
      </c>
      <c r="M30" s="29" t="str">
        <f t="shared" si="18"/>
        <v>395.5</v>
      </c>
      <c r="N30">
        <f t="shared" si="10"/>
        <v>79.099999999999994</v>
      </c>
      <c r="O30" s="29" t="str">
        <f t="shared" si="11"/>
        <v>79.1</v>
      </c>
    </row>
    <row r="31" spans="1:15">
      <c r="A31" s="132"/>
      <c r="B31" s="132"/>
      <c r="C31" s="53" t="str">
        <f t="shared" si="5"/>
        <v>151</v>
      </c>
      <c r="D31" s="29">
        <f t="shared" ref="D31:H31" si="24">FIXED(D13,3-(1+INT(LOG10(ABS(D13)))))+0</f>
        <v>67.099999999999994</v>
      </c>
      <c r="E31" s="29">
        <f t="shared" si="24"/>
        <v>68.099999999999994</v>
      </c>
      <c r="F31" s="29">
        <f t="shared" si="24"/>
        <v>68.099999999999994</v>
      </c>
      <c r="G31" s="29">
        <f t="shared" si="24"/>
        <v>68.099999999999994</v>
      </c>
      <c r="H31" s="45">
        <f t="shared" si="24"/>
        <v>68.099999999999994</v>
      </c>
      <c r="I31" s="53" t="str">
        <f t="shared" si="6"/>
        <v>67.9</v>
      </c>
      <c r="J31" s="186">
        <f t="shared" si="7"/>
        <v>0.2</v>
      </c>
      <c r="L31">
        <f t="shared" si="8"/>
        <v>339.5</v>
      </c>
      <c r="M31" s="29" t="str">
        <f t="shared" si="18"/>
        <v>339.5</v>
      </c>
      <c r="N31">
        <f t="shared" si="10"/>
        <v>67.900000000000006</v>
      </c>
      <c r="O31" s="29" t="str">
        <f t="shared" si="11"/>
        <v>67.9</v>
      </c>
    </row>
    <row r="32" spans="1:15">
      <c r="A32" s="132"/>
      <c r="B32" s="132"/>
      <c r="C32" s="53" t="str">
        <f t="shared" si="5"/>
        <v>171</v>
      </c>
      <c r="D32" s="29">
        <f t="shared" ref="D32:H32" si="25">FIXED(D14,3-(1+INT(LOG10(ABS(D14)))))+0</f>
        <v>59.1</v>
      </c>
      <c r="E32" s="29">
        <f t="shared" si="25"/>
        <v>59.1</v>
      </c>
      <c r="F32" s="29">
        <f t="shared" si="25"/>
        <v>59.1</v>
      </c>
      <c r="G32" s="29">
        <f t="shared" si="25"/>
        <v>59.1</v>
      </c>
      <c r="H32" s="45">
        <f t="shared" si="25"/>
        <v>59.1</v>
      </c>
      <c r="I32" s="53" t="str">
        <f t="shared" si="6"/>
        <v>59.1</v>
      </c>
      <c r="J32" s="186">
        <f t="shared" si="7"/>
        <v>0</v>
      </c>
      <c r="L32">
        <f t="shared" si="8"/>
        <v>295.5</v>
      </c>
      <c r="M32" s="29" t="str">
        <f t="shared" si="18"/>
        <v>295.5</v>
      </c>
      <c r="N32">
        <f t="shared" si="10"/>
        <v>59.1</v>
      </c>
      <c r="O32" s="29" t="str">
        <f t="shared" si="11"/>
        <v>59.1</v>
      </c>
    </row>
    <row r="33" spans="1:15">
      <c r="A33" s="132"/>
      <c r="B33" s="132"/>
      <c r="C33" s="53" t="str">
        <f t="shared" si="5"/>
        <v>191</v>
      </c>
      <c r="D33" s="29">
        <f t="shared" ref="D33:H33" si="26">FIXED(D15,3-(1+INT(LOG10(ABS(D15)))))+0</f>
        <v>52.1</v>
      </c>
      <c r="E33" s="29">
        <f t="shared" si="26"/>
        <v>52.1</v>
      </c>
      <c r="F33" s="29">
        <f t="shared" si="26"/>
        <v>52.1</v>
      </c>
      <c r="G33" s="29">
        <f t="shared" si="26"/>
        <v>52.1</v>
      </c>
      <c r="H33" s="45">
        <f t="shared" si="26"/>
        <v>52.1</v>
      </c>
      <c r="I33" s="53" t="str">
        <f t="shared" si="6"/>
        <v>52.1</v>
      </c>
      <c r="J33" s="186">
        <f t="shared" si="7"/>
        <v>0</v>
      </c>
      <c r="L33">
        <f t="shared" si="8"/>
        <v>260.5</v>
      </c>
      <c r="M33" s="29" t="str">
        <f t="shared" si="18"/>
        <v>260.5</v>
      </c>
      <c r="N33">
        <f t="shared" si="10"/>
        <v>52.1</v>
      </c>
      <c r="O33" s="29" t="str">
        <f t="shared" si="11"/>
        <v>52.1</v>
      </c>
    </row>
    <row r="34" spans="1:15" ht="17.25" thickBot="1">
      <c r="A34" s="133"/>
      <c r="B34" s="133"/>
      <c r="C34" s="56" t="str">
        <f t="shared" si="5"/>
        <v>221</v>
      </c>
      <c r="D34" s="50">
        <f t="shared" ref="D34:H34" si="27">FIXED(D16,3-(1+INT(LOG10(ABS(D16)))))+0</f>
        <v>43.1</v>
      </c>
      <c r="E34" s="50">
        <f t="shared" si="27"/>
        <v>44.1</v>
      </c>
      <c r="F34" s="50">
        <f t="shared" si="27"/>
        <v>44.1</v>
      </c>
      <c r="G34" s="50">
        <f t="shared" si="27"/>
        <v>45.1</v>
      </c>
      <c r="H34" s="51">
        <f t="shared" si="27"/>
        <v>44.1</v>
      </c>
      <c r="I34" s="56" t="str">
        <f t="shared" si="6"/>
        <v>44.1</v>
      </c>
      <c r="J34" s="189">
        <f t="shared" si="7"/>
        <v>0.31622776601683794</v>
      </c>
      <c r="L34">
        <f t="shared" si="8"/>
        <v>220.5</v>
      </c>
      <c r="M34" s="29" t="str">
        <f t="shared" si="18"/>
        <v>220.5</v>
      </c>
      <c r="N34">
        <f t="shared" si="10"/>
        <v>44.1</v>
      </c>
      <c r="O34" s="29" t="str">
        <f t="shared" si="11"/>
        <v>44.1</v>
      </c>
    </row>
    <row r="35" spans="1:15" ht="17.25" thickTop="1"/>
    <row r="40" spans="1:15">
      <c r="K40" s="184">
        <f>_xlfn.STDEV.S(D20:H20)</f>
        <v>0</v>
      </c>
      <c r="L40">
        <f>K40/SQRT(5)</f>
        <v>0</v>
      </c>
    </row>
    <row r="41" spans="1:15">
      <c r="K41" s="184">
        <f>_xlfn.STDEV.S(D21:H21)</f>
        <v>0</v>
      </c>
      <c r="L41">
        <f>K41/SQRT(5)</f>
        <v>0</v>
      </c>
    </row>
    <row r="42" spans="1:15">
      <c r="K42" s="184">
        <f>_xlfn.STDEV.S(D22:H22)</f>
        <v>4.4721359549995635E-2</v>
      </c>
      <c r="L42">
        <f>K42/SQRT(5)</f>
        <v>1.9999999999999928E-2</v>
      </c>
    </row>
    <row r="43" spans="1:15">
      <c r="K43" s="184">
        <f>_xlfn.STDEV.S(D23:H23)</f>
        <v>0</v>
      </c>
      <c r="L43">
        <f>K43/SQRT(5)</f>
        <v>0</v>
      </c>
    </row>
    <row r="44" spans="1:15">
      <c r="K44" s="184">
        <f>_xlfn.STDEV.S(D24:H24)</f>
        <v>9.9301366129890925E-16</v>
      </c>
      <c r="L44">
        <f>K44/SQRT(5)</f>
        <v>4.4408920985006262E-16</v>
      </c>
    </row>
    <row r="45" spans="1:15">
      <c r="K45" s="184">
        <f>_xlfn.STDEV.S(D25:H25)</f>
        <v>0.29495762407505188</v>
      </c>
      <c r="L45">
        <f>K45/SQRT(5)</f>
        <v>0.13190905958272889</v>
      </c>
    </row>
    <row r="46" spans="1:15">
      <c r="K46" s="184">
        <f>_xlfn.STDEV.S(D26:H26)</f>
        <v>0</v>
      </c>
      <c r="L46">
        <f>K46/SQRT(5)</f>
        <v>0</v>
      </c>
    </row>
    <row r="47" spans="1:15">
      <c r="K47" s="184">
        <f>_xlfn.STDEV.S(D27:H27)</f>
        <v>0</v>
      </c>
      <c r="L47">
        <f>K47/SQRT(5)</f>
        <v>0</v>
      </c>
    </row>
    <row r="48" spans="1:15">
      <c r="K48" s="184">
        <f>_xlfn.STDEV.S(D28:H28)</f>
        <v>0.22360679774997896</v>
      </c>
      <c r="L48">
        <f>K48/SQRT(5)</f>
        <v>9.9999999999999992E-2</v>
      </c>
    </row>
    <row r="49" spans="11:12">
      <c r="K49" s="184">
        <f>_xlfn.STDEV.S(D29:H29)</f>
        <v>0.24899799195977512</v>
      </c>
      <c r="L49">
        <f>K49/SQRT(5)</f>
        <v>0.11135528725660064</v>
      </c>
    </row>
    <row r="50" spans="11:12">
      <c r="K50" s="184">
        <f>_xlfn.STDEV.S(D30:H30)</f>
        <v>0</v>
      </c>
      <c r="L50">
        <f>K50/SQRT(5)</f>
        <v>0</v>
      </c>
    </row>
    <row r="51" spans="11:12">
      <c r="K51" s="184">
        <f>_xlfn.STDEV.S(D31:H31)</f>
        <v>0.44721359549995798</v>
      </c>
      <c r="L51">
        <f>K51/SQRT(5)</f>
        <v>0.2</v>
      </c>
    </row>
    <row r="52" spans="11:12">
      <c r="K52" s="184">
        <f>_xlfn.STDEV.S(D32:H32)</f>
        <v>0</v>
      </c>
      <c r="L52">
        <f>K52/SQRT(5)</f>
        <v>0</v>
      </c>
    </row>
    <row r="53" spans="11:12">
      <c r="K53" s="184">
        <f>_xlfn.STDEV.S(D33:H33)</f>
        <v>0</v>
      </c>
      <c r="L53">
        <f>K53/SQRT(5)</f>
        <v>0</v>
      </c>
    </row>
    <row r="54" spans="11:12">
      <c r="K54" s="184">
        <f>_xlfn.STDEV.S(D34:H34)</f>
        <v>0.70710678118654757</v>
      </c>
      <c r="L54">
        <f>K54/SQRT(5)</f>
        <v>0.31622776601683794</v>
      </c>
    </row>
  </sheetData>
  <mergeCells count="14">
    <mergeCell ref="A30:A34"/>
    <mergeCell ref="B30:B34"/>
    <mergeCell ref="J12:J16"/>
    <mergeCell ref="A2:A6"/>
    <mergeCell ref="A7:A11"/>
    <mergeCell ref="A12:A16"/>
    <mergeCell ref="B2:B6"/>
    <mergeCell ref="B7:B11"/>
    <mergeCell ref="B12:B16"/>
    <mergeCell ref="D18:H18"/>
    <mergeCell ref="A20:A24"/>
    <mergeCell ref="B20:B24"/>
    <mergeCell ref="A25:A29"/>
    <mergeCell ref="B25:B2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A970-D5A2-459E-AA13-939F3B64410B}">
  <dimension ref="B2:V40"/>
  <sheetViews>
    <sheetView topLeftCell="A4" zoomScale="130" zoomScaleNormal="130" workbookViewId="0">
      <selection activeCell="K13" sqref="K13"/>
    </sheetView>
  </sheetViews>
  <sheetFormatPr defaultRowHeight="16.5"/>
  <cols>
    <col min="2" max="2" width="20" customWidth="1"/>
    <col min="3" max="3" width="11.625" customWidth="1"/>
    <col min="4" max="4" width="9.875" bestFit="1" customWidth="1"/>
    <col min="5" max="5" width="10.875" customWidth="1"/>
    <col min="6" max="6" width="9.875" bestFit="1" customWidth="1"/>
    <col min="7" max="7" width="11.5" customWidth="1"/>
    <col min="8" max="8" width="9.875" bestFit="1" customWidth="1"/>
    <col min="9" max="9" width="5.5" bestFit="1" customWidth="1"/>
    <col min="10" max="10" width="20" customWidth="1"/>
    <col min="11" max="11" width="20.375" customWidth="1"/>
    <col min="12" max="12" width="17.875" customWidth="1"/>
    <col min="13" max="13" width="6.375" bestFit="1" customWidth="1"/>
    <col min="14" max="14" width="7.25" bestFit="1" customWidth="1"/>
    <col min="15" max="15" width="6.375" bestFit="1" customWidth="1"/>
    <col min="16" max="16" width="7.25" bestFit="1" customWidth="1"/>
    <col min="17" max="17" width="6.375" bestFit="1" customWidth="1"/>
    <col min="18" max="18" width="7.625" bestFit="1" customWidth="1"/>
    <col min="19" max="19" width="5.5" bestFit="1" customWidth="1"/>
    <col min="20" max="20" width="7.25" bestFit="1" customWidth="1"/>
    <col min="21" max="21" width="6.375" bestFit="1" customWidth="1"/>
    <col min="22" max="22" width="7.875" bestFit="1" customWidth="1"/>
    <col min="23" max="23" width="6.375" bestFit="1" customWidth="1"/>
    <col min="24" max="24" width="6.25" bestFit="1" customWidth="1"/>
    <col min="25" max="25" width="4.5" bestFit="1" customWidth="1"/>
    <col min="26" max="26" width="6.25" bestFit="1" customWidth="1"/>
    <col min="27" max="27" width="4.5" bestFit="1" customWidth="1"/>
    <col min="28" max="28" width="6.25" bestFit="1" customWidth="1"/>
    <col min="29" max="29" width="4.5" bestFit="1" customWidth="1"/>
    <col min="30" max="30" width="6.25" bestFit="1" customWidth="1"/>
    <col min="31" max="31" width="4.5" bestFit="1" customWidth="1"/>
    <col min="32" max="32" width="6.25" bestFit="1" customWidth="1"/>
    <col min="33" max="33" width="3.5" bestFit="1" customWidth="1"/>
  </cols>
  <sheetData>
    <row r="2" spans="2:22">
      <c r="B2" s="68" t="s">
        <v>31</v>
      </c>
      <c r="C2" s="69" t="s">
        <v>15</v>
      </c>
      <c r="D2" s="70" t="s">
        <v>16</v>
      </c>
      <c r="E2" s="70" t="s">
        <v>17</v>
      </c>
      <c r="F2" s="70" t="s">
        <v>18</v>
      </c>
      <c r="G2" s="70" t="s">
        <v>19</v>
      </c>
      <c r="H2" s="71" t="s">
        <v>20</v>
      </c>
      <c r="I2" s="3"/>
      <c r="J2" s="68" t="s">
        <v>28</v>
      </c>
      <c r="K2" s="68" t="s">
        <v>26</v>
      </c>
      <c r="L2" s="68" t="s">
        <v>27</v>
      </c>
      <c r="T2" s="1"/>
      <c r="V2" s="1"/>
    </row>
    <row r="3" spans="2:22">
      <c r="B3" s="158" t="s">
        <v>33</v>
      </c>
      <c r="C3" s="21">
        <v>0.03</v>
      </c>
      <c r="D3" s="22">
        <v>14.3</v>
      </c>
      <c r="E3" s="22">
        <v>14.3</v>
      </c>
      <c r="F3" s="22">
        <v>14.3</v>
      </c>
      <c r="G3" s="22">
        <v>14.3</v>
      </c>
      <c r="H3" s="23">
        <v>14.3</v>
      </c>
      <c r="J3" s="67">
        <v>21.35</v>
      </c>
      <c r="K3" s="67">
        <v>3.9</v>
      </c>
      <c r="L3" s="67">
        <v>95.5</v>
      </c>
    </row>
    <row r="4" spans="2:22">
      <c r="B4" s="159"/>
      <c r="C4" s="24">
        <v>0.05</v>
      </c>
      <c r="D4">
        <v>12</v>
      </c>
      <c r="E4">
        <v>12</v>
      </c>
      <c r="F4">
        <v>12</v>
      </c>
      <c r="G4">
        <v>12</v>
      </c>
      <c r="H4" s="25">
        <v>12</v>
      </c>
    </row>
    <row r="5" spans="2:22">
      <c r="B5" s="159"/>
      <c r="C5" s="24">
        <v>7.0000000000000007E-2</v>
      </c>
      <c r="D5">
        <v>9.9</v>
      </c>
      <c r="E5">
        <v>10</v>
      </c>
      <c r="F5">
        <v>10</v>
      </c>
      <c r="G5">
        <v>10</v>
      </c>
      <c r="H5" s="25">
        <v>10</v>
      </c>
    </row>
    <row r="6" spans="2:22">
      <c r="B6" s="159"/>
      <c r="C6" s="24">
        <v>0.09</v>
      </c>
      <c r="D6">
        <v>8.1999999999999993</v>
      </c>
      <c r="E6">
        <v>8.1999999999999993</v>
      </c>
      <c r="F6">
        <v>8.1999999999999993</v>
      </c>
      <c r="G6">
        <v>8.1999999999999993</v>
      </c>
      <c r="H6" s="25">
        <v>8.1999999999999993</v>
      </c>
    </row>
    <row r="7" spans="2:22">
      <c r="B7" s="160"/>
      <c r="C7" s="24">
        <v>0.12</v>
      </c>
      <c r="D7">
        <v>6.5</v>
      </c>
      <c r="E7">
        <v>6.5</v>
      </c>
      <c r="F7">
        <v>6.5</v>
      </c>
      <c r="G7">
        <v>6.5</v>
      </c>
      <c r="H7" s="25">
        <v>6.5</v>
      </c>
    </row>
    <row r="8" spans="2:22">
      <c r="B8" s="158" t="s">
        <v>35</v>
      </c>
      <c r="C8" s="21">
        <v>0.03</v>
      </c>
      <c r="D8" s="22">
        <v>38.799999999999997</v>
      </c>
      <c r="E8" s="22">
        <v>38</v>
      </c>
      <c r="F8" s="22">
        <v>38.5</v>
      </c>
      <c r="G8" s="22">
        <v>38.299999999999997</v>
      </c>
      <c r="H8" s="23">
        <v>38.5</v>
      </c>
    </row>
    <row r="9" spans="2:22">
      <c r="B9" s="159"/>
      <c r="C9" s="24">
        <v>0.05</v>
      </c>
      <c r="D9">
        <v>32.5</v>
      </c>
      <c r="E9">
        <v>32.5</v>
      </c>
      <c r="F9">
        <v>32.5</v>
      </c>
      <c r="G9">
        <v>32.5</v>
      </c>
      <c r="H9" s="25">
        <v>32.5</v>
      </c>
    </row>
    <row r="10" spans="2:22">
      <c r="B10" s="159"/>
      <c r="C10" s="24">
        <v>7.0000000000000007E-2</v>
      </c>
      <c r="D10">
        <v>28</v>
      </c>
      <c r="E10">
        <v>28</v>
      </c>
      <c r="F10">
        <v>28</v>
      </c>
      <c r="G10">
        <v>28</v>
      </c>
      <c r="H10" s="25">
        <v>28</v>
      </c>
    </row>
    <row r="11" spans="2:22">
      <c r="B11" s="159"/>
      <c r="C11" s="24">
        <v>0.09</v>
      </c>
      <c r="D11">
        <v>24.5</v>
      </c>
      <c r="E11">
        <v>24.5</v>
      </c>
      <c r="F11">
        <v>24</v>
      </c>
      <c r="G11">
        <v>24.5</v>
      </c>
      <c r="H11" s="25">
        <v>24.5</v>
      </c>
    </row>
    <row r="12" spans="2:22">
      <c r="B12" s="160"/>
      <c r="C12" s="26">
        <v>0.12</v>
      </c>
      <c r="D12" s="27">
        <v>20</v>
      </c>
      <c r="E12" s="27">
        <v>20.5</v>
      </c>
      <c r="F12" s="27">
        <v>20.100000000000001</v>
      </c>
      <c r="G12" s="27">
        <v>20.5</v>
      </c>
      <c r="H12" s="28">
        <v>20.5</v>
      </c>
    </row>
    <row r="13" spans="2:22">
      <c r="B13" s="161" t="s">
        <v>37</v>
      </c>
      <c r="C13" s="24">
        <v>0.03</v>
      </c>
      <c r="D13">
        <v>78</v>
      </c>
      <c r="E13">
        <v>78</v>
      </c>
      <c r="F13">
        <v>78</v>
      </c>
      <c r="G13">
        <v>78</v>
      </c>
      <c r="H13" s="25">
        <v>78</v>
      </c>
    </row>
    <row r="14" spans="2:22">
      <c r="B14" s="161"/>
      <c r="C14" s="24">
        <v>0.05</v>
      </c>
      <c r="D14">
        <v>66</v>
      </c>
      <c r="E14">
        <v>67</v>
      </c>
      <c r="F14">
        <v>67</v>
      </c>
      <c r="G14">
        <v>67</v>
      </c>
      <c r="H14" s="25">
        <v>67</v>
      </c>
    </row>
    <row r="15" spans="2:22">
      <c r="B15" s="161"/>
      <c r="C15" s="24">
        <v>7.0000000000000007E-2</v>
      </c>
      <c r="D15">
        <v>58</v>
      </c>
      <c r="E15">
        <v>58</v>
      </c>
      <c r="F15">
        <v>58</v>
      </c>
      <c r="G15">
        <v>58</v>
      </c>
      <c r="H15" s="25">
        <v>58</v>
      </c>
    </row>
    <row r="16" spans="2:22">
      <c r="B16" s="161"/>
      <c r="C16" s="24">
        <v>0.09</v>
      </c>
      <c r="D16">
        <v>51</v>
      </c>
      <c r="E16">
        <v>51</v>
      </c>
      <c r="F16">
        <v>51</v>
      </c>
      <c r="G16">
        <v>51</v>
      </c>
      <c r="H16" s="25">
        <v>51</v>
      </c>
    </row>
    <row r="17" spans="2:12">
      <c r="B17" s="162"/>
      <c r="C17" s="26">
        <v>0.12</v>
      </c>
      <c r="D17" s="27">
        <v>42</v>
      </c>
      <c r="E17" s="27">
        <v>43</v>
      </c>
      <c r="F17" s="27">
        <v>43</v>
      </c>
      <c r="G17" s="27">
        <v>44</v>
      </c>
      <c r="H17" s="28">
        <v>43</v>
      </c>
    </row>
    <row r="19" spans="2:12">
      <c r="B19" s="163" t="s">
        <v>7</v>
      </c>
      <c r="C19" s="164"/>
      <c r="D19" s="164"/>
      <c r="E19" s="164"/>
      <c r="F19" s="164"/>
      <c r="G19" s="164"/>
      <c r="H19" s="164"/>
    </row>
    <row r="20" spans="2:12">
      <c r="B20" s="164"/>
      <c r="C20" s="164"/>
      <c r="D20" s="164"/>
      <c r="E20" s="164"/>
      <c r="F20" s="164"/>
      <c r="G20" s="164"/>
      <c r="H20" s="164"/>
    </row>
    <row r="22" spans="2:12">
      <c r="B22" s="73" t="s">
        <v>31</v>
      </c>
      <c r="C22" s="75" t="s">
        <v>15</v>
      </c>
      <c r="D22" s="76" t="s">
        <v>16</v>
      </c>
      <c r="E22" s="76" t="s">
        <v>17</v>
      </c>
      <c r="F22" s="76" t="s">
        <v>18</v>
      </c>
      <c r="G22" s="76" t="s">
        <v>19</v>
      </c>
      <c r="H22" s="77" t="s">
        <v>20</v>
      </c>
      <c r="J22" s="73" t="s">
        <v>28</v>
      </c>
      <c r="K22" s="73" t="s">
        <v>26</v>
      </c>
      <c r="L22" s="73" t="s">
        <v>27</v>
      </c>
    </row>
    <row r="23" spans="2:12">
      <c r="B23" s="154" t="str">
        <f>B3</f>
        <v>20 mL Syringe</v>
      </c>
      <c r="C23" s="78" t="str">
        <f>FIXED(C3,2-(1+INT(LOG10(ABS(C3)))))</f>
        <v>0.030</v>
      </c>
      <c r="D23" s="79" t="str">
        <f>FIXED(D3,3-(1+INT(LOG10(ABS(D3)))))</f>
        <v>14.3</v>
      </c>
      <c r="E23" s="79" t="str">
        <f t="shared" ref="E23:H23" si="0">FIXED(E3,3-(1+INT(LOG10(ABS(E3)))))</f>
        <v>14.3</v>
      </c>
      <c r="F23" s="79" t="str">
        <f t="shared" si="0"/>
        <v>14.3</v>
      </c>
      <c r="G23" s="79" t="str">
        <f t="shared" si="0"/>
        <v>14.3</v>
      </c>
      <c r="H23" s="80" t="str">
        <f t="shared" si="0"/>
        <v>14.3</v>
      </c>
      <c r="J23" s="74" t="str">
        <f>FIXED(J3,4-(1+INT(LOG10(ABS(J3)))))</f>
        <v>21.35</v>
      </c>
      <c r="K23" s="74" t="str">
        <f>FIXED(K3,3-(1+INT(LOG10(ABS(K3)))))</f>
        <v>3.90</v>
      </c>
      <c r="L23" s="74" t="str">
        <f>FIXED(L3,4-(1+INT(LOG10(ABS(L3)))))</f>
        <v>95.50</v>
      </c>
    </row>
    <row r="24" spans="2:12">
      <c r="B24" s="155"/>
      <c r="C24" s="81" t="str">
        <f t="shared" ref="C24:C36" si="1">FIXED(C4,2-(1+INT(LOG10(ABS(C4)))))</f>
        <v>0.050</v>
      </c>
      <c r="D24" s="82" t="str">
        <f t="shared" ref="D24:D37" si="2">FIXED(D4,3-(1+INT(LOG10(ABS(D4)))))</f>
        <v>12.0</v>
      </c>
      <c r="E24" s="82" t="str">
        <f t="shared" ref="E24:H24" si="3">FIXED(E4,3-(1+INT(LOG10(ABS(E4)))))</f>
        <v>12.0</v>
      </c>
      <c r="F24" s="82" t="str">
        <f t="shared" si="3"/>
        <v>12.0</v>
      </c>
      <c r="G24" s="82" t="str">
        <f t="shared" si="3"/>
        <v>12.0</v>
      </c>
      <c r="H24" s="83" t="str">
        <f t="shared" si="3"/>
        <v>12.0</v>
      </c>
    </row>
    <row r="25" spans="2:12">
      <c r="B25" s="155"/>
      <c r="C25" s="81" t="str">
        <f t="shared" si="1"/>
        <v>0.070</v>
      </c>
      <c r="D25" s="82" t="str">
        <f>FIXED(D5,2-(1+INT(LOG10(ABS(D5)))))</f>
        <v>9.9</v>
      </c>
      <c r="E25" s="82" t="str">
        <f t="shared" ref="E25:H25" si="4">FIXED(E5,3-(1+INT(LOG10(ABS(E5)))))</f>
        <v>10.0</v>
      </c>
      <c r="F25" s="82" t="str">
        <f t="shared" si="4"/>
        <v>10.0</v>
      </c>
      <c r="G25" s="82" t="str">
        <f t="shared" si="4"/>
        <v>10.0</v>
      </c>
      <c r="H25" s="83" t="str">
        <f t="shared" si="4"/>
        <v>10.0</v>
      </c>
      <c r="J25" s="68" t="s">
        <v>2</v>
      </c>
      <c r="K25" s="68" t="s">
        <v>29</v>
      </c>
    </row>
    <row r="26" spans="2:12">
      <c r="B26" s="155"/>
      <c r="C26" s="81" t="str">
        <f t="shared" si="1"/>
        <v>0.090</v>
      </c>
      <c r="D26" s="82" t="str">
        <f>FIXED(D6,2-(1+INT(LOG10(ABS(D6)))))</f>
        <v>8.2</v>
      </c>
      <c r="E26" s="82" t="str">
        <f t="shared" ref="E26:H26" si="5">FIXED(E6,2-(1+INT(LOG10(ABS(E6)))))</f>
        <v>8.2</v>
      </c>
      <c r="F26" s="82" t="str">
        <f t="shared" si="5"/>
        <v>8.2</v>
      </c>
      <c r="G26" s="82" t="str">
        <f t="shared" si="5"/>
        <v>8.2</v>
      </c>
      <c r="H26" s="83" t="str">
        <f t="shared" si="5"/>
        <v>8.2</v>
      </c>
      <c r="J26" s="72">
        <f>(('측정값 원본(수정금지)'!K23+0)^2)*PI()*0.25*('측정값 원본(수정금지)'!L23+0)*0.001</f>
        <v>1.1408340292337802</v>
      </c>
      <c r="K26" s="72">
        <f xml:space="preserve"> 273.15 + J23</f>
        <v>294.5</v>
      </c>
    </row>
    <row r="27" spans="2:12">
      <c r="B27" s="156"/>
      <c r="C27" s="81" t="str">
        <f>FIXED(C7,3-(1+INT(LOG10(ABS(C7)))))</f>
        <v>0.120</v>
      </c>
      <c r="D27" s="82" t="str">
        <f>FIXED(D7,2-(1+INT(LOG10(ABS(D7)))))</f>
        <v>6.5</v>
      </c>
      <c r="E27" s="82" t="str">
        <f t="shared" ref="E27:H27" si="6">FIXED(E7,2-(1+INT(LOG10(ABS(E7)))))</f>
        <v>6.5</v>
      </c>
      <c r="F27" s="82" t="str">
        <f t="shared" si="6"/>
        <v>6.5</v>
      </c>
      <c r="G27" s="82" t="str">
        <f t="shared" si="6"/>
        <v>6.5</v>
      </c>
      <c r="H27" s="83" t="str">
        <f t="shared" si="6"/>
        <v>6.5</v>
      </c>
    </row>
    <row r="28" spans="2:12">
      <c r="B28" s="154" t="str">
        <f t="shared" ref="B28" si="7">B8</f>
        <v>50 mL Syringe</v>
      </c>
      <c r="C28" s="78" t="str">
        <f t="shared" si="1"/>
        <v>0.030</v>
      </c>
      <c r="D28" s="79" t="str">
        <f t="shared" si="2"/>
        <v>38.8</v>
      </c>
      <c r="E28" s="79" t="str">
        <f t="shared" ref="E28:H28" si="8">FIXED(E8,3-(1+INT(LOG10(ABS(E8)))))</f>
        <v>38.0</v>
      </c>
      <c r="F28" s="79" t="str">
        <f t="shared" si="8"/>
        <v>38.5</v>
      </c>
      <c r="G28" s="79" t="str">
        <f t="shared" si="8"/>
        <v>38.3</v>
      </c>
      <c r="H28" s="80" t="str">
        <f t="shared" si="8"/>
        <v>38.5</v>
      </c>
      <c r="J28" s="73" t="s">
        <v>2</v>
      </c>
      <c r="K28" s="73" t="s">
        <v>29</v>
      </c>
    </row>
    <row r="29" spans="2:12">
      <c r="B29" s="155"/>
      <c r="C29" s="81" t="str">
        <f t="shared" si="1"/>
        <v>0.050</v>
      </c>
      <c r="D29" s="82" t="str">
        <f t="shared" si="2"/>
        <v>32.5</v>
      </c>
      <c r="E29" s="82" t="str">
        <f t="shared" ref="E29:H29" si="9">FIXED(E9,3-(1+INT(LOG10(ABS(E9)))))</f>
        <v>32.5</v>
      </c>
      <c r="F29" s="82" t="str">
        <f t="shared" si="9"/>
        <v>32.5</v>
      </c>
      <c r="G29" s="82" t="str">
        <f t="shared" si="9"/>
        <v>32.5</v>
      </c>
      <c r="H29" s="83" t="str">
        <f t="shared" si="9"/>
        <v>32.5</v>
      </c>
      <c r="J29" s="74" t="str">
        <f>FIXED(J26,3-(1+INT(LOG10(ABS(J26)))))</f>
        <v>1.14</v>
      </c>
      <c r="K29" s="74" t="str">
        <f>FIXED(K26,5-(1+INT(LOG10(ABS(K26)))))</f>
        <v>294.50</v>
      </c>
    </row>
    <row r="30" spans="2:12">
      <c r="B30" s="155"/>
      <c r="C30" s="81" t="str">
        <f t="shared" si="1"/>
        <v>0.070</v>
      </c>
      <c r="D30" s="82" t="str">
        <f t="shared" si="2"/>
        <v>28.0</v>
      </c>
      <c r="E30" s="82" t="str">
        <f t="shared" ref="E30:H30" si="10">FIXED(E10,3-(1+INT(LOG10(ABS(E10)))))</f>
        <v>28.0</v>
      </c>
      <c r="F30" s="82" t="str">
        <f t="shared" si="10"/>
        <v>28.0</v>
      </c>
      <c r="G30" s="82" t="str">
        <f t="shared" si="10"/>
        <v>28.0</v>
      </c>
      <c r="H30" s="83" t="str">
        <f t="shared" si="10"/>
        <v>28.0</v>
      </c>
    </row>
    <row r="31" spans="2:12">
      <c r="B31" s="155"/>
      <c r="C31" s="81" t="str">
        <f t="shared" si="1"/>
        <v>0.090</v>
      </c>
      <c r="D31" s="82" t="str">
        <f t="shared" si="2"/>
        <v>24.5</v>
      </c>
      <c r="E31" s="82" t="str">
        <f t="shared" ref="E31:H31" si="11">FIXED(E11,3-(1+INT(LOG10(ABS(E11)))))</f>
        <v>24.5</v>
      </c>
      <c r="F31" s="82" t="str">
        <f t="shared" si="11"/>
        <v>24.0</v>
      </c>
      <c r="G31" s="82" t="str">
        <f t="shared" si="11"/>
        <v>24.5</v>
      </c>
      <c r="H31" s="83" t="str">
        <f t="shared" si="11"/>
        <v>24.5</v>
      </c>
    </row>
    <row r="32" spans="2:12">
      <c r="B32" s="156"/>
      <c r="C32" s="84" t="str">
        <f>FIXED(C12,3-(1+INT(LOG10(ABS(C12)))))</f>
        <v>0.120</v>
      </c>
      <c r="D32" s="85" t="str">
        <f t="shared" si="2"/>
        <v>20.0</v>
      </c>
      <c r="E32" s="85" t="str">
        <f t="shared" ref="E32:H32" si="12">FIXED(E12,3-(1+INT(LOG10(ABS(E12)))))</f>
        <v>20.5</v>
      </c>
      <c r="F32" s="85" t="str">
        <f t="shared" si="12"/>
        <v>20.1</v>
      </c>
      <c r="G32" s="85" t="str">
        <f t="shared" si="12"/>
        <v>20.5</v>
      </c>
      <c r="H32" s="86" t="str">
        <f t="shared" si="12"/>
        <v>20.5</v>
      </c>
    </row>
    <row r="33" spans="2:8">
      <c r="B33" s="154" t="str">
        <f t="shared" ref="B33" si="13">B13</f>
        <v>100 mL Syringe</v>
      </c>
      <c r="C33" s="81" t="str">
        <f t="shared" si="1"/>
        <v>0.030</v>
      </c>
      <c r="D33" s="82" t="str">
        <f t="shared" si="2"/>
        <v>78.0</v>
      </c>
      <c r="E33" s="82" t="str">
        <f t="shared" ref="E33:H33" si="14">FIXED(E13,3-(1+INT(LOG10(ABS(E13)))))</f>
        <v>78.0</v>
      </c>
      <c r="F33" s="82" t="str">
        <f t="shared" si="14"/>
        <v>78.0</v>
      </c>
      <c r="G33" s="82" t="str">
        <f t="shared" si="14"/>
        <v>78.0</v>
      </c>
      <c r="H33" s="83" t="str">
        <f t="shared" si="14"/>
        <v>78.0</v>
      </c>
    </row>
    <row r="34" spans="2:8">
      <c r="B34" s="155"/>
      <c r="C34" s="81" t="str">
        <f t="shared" si="1"/>
        <v>0.050</v>
      </c>
      <c r="D34" s="82" t="str">
        <f t="shared" si="2"/>
        <v>66.0</v>
      </c>
      <c r="E34" s="82" t="str">
        <f t="shared" ref="E34:H34" si="15">FIXED(E14,3-(1+INT(LOG10(ABS(E14)))))</f>
        <v>67.0</v>
      </c>
      <c r="F34" s="82" t="str">
        <f t="shared" si="15"/>
        <v>67.0</v>
      </c>
      <c r="G34" s="82" t="str">
        <f t="shared" si="15"/>
        <v>67.0</v>
      </c>
      <c r="H34" s="83" t="str">
        <f t="shared" si="15"/>
        <v>67.0</v>
      </c>
    </row>
    <row r="35" spans="2:8">
      <c r="B35" s="155"/>
      <c r="C35" s="81" t="str">
        <f t="shared" si="1"/>
        <v>0.070</v>
      </c>
      <c r="D35" s="82" t="str">
        <f t="shared" si="2"/>
        <v>58.0</v>
      </c>
      <c r="E35" s="82" t="str">
        <f t="shared" ref="E35:H35" si="16">FIXED(E15,3-(1+INT(LOG10(ABS(E15)))))</f>
        <v>58.0</v>
      </c>
      <c r="F35" s="82" t="str">
        <f t="shared" si="16"/>
        <v>58.0</v>
      </c>
      <c r="G35" s="82" t="str">
        <f t="shared" si="16"/>
        <v>58.0</v>
      </c>
      <c r="H35" s="83" t="str">
        <f t="shared" si="16"/>
        <v>58.0</v>
      </c>
    </row>
    <row r="36" spans="2:8">
      <c r="B36" s="155"/>
      <c r="C36" s="81" t="str">
        <f t="shared" si="1"/>
        <v>0.090</v>
      </c>
      <c r="D36" s="82" t="str">
        <f t="shared" si="2"/>
        <v>51.0</v>
      </c>
      <c r="E36" s="82" t="str">
        <f t="shared" ref="E36:H36" si="17">FIXED(E16,3-(1+INT(LOG10(ABS(E16)))))</f>
        <v>51.0</v>
      </c>
      <c r="F36" s="82" t="str">
        <f t="shared" si="17"/>
        <v>51.0</v>
      </c>
      <c r="G36" s="82" t="str">
        <f t="shared" si="17"/>
        <v>51.0</v>
      </c>
      <c r="H36" s="83" t="str">
        <f t="shared" si="17"/>
        <v>51.0</v>
      </c>
    </row>
    <row r="37" spans="2:8">
      <c r="B37" s="156"/>
      <c r="C37" s="84" t="str">
        <f>FIXED(C17,3-(1+INT(LOG10(ABS(C17)))))</f>
        <v>0.120</v>
      </c>
      <c r="D37" s="85" t="str">
        <f t="shared" si="2"/>
        <v>42.0</v>
      </c>
      <c r="E37" s="85" t="str">
        <f t="shared" ref="E37:H37" si="18">FIXED(E17,3-(1+INT(LOG10(ABS(E17)))))</f>
        <v>43.0</v>
      </c>
      <c r="F37" s="85" t="str">
        <f t="shared" si="18"/>
        <v>43.0</v>
      </c>
      <c r="G37" s="85" t="str">
        <f t="shared" si="18"/>
        <v>44.0</v>
      </c>
      <c r="H37" s="86" t="str">
        <f t="shared" si="18"/>
        <v>43.0</v>
      </c>
    </row>
    <row r="39" spans="2:8">
      <c r="B39" s="157" t="s">
        <v>25</v>
      </c>
      <c r="C39" s="126"/>
      <c r="D39" s="126"/>
      <c r="E39" s="126"/>
      <c r="F39" s="126"/>
      <c r="G39" s="126"/>
      <c r="H39" s="126"/>
    </row>
    <row r="40" spans="2:8">
      <c r="B40" s="126"/>
      <c r="C40" s="126"/>
      <c r="D40" s="126"/>
      <c r="E40" s="126"/>
      <c r="F40" s="126"/>
      <c r="G40" s="126"/>
      <c r="H40" s="126"/>
    </row>
  </sheetData>
  <mergeCells count="8">
    <mergeCell ref="B28:B32"/>
    <mergeCell ref="B33:B37"/>
    <mergeCell ref="B39:H40"/>
    <mergeCell ref="B3:B7"/>
    <mergeCell ref="B8:B12"/>
    <mergeCell ref="B13:B17"/>
    <mergeCell ref="B19:H20"/>
    <mergeCell ref="B23:B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136E-0F1E-4CFB-AF45-325961318A20}">
  <dimension ref="A1:AG43"/>
  <sheetViews>
    <sheetView zoomScaleNormal="100" workbookViewId="0">
      <selection activeCell="Q31" sqref="Q31"/>
    </sheetView>
  </sheetViews>
  <sheetFormatPr defaultRowHeight="16.5"/>
  <cols>
    <col min="2" max="2" width="14.625" customWidth="1"/>
    <col min="3" max="3" width="15" customWidth="1"/>
    <col min="4" max="8" width="5.625" customWidth="1"/>
    <col min="10" max="10" width="14.375" customWidth="1"/>
    <col min="11" max="11" width="13.125" customWidth="1"/>
    <col min="12" max="12" width="15.5" customWidth="1"/>
    <col min="13" max="17" width="5.625" customWidth="1"/>
    <col min="18" max="18" width="13.5" customWidth="1"/>
    <col min="19" max="19" width="12.25" customWidth="1"/>
    <col min="20" max="20" width="15" customWidth="1"/>
    <col min="21" max="21" width="20.375" customWidth="1"/>
    <col min="22" max="22" width="17.875" customWidth="1"/>
    <col min="23" max="23" width="11.25" customWidth="1"/>
    <col min="24" max="24" width="11.875" customWidth="1"/>
    <col min="25" max="25" width="15.75" customWidth="1"/>
    <col min="26" max="26" width="14" customWidth="1"/>
    <col min="28" max="28" width="12.125" customWidth="1"/>
    <col min="29" max="29" width="9.375" customWidth="1"/>
    <col min="30" max="30" width="10.25" customWidth="1"/>
    <col min="31" max="31" width="10" customWidth="1"/>
  </cols>
  <sheetData>
    <row r="1" spans="1:33" ht="17.25" thickBot="1"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</row>
    <row r="2" spans="1:33" ht="17.25" thickBot="1">
      <c r="R2" s="91"/>
      <c r="S2" s="206"/>
      <c r="T2" s="114" t="s">
        <v>125</v>
      </c>
      <c r="U2" s="114" t="s">
        <v>26</v>
      </c>
      <c r="V2" s="92" t="s">
        <v>116</v>
      </c>
      <c r="W2" s="91"/>
      <c r="X2" s="206"/>
      <c r="Y2" s="114" t="s">
        <v>128</v>
      </c>
      <c r="Z2" s="114" t="s">
        <v>29</v>
      </c>
      <c r="AA2" s="91"/>
      <c r="AB2" s="208"/>
      <c r="AC2" s="114" t="s">
        <v>122</v>
      </c>
      <c r="AD2" s="114" t="s">
        <v>13</v>
      </c>
      <c r="AE2" s="114" t="s">
        <v>123</v>
      </c>
      <c r="AF2" s="91"/>
      <c r="AG2" s="91"/>
    </row>
    <row r="3" spans="1:33" ht="17.25" thickBot="1">
      <c r="R3" s="91"/>
      <c r="S3" s="207"/>
      <c r="T3" s="108" t="s">
        <v>117</v>
      </c>
      <c r="U3" s="108" t="s">
        <v>118</v>
      </c>
      <c r="V3" s="109" t="s">
        <v>119</v>
      </c>
      <c r="W3" s="91"/>
      <c r="X3" s="207"/>
      <c r="Y3" s="108" t="s">
        <v>120</v>
      </c>
      <c r="Z3" s="108" t="s">
        <v>121</v>
      </c>
      <c r="AA3" s="91"/>
      <c r="AB3" s="209"/>
      <c r="AC3" s="116">
        <v>1808.3</v>
      </c>
      <c r="AD3" s="120">
        <v>240</v>
      </c>
      <c r="AE3" s="221">
        <v>16.376306620209053</v>
      </c>
      <c r="AF3" s="91"/>
      <c r="AG3" s="91"/>
    </row>
    <row r="4" spans="1:33" ht="17.25" thickBot="1">
      <c r="R4" s="91"/>
      <c r="S4" s="93" t="s">
        <v>124</v>
      </c>
      <c r="T4" s="108" t="s">
        <v>138</v>
      </c>
      <c r="U4" s="108" t="s">
        <v>138</v>
      </c>
      <c r="V4" s="109" t="s">
        <v>138</v>
      </c>
      <c r="W4" s="91"/>
      <c r="X4" s="93" t="s">
        <v>124</v>
      </c>
      <c r="Y4" s="108" t="s">
        <v>127</v>
      </c>
      <c r="Z4" s="108" t="s">
        <v>126</v>
      </c>
      <c r="AA4" s="91"/>
      <c r="AB4" s="210"/>
      <c r="AC4" s="116">
        <v>4900.3</v>
      </c>
      <c r="AD4" s="120">
        <v>271</v>
      </c>
      <c r="AE4" s="221">
        <v>5.5749128919860489</v>
      </c>
      <c r="AF4" s="91"/>
      <c r="AG4" s="91"/>
    </row>
    <row r="5" spans="1:33" ht="17.25" thickBot="1">
      <c r="R5" s="91"/>
      <c r="S5" s="220" t="s">
        <v>141</v>
      </c>
      <c r="T5" s="220"/>
      <c r="U5" s="220"/>
      <c r="V5" s="220"/>
      <c r="W5" s="91"/>
      <c r="X5" s="220" t="s">
        <v>142</v>
      </c>
      <c r="Y5" s="220"/>
      <c r="Z5" s="220"/>
      <c r="AA5" s="91"/>
      <c r="AB5" s="93" t="s">
        <v>124</v>
      </c>
      <c r="AC5" s="115">
        <v>9996.5</v>
      </c>
      <c r="AD5" s="121">
        <v>277</v>
      </c>
      <c r="AE5" s="222">
        <v>3.484320557491273</v>
      </c>
      <c r="AF5" s="91"/>
      <c r="AG5" s="91"/>
    </row>
    <row r="6" spans="1:33" ht="17.25" thickBot="1">
      <c r="A6" s="91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220" t="s">
        <v>143</v>
      </c>
      <c r="AC6" s="220"/>
      <c r="AD6" s="220"/>
      <c r="AE6" s="220"/>
      <c r="AF6" s="91"/>
      <c r="AG6" s="91"/>
    </row>
    <row r="7" spans="1:33">
      <c r="A7" s="91"/>
      <c r="B7" s="165" t="s">
        <v>31</v>
      </c>
      <c r="C7" s="168" t="s">
        <v>103</v>
      </c>
      <c r="D7" s="204" t="s">
        <v>133</v>
      </c>
      <c r="E7" s="175"/>
      <c r="F7" s="175"/>
      <c r="G7" s="175"/>
      <c r="H7" s="205"/>
      <c r="I7" s="91"/>
      <c r="J7" s="212" t="s">
        <v>30</v>
      </c>
      <c r="K7" s="212" t="s">
        <v>136</v>
      </c>
      <c r="L7" s="215" t="s">
        <v>135</v>
      </c>
      <c r="M7" s="204" t="s">
        <v>134</v>
      </c>
      <c r="N7" s="175"/>
      <c r="O7" s="175"/>
      <c r="P7" s="175"/>
      <c r="Q7" s="205"/>
      <c r="R7" s="215" t="s">
        <v>137</v>
      </c>
      <c r="S7" s="215" t="s">
        <v>130</v>
      </c>
      <c r="T7" s="91"/>
    </row>
    <row r="8" spans="1:33" ht="17.25" thickBot="1">
      <c r="A8" s="91"/>
      <c r="B8" s="167"/>
      <c r="C8" s="211"/>
      <c r="D8" s="201" t="s">
        <v>102</v>
      </c>
      <c r="E8" s="202" t="s">
        <v>97</v>
      </c>
      <c r="F8" s="202" t="s">
        <v>98</v>
      </c>
      <c r="G8" s="202" t="s">
        <v>99</v>
      </c>
      <c r="H8" s="203" t="s">
        <v>100</v>
      </c>
      <c r="I8" s="91"/>
      <c r="J8" s="214"/>
      <c r="K8" s="214"/>
      <c r="L8" s="216"/>
      <c r="M8" s="94" t="s">
        <v>96</v>
      </c>
      <c r="N8" s="94" t="s">
        <v>97</v>
      </c>
      <c r="O8" s="94" t="s">
        <v>98</v>
      </c>
      <c r="P8" s="94" t="s">
        <v>99</v>
      </c>
      <c r="Q8" s="95" t="s">
        <v>100</v>
      </c>
      <c r="R8" s="216"/>
      <c r="S8" s="216"/>
      <c r="T8" s="91"/>
    </row>
    <row r="9" spans="1:33">
      <c r="A9" s="91"/>
      <c r="B9" s="165" t="s">
        <v>32</v>
      </c>
      <c r="C9" s="96" t="s">
        <v>41</v>
      </c>
      <c r="D9" s="195" t="s">
        <v>42</v>
      </c>
      <c r="E9" s="198" t="s">
        <v>42</v>
      </c>
      <c r="F9" s="198" t="s">
        <v>42</v>
      </c>
      <c r="G9" s="198" t="s">
        <v>42</v>
      </c>
      <c r="H9" s="97" t="s">
        <v>42</v>
      </c>
      <c r="I9" s="91"/>
      <c r="J9" s="212" t="s">
        <v>32</v>
      </c>
      <c r="K9" s="172" t="s">
        <v>113</v>
      </c>
      <c r="L9" s="98" t="s">
        <v>108</v>
      </c>
      <c r="M9" s="99" t="s">
        <v>71</v>
      </c>
      <c r="N9" s="100" t="s">
        <v>71</v>
      </c>
      <c r="O9" s="100" t="s">
        <v>71</v>
      </c>
      <c r="P9" s="100" t="s">
        <v>71</v>
      </c>
      <c r="Q9" s="101" t="s">
        <v>71</v>
      </c>
      <c r="R9" s="98" t="s">
        <v>71</v>
      </c>
      <c r="S9" s="193">
        <v>0</v>
      </c>
      <c r="T9" s="91"/>
    </row>
    <row r="10" spans="1:33">
      <c r="A10" s="91"/>
      <c r="B10" s="166"/>
      <c r="C10" s="102" t="s">
        <v>43</v>
      </c>
      <c r="D10" s="196" t="s">
        <v>44</v>
      </c>
      <c r="E10" s="199" t="s">
        <v>44</v>
      </c>
      <c r="F10" s="199" t="s">
        <v>44</v>
      </c>
      <c r="G10" s="199" t="s">
        <v>44</v>
      </c>
      <c r="H10" s="103" t="s">
        <v>44</v>
      </c>
      <c r="I10" s="91"/>
      <c r="J10" s="213"/>
      <c r="K10" s="173"/>
      <c r="L10" s="104" t="s">
        <v>109</v>
      </c>
      <c r="M10" s="105" t="s">
        <v>72</v>
      </c>
      <c r="N10" s="106" t="s">
        <v>72</v>
      </c>
      <c r="O10" s="106" t="s">
        <v>72</v>
      </c>
      <c r="P10" s="106" t="s">
        <v>72</v>
      </c>
      <c r="Q10" s="107" t="s">
        <v>72</v>
      </c>
      <c r="R10" s="104" t="s">
        <v>72</v>
      </c>
      <c r="S10" s="194">
        <v>0</v>
      </c>
      <c r="T10" s="91"/>
    </row>
    <row r="11" spans="1:33">
      <c r="A11" s="91"/>
      <c r="B11" s="166"/>
      <c r="C11" s="102" t="s">
        <v>45</v>
      </c>
      <c r="D11" s="196" t="s">
        <v>46</v>
      </c>
      <c r="E11" s="199" t="s">
        <v>47</v>
      </c>
      <c r="F11" s="199" t="s">
        <v>47</v>
      </c>
      <c r="G11" s="199" t="s">
        <v>47</v>
      </c>
      <c r="H11" s="103" t="s">
        <v>47</v>
      </c>
      <c r="I11" s="91"/>
      <c r="J11" s="213"/>
      <c r="K11" s="173"/>
      <c r="L11" s="104" t="s">
        <v>110</v>
      </c>
      <c r="M11" s="105" t="s">
        <v>111</v>
      </c>
      <c r="N11" s="106" t="s">
        <v>73</v>
      </c>
      <c r="O11" s="106" t="s">
        <v>73</v>
      </c>
      <c r="P11" s="106" t="s">
        <v>73</v>
      </c>
      <c r="Q11" s="107" t="s">
        <v>73</v>
      </c>
      <c r="R11" s="104" t="s">
        <v>73</v>
      </c>
      <c r="S11" s="191">
        <v>1.9999999999999928E-2</v>
      </c>
      <c r="T11" s="91"/>
    </row>
    <row r="12" spans="1:33">
      <c r="A12" s="91"/>
      <c r="B12" s="166"/>
      <c r="C12" s="102" t="s">
        <v>48</v>
      </c>
      <c r="D12" s="196" t="s">
        <v>49</v>
      </c>
      <c r="E12" s="199" t="s">
        <v>49</v>
      </c>
      <c r="F12" s="199" t="s">
        <v>49</v>
      </c>
      <c r="G12" s="199" t="s">
        <v>49</v>
      </c>
      <c r="H12" s="103" t="s">
        <v>49</v>
      </c>
      <c r="I12" s="91"/>
      <c r="J12" s="213"/>
      <c r="K12" s="173"/>
      <c r="L12" s="104" t="s">
        <v>112</v>
      </c>
      <c r="M12" s="105" t="s">
        <v>74</v>
      </c>
      <c r="N12" s="106" t="s">
        <v>74</v>
      </c>
      <c r="O12" s="106" t="s">
        <v>74</v>
      </c>
      <c r="P12" s="106" t="s">
        <v>74</v>
      </c>
      <c r="Q12" s="107" t="s">
        <v>74</v>
      </c>
      <c r="R12" s="104" t="s">
        <v>74</v>
      </c>
      <c r="S12" s="194">
        <v>0</v>
      </c>
      <c r="T12" s="91"/>
    </row>
    <row r="13" spans="1:33" ht="17.25" thickBot="1">
      <c r="A13" s="91"/>
      <c r="B13" s="167"/>
      <c r="C13" s="108" t="s">
        <v>50</v>
      </c>
      <c r="D13" s="197" t="s">
        <v>51</v>
      </c>
      <c r="E13" s="200" t="s">
        <v>51</v>
      </c>
      <c r="F13" s="200" t="s">
        <v>51</v>
      </c>
      <c r="G13" s="200" t="s">
        <v>51</v>
      </c>
      <c r="H13" s="109" t="s">
        <v>51</v>
      </c>
      <c r="I13" s="91"/>
      <c r="J13" s="214"/>
      <c r="K13" s="174"/>
      <c r="L13" s="110" t="s">
        <v>75</v>
      </c>
      <c r="M13" s="111" t="s">
        <v>76</v>
      </c>
      <c r="N13" s="112" t="s">
        <v>76</v>
      </c>
      <c r="O13" s="112" t="s">
        <v>76</v>
      </c>
      <c r="P13" s="112" t="s">
        <v>76</v>
      </c>
      <c r="Q13" s="113" t="s">
        <v>76</v>
      </c>
      <c r="R13" s="110" t="s">
        <v>76</v>
      </c>
      <c r="S13" s="190">
        <v>4.4408920985006262E-16</v>
      </c>
      <c r="T13" s="91"/>
    </row>
    <row r="14" spans="1:33">
      <c r="A14" s="91"/>
      <c r="B14" s="165" t="s">
        <v>34</v>
      </c>
      <c r="C14" s="96" t="s">
        <v>41</v>
      </c>
      <c r="D14" s="195" t="s">
        <v>52</v>
      </c>
      <c r="E14" s="198" t="s">
        <v>53</v>
      </c>
      <c r="F14" s="198" t="s">
        <v>54</v>
      </c>
      <c r="G14" s="198" t="s">
        <v>55</v>
      </c>
      <c r="H14" s="97" t="s">
        <v>54</v>
      </c>
      <c r="I14" s="91"/>
      <c r="J14" s="212" t="s">
        <v>34</v>
      </c>
      <c r="K14" s="172" t="s">
        <v>114</v>
      </c>
      <c r="L14" s="98" t="s">
        <v>108</v>
      </c>
      <c r="M14" s="99" t="s">
        <v>77</v>
      </c>
      <c r="N14" s="100" t="s">
        <v>78</v>
      </c>
      <c r="O14" s="100" t="s">
        <v>79</v>
      </c>
      <c r="P14" s="100" t="s">
        <v>80</v>
      </c>
      <c r="Q14" s="101" t="s">
        <v>79</v>
      </c>
      <c r="R14" s="98" t="s">
        <v>104</v>
      </c>
      <c r="S14" s="192">
        <v>0.13190905958272889</v>
      </c>
      <c r="T14" s="91"/>
    </row>
    <row r="15" spans="1:33">
      <c r="A15" s="91"/>
      <c r="B15" s="166"/>
      <c r="C15" s="102" t="s">
        <v>43</v>
      </c>
      <c r="D15" s="196" t="s">
        <v>56</v>
      </c>
      <c r="E15" s="199" t="s">
        <v>56</v>
      </c>
      <c r="F15" s="199" t="s">
        <v>56</v>
      </c>
      <c r="G15" s="199" t="s">
        <v>56</v>
      </c>
      <c r="H15" s="103" t="s">
        <v>56</v>
      </c>
      <c r="I15" s="91"/>
      <c r="J15" s="213"/>
      <c r="K15" s="173"/>
      <c r="L15" s="104" t="s">
        <v>109</v>
      </c>
      <c r="M15" s="105" t="s">
        <v>81</v>
      </c>
      <c r="N15" s="106" t="s">
        <v>81</v>
      </c>
      <c r="O15" s="106" t="s">
        <v>81</v>
      </c>
      <c r="P15" s="106" t="s">
        <v>81</v>
      </c>
      <c r="Q15" s="107" t="s">
        <v>81</v>
      </c>
      <c r="R15" s="104" t="s">
        <v>81</v>
      </c>
      <c r="S15" s="194">
        <v>0</v>
      </c>
      <c r="T15" s="91"/>
    </row>
    <row r="16" spans="1:33">
      <c r="A16" s="91"/>
      <c r="B16" s="166"/>
      <c r="C16" s="102" t="s">
        <v>45</v>
      </c>
      <c r="D16" s="196" t="s">
        <v>57</v>
      </c>
      <c r="E16" s="199" t="s">
        <v>57</v>
      </c>
      <c r="F16" s="199" t="s">
        <v>57</v>
      </c>
      <c r="G16" s="199" t="s">
        <v>57</v>
      </c>
      <c r="H16" s="103" t="s">
        <v>57</v>
      </c>
      <c r="I16" s="91"/>
      <c r="J16" s="213"/>
      <c r="K16" s="173"/>
      <c r="L16" s="104" t="s">
        <v>110</v>
      </c>
      <c r="M16" s="105" t="s">
        <v>82</v>
      </c>
      <c r="N16" s="106" t="s">
        <v>82</v>
      </c>
      <c r="O16" s="106" t="s">
        <v>82</v>
      </c>
      <c r="P16" s="106" t="s">
        <v>82</v>
      </c>
      <c r="Q16" s="107" t="s">
        <v>82</v>
      </c>
      <c r="R16" s="104" t="s">
        <v>82</v>
      </c>
      <c r="S16" s="194">
        <v>0</v>
      </c>
      <c r="T16" s="91"/>
    </row>
    <row r="17" spans="1:30">
      <c r="A17" s="91"/>
      <c r="B17" s="166"/>
      <c r="C17" s="102" t="s">
        <v>48</v>
      </c>
      <c r="D17" s="196" t="s">
        <v>58</v>
      </c>
      <c r="E17" s="199" t="s">
        <v>58</v>
      </c>
      <c r="F17" s="199" t="s">
        <v>59</v>
      </c>
      <c r="G17" s="199" t="s">
        <v>58</v>
      </c>
      <c r="H17" s="103" t="s">
        <v>58</v>
      </c>
      <c r="I17" s="91"/>
      <c r="J17" s="213"/>
      <c r="K17" s="173"/>
      <c r="L17" s="104" t="s">
        <v>112</v>
      </c>
      <c r="M17" s="105" t="s">
        <v>83</v>
      </c>
      <c r="N17" s="106" t="s">
        <v>83</v>
      </c>
      <c r="O17" s="106" t="s">
        <v>84</v>
      </c>
      <c r="P17" s="106" t="s">
        <v>83</v>
      </c>
      <c r="Q17" s="107" t="s">
        <v>83</v>
      </c>
      <c r="R17" s="104" t="s">
        <v>105</v>
      </c>
      <c r="S17" s="191">
        <v>9.9999999999999992E-2</v>
      </c>
      <c r="T17" s="91"/>
      <c r="AB17">
        <f>AVERAGE(AD3:AD5)</f>
        <v>262.66666666666669</v>
      </c>
      <c r="AD17">
        <v>262.66666666666669</v>
      </c>
    </row>
    <row r="18" spans="1:30" ht="17.25" thickBot="1">
      <c r="A18" s="91"/>
      <c r="B18" s="167"/>
      <c r="C18" s="108" t="s">
        <v>50</v>
      </c>
      <c r="D18" s="197" t="s">
        <v>60</v>
      </c>
      <c r="E18" s="200" t="s">
        <v>61</v>
      </c>
      <c r="F18" s="200" t="s">
        <v>62</v>
      </c>
      <c r="G18" s="200" t="s">
        <v>61</v>
      </c>
      <c r="H18" s="109" t="s">
        <v>61</v>
      </c>
      <c r="I18" s="91"/>
      <c r="J18" s="214"/>
      <c r="K18" s="174"/>
      <c r="L18" s="110" t="s">
        <v>75</v>
      </c>
      <c r="M18" s="111" t="s">
        <v>85</v>
      </c>
      <c r="N18" s="112" t="s">
        <v>86</v>
      </c>
      <c r="O18" s="112" t="s">
        <v>87</v>
      </c>
      <c r="P18" s="112" t="s">
        <v>86</v>
      </c>
      <c r="Q18" s="113" t="s">
        <v>86</v>
      </c>
      <c r="R18" s="110" t="s">
        <v>106</v>
      </c>
      <c r="S18" s="190">
        <v>0.11135528725660064</v>
      </c>
      <c r="T18" s="91"/>
      <c r="AB18">
        <v>0.26300000000000001</v>
      </c>
    </row>
    <row r="19" spans="1:30">
      <c r="A19" s="91"/>
      <c r="B19" s="166" t="s">
        <v>37</v>
      </c>
      <c r="C19" s="102" t="s">
        <v>41</v>
      </c>
      <c r="D19" s="196" t="s">
        <v>63</v>
      </c>
      <c r="E19" s="199" t="s">
        <v>63</v>
      </c>
      <c r="F19" s="199" t="s">
        <v>63</v>
      </c>
      <c r="G19" s="199" t="s">
        <v>63</v>
      </c>
      <c r="H19" s="103" t="s">
        <v>63</v>
      </c>
      <c r="I19" s="91"/>
      <c r="J19" s="169" t="s">
        <v>36</v>
      </c>
      <c r="K19" s="172" t="s">
        <v>115</v>
      </c>
      <c r="L19" s="98" t="s">
        <v>108</v>
      </c>
      <c r="M19" s="99" t="s">
        <v>88</v>
      </c>
      <c r="N19" s="100" t="s">
        <v>88</v>
      </c>
      <c r="O19" s="100" t="s">
        <v>88</v>
      </c>
      <c r="P19" s="100" t="s">
        <v>88</v>
      </c>
      <c r="Q19" s="101" t="s">
        <v>88</v>
      </c>
      <c r="R19" s="98" t="s">
        <v>88</v>
      </c>
      <c r="S19" s="193">
        <v>0</v>
      </c>
      <c r="T19" s="91"/>
      <c r="AA19" t="s">
        <v>146</v>
      </c>
      <c r="AB19">
        <f>_xlfn.STDEV.S(AD3:AD5)/SQRT(3)</f>
        <v>11.46492234794656</v>
      </c>
    </row>
    <row r="20" spans="1:30">
      <c r="A20" s="91"/>
      <c r="B20" s="166"/>
      <c r="C20" s="102" t="s">
        <v>43</v>
      </c>
      <c r="D20" s="196" t="s">
        <v>64</v>
      </c>
      <c r="E20" s="199" t="s">
        <v>65</v>
      </c>
      <c r="F20" s="199" t="s">
        <v>65</v>
      </c>
      <c r="G20" s="199" t="s">
        <v>65</v>
      </c>
      <c r="H20" s="103" t="s">
        <v>65</v>
      </c>
      <c r="I20" s="91"/>
      <c r="J20" s="170"/>
      <c r="K20" s="173"/>
      <c r="L20" s="104" t="s">
        <v>109</v>
      </c>
      <c r="M20" s="105" t="s">
        <v>89</v>
      </c>
      <c r="N20" s="106" t="s">
        <v>90</v>
      </c>
      <c r="O20" s="106" t="s">
        <v>90</v>
      </c>
      <c r="P20" s="106" t="s">
        <v>90</v>
      </c>
      <c r="Q20" s="107" t="s">
        <v>90</v>
      </c>
      <c r="R20" s="104" t="s">
        <v>107</v>
      </c>
      <c r="S20" s="191">
        <v>0.2</v>
      </c>
      <c r="T20" s="91"/>
    </row>
    <row r="21" spans="1:30" ht="17.25" customHeight="1">
      <c r="A21" s="91"/>
      <c r="B21" s="166"/>
      <c r="C21" s="102" t="s">
        <v>45</v>
      </c>
      <c r="D21" s="196" t="s">
        <v>66</v>
      </c>
      <c r="E21" s="199" t="s">
        <v>66</v>
      </c>
      <c r="F21" s="199" t="s">
        <v>66</v>
      </c>
      <c r="G21" s="199" t="s">
        <v>66</v>
      </c>
      <c r="H21" s="103" t="s">
        <v>66</v>
      </c>
      <c r="I21" s="91"/>
      <c r="J21" s="170"/>
      <c r="K21" s="173"/>
      <c r="L21" s="104" t="s">
        <v>110</v>
      </c>
      <c r="M21" s="105" t="s">
        <v>91</v>
      </c>
      <c r="N21" s="106" t="s">
        <v>91</v>
      </c>
      <c r="O21" s="106" t="s">
        <v>91</v>
      </c>
      <c r="P21" s="106" t="s">
        <v>91</v>
      </c>
      <c r="Q21" s="107" t="s">
        <v>91</v>
      </c>
      <c r="R21" s="104" t="s">
        <v>91</v>
      </c>
      <c r="S21" s="194">
        <v>0</v>
      </c>
      <c r="T21" s="91"/>
    </row>
    <row r="22" spans="1:30">
      <c r="A22" s="91"/>
      <c r="B22" s="166"/>
      <c r="C22" s="102" t="s">
        <v>48</v>
      </c>
      <c r="D22" s="196" t="s">
        <v>67</v>
      </c>
      <c r="E22" s="199" t="s">
        <v>67</v>
      </c>
      <c r="F22" s="199" t="s">
        <v>67</v>
      </c>
      <c r="G22" s="199" t="s">
        <v>67</v>
      </c>
      <c r="H22" s="103" t="s">
        <v>67</v>
      </c>
      <c r="I22" s="91"/>
      <c r="J22" s="170"/>
      <c r="K22" s="173"/>
      <c r="L22" s="104" t="s">
        <v>112</v>
      </c>
      <c r="M22" s="105" t="s">
        <v>92</v>
      </c>
      <c r="N22" s="106" t="s">
        <v>92</v>
      </c>
      <c r="O22" s="106" t="s">
        <v>92</v>
      </c>
      <c r="P22" s="106" t="s">
        <v>92</v>
      </c>
      <c r="Q22" s="107" t="s">
        <v>92</v>
      </c>
      <c r="R22" s="104" t="s">
        <v>92</v>
      </c>
      <c r="S22" s="194">
        <v>0</v>
      </c>
      <c r="T22" s="91"/>
    </row>
    <row r="23" spans="1:30" ht="17.25" thickBot="1">
      <c r="A23" s="91"/>
      <c r="B23" s="167"/>
      <c r="C23" s="108" t="s">
        <v>50</v>
      </c>
      <c r="D23" s="197" t="s">
        <v>68</v>
      </c>
      <c r="E23" s="200" t="s">
        <v>69</v>
      </c>
      <c r="F23" s="200" t="s">
        <v>69</v>
      </c>
      <c r="G23" s="200" t="s">
        <v>70</v>
      </c>
      <c r="H23" s="109" t="s">
        <v>69</v>
      </c>
      <c r="I23" s="91"/>
      <c r="J23" s="171"/>
      <c r="K23" s="174"/>
      <c r="L23" s="110" t="s">
        <v>75</v>
      </c>
      <c r="M23" s="111" t="s">
        <v>93</v>
      </c>
      <c r="N23" s="112" t="s">
        <v>94</v>
      </c>
      <c r="O23" s="112" t="s">
        <v>94</v>
      </c>
      <c r="P23" s="112" t="s">
        <v>95</v>
      </c>
      <c r="Q23" s="113" t="s">
        <v>94</v>
      </c>
      <c r="R23" s="110" t="s">
        <v>94</v>
      </c>
      <c r="S23" s="190">
        <v>0.31622776601683794</v>
      </c>
      <c r="T23" s="91"/>
    </row>
    <row r="24" spans="1:30" ht="17.25" thickBot="1">
      <c r="A24" s="91"/>
      <c r="B24" s="93" t="s">
        <v>124</v>
      </c>
      <c r="C24" s="176" t="s">
        <v>139</v>
      </c>
      <c r="D24" s="177" t="s">
        <v>131</v>
      </c>
      <c r="E24" s="178"/>
      <c r="F24" s="178"/>
      <c r="G24" s="178"/>
      <c r="H24" s="179"/>
      <c r="I24" s="91"/>
      <c r="J24" s="93" t="s">
        <v>124</v>
      </c>
      <c r="K24" s="180" t="s">
        <v>139</v>
      </c>
      <c r="L24" s="180" t="s">
        <v>140</v>
      </c>
      <c r="M24" s="181" t="s">
        <v>131</v>
      </c>
      <c r="N24" s="182"/>
      <c r="O24" s="182"/>
      <c r="P24" s="182"/>
      <c r="Q24" s="182"/>
      <c r="R24" s="182"/>
      <c r="S24" s="183"/>
      <c r="T24" s="91"/>
    </row>
    <row r="25" spans="1:30">
      <c r="A25" s="91"/>
      <c r="B25" s="217" t="s">
        <v>144</v>
      </c>
      <c r="C25" s="217"/>
      <c r="D25" s="217"/>
      <c r="E25" s="217"/>
      <c r="F25" s="217"/>
      <c r="G25" s="217"/>
      <c r="H25" s="217"/>
      <c r="I25" s="91"/>
      <c r="J25" s="219" t="s">
        <v>145</v>
      </c>
      <c r="K25" s="218"/>
      <c r="L25" s="218"/>
      <c r="M25" s="218"/>
      <c r="N25" s="218"/>
      <c r="O25" s="218"/>
      <c r="P25" s="218"/>
      <c r="Q25" s="218"/>
      <c r="R25" s="218"/>
      <c r="S25" s="218"/>
      <c r="T25" s="91"/>
    </row>
    <row r="26" spans="1:30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</row>
    <row r="27" spans="1:30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</row>
    <row r="43" spans="10:10">
      <c r="J43" t="s">
        <v>132</v>
      </c>
    </row>
  </sheetData>
  <mergeCells count="28">
    <mergeCell ref="AB6:AE6"/>
    <mergeCell ref="S7:S8"/>
    <mergeCell ref="B25:H25"/>
    <mergeCell ref="J25:S25"/>
    <mergeCell ref="S5:V5"/>
    <mergeCell ref="X5:Z5"/>
    <mergeCell ref="S2:S3"/>
    <mergeCell ref="X2:X3"/>
    <mergeCell ref="AB2:AB4"/>
    <mergeCell ref="D24:H24"/>
    <mergeCell ref="M24:S24"/>
    <mergeCell ref="J7:J8"/>
    <mergeCell ref="K7:K8"/>
    <mergeCell ref="L7:L8"/>
    <mergeCell ref="R7:R8"/>
    <mergeCell ref="M7:Q7"/>
    <mergeCell ref="J9:J13"/>
    <mergeCell ref="K9:K13"/>
    <mergeCell ref="J14:J18"/>
    <mergeCell ref="K14:K18"/>
    <mergeCell ref="J19:J23"/>
    <mergeCell ref="K19:K23"/>
    <mergeCell ref="D7:H7"/>
    <mergeCell ref="B9:B13"/>
    <mergeCell ref="B14:B18"/>
    <mergeCell ref="B19:B23"/>
    <mergeCell ref="B7:B8"/>
    <mergeCell ref="C7:C8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30C9C5E62EF144F9209F5F8EC72BC84" ma:contentTypeVersion="3" ma:contentTypeDescription="새 문서를 만듭니다." ma:contentTypeScope="" ma:versionID="24ffbb027042fd0c639d93d374ac80a2">
  <xsd:schema xmlns:xsd="http://www.w3.org/2001/XMLSchema" xmlns:xs="http://www.w3.org/2001/XMLSchema" xmlns:p="http://schemas.microsoft.com/office/2006/metadata/properties" xmlns:ns3="6b28e3d6-4e92-425e-afcd-ed371da3b97a" targetNamespace="http://schemas.microsoft.com/office/2006/metadata/properties" ma:root="true" ma:fieldsID="b87eb0c5e7dcd809a82a941e1fb36624" ns3:_="">
    <xsd:import namespace="6b28e3d6-4e92-425e-afcd-ed371da3b9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8e3d6-4e92-425e-afcd-ed371da3b9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A6AC78-55F2-4D97-832D-8945FC25AD7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6b28e3d6-4e92-425e-afcd-ed371da3b97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EEE972-06E2-4412-B9C8-ED9468A546E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b28e3d6-4e92-425e-afcd-ed371da3b97a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847D36-BC28-46FE-827F-9F7D053C37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단위 환산 및 완전수 정의(수정금지)</vt:lpstr>
      <vt:lpstr>측정값 원본(수정금지)</vt:lpstr>
      <vt:lpstr>보고서 작성용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찬우 김</dc:creator>
  <cp:lastModifiedBy>김찬우(학부생-기계시스템공학전공)</cp:lastModifiedBy>
  <cp:lastPrinted>2023-09-18T16:26:17Z</cp:lastPrinted>
  <dcterms:created xsi:type="dcterms:W3CDTF">2023-09-18T05:36:10Z</dcterms:created>
  <dcterms:modified xsi:type="dcterms:W3CDTF">2023-09-23T16:17:48Z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0x010100530C9C5E62EF144F9209F5F8EC72BC84</vt:lpwstr>
  </property>
</Properties>
</file>