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"/>
    </mc:Choice>
  </mc:AlternateContent>
  <xr:revisionPtr revIDLastSave="0" documentId="8_{C02A5E71-850C-4444-83D3-8AD8C91DE8CF}" xr6:coauthVersionLast="47" xr6:coauthVersionMax="47" xr10:uidLastSave="{00000000-0000-0000-0000-000000000000}"/>
  <bookViews>
    <workbookView xWindow="-120" yWindow="-120" windowWidth="29040" windowHeight="15720" xr2:uid="{A82356BD-FC16-4781-AB8A-F4F89DC3B2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" i="1" l="1"/>
  <c r="U48" i="1"/>
  <c r="W48" i="1"/>
  <c r="W58" i="1"/>
  <c r="W53" i="1"/>
  <c r="U58" i="1"/>
  <c r="U53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48" i="1"/>
  <c r="D43" i="1"/>
  <c r="R22" i="1"/>
  <c r="S22" i="1" s="1"/>
  <c r="R27" i="1"/>
  <c r="S27" i="1" s="1"/>
  <c r="H32" i="1"/>
  <c r="G32" i="1"/>
  <c r="H27" i="1"/>
  <c r="H22" i="1"/>
  <c r="G27" i="1"/>
  <c r="G22" i="1"/>
  <c r="O32" i="1"/>
  <c r="O22" i="1"/>
  <c r="O27" i="1"/>
  <c r="P27" i="1"/>
  <c r="P32" i="1"/>
  <c r="P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2" i="1"/>
  <c r="A3" i="2"/>
  <c r="G3" i="2" s="1"/>
  <c r="A4" i="2"/>
  <c r="G4" i="2" s="1"/>
  <c r="A5" i="2"/>
  <c r="G5" i="2" s="1"/>
  <c r="A6" i="2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2" i="2"/>
  <c r="G2" i="2" s="1"/>
  <c r="F32" i="1"/>
  <c r="F33" i="1"/>
  <c r="F34" i="1"/>
  <c r="F35" i="1"/>
  <c r="F36" i="1"/>
  <c r="E33" i="1"/>
  <c r="E34" i="1"/>
  <c r="E35" i="1"/>
  <c r="E36" i="1"/>
  <c r="E32" i="1"/>
  <c r="F27" i="1"/>
  <c r="F28" i="1"/>
  <c r="F29" i="1"/>
  <c r="F30" i="1"/>
  <c r="E28" i="1"/>
  <c r="E29" i="1"/>
  <c r="E30" i="1"/>
  <c r="E27" i="1"/>
  <c r="F22" i="1"/>
  <c r="F23" i="1"/>
  <c r="F24" i="1"/>
  <c r="F25" i="1"/>
  <c r="F26" i="1"/>
  <c r="F31" i="1"/>
  <c r="E23" i="1"/>
  <c r="E24" i="1"/>
  <c r="E25" i="1"/>
  <c r="E26" i="1"/>
  <c r="E31" i="1"/>
  <c r="E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2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40" i="1"/>
  <c r="D41" i="1"/>
  <c r="D42" i="1"/>
  <c r="R34" i="1" s="1"/>
  <c r="S34" i="1" s="1"/>
  <c r="B14" i="2" s="1"/>
  <c r="F14" i="2" l="1"/>
  <c r="T34" i="1"/>
  <c r="L52" i="1"/>
  <c r="R26" i="1"/>
  <c r="S26" i="1" s="1"/>
  <c r="R32" i="1"/>
  <c r="S32" i="1" s="1"/>
  <c r="R29" i="1"/>
  <c r="S29" i="1" s="1"/>
  <c r="B9" i="2" s="1"/>
  <c r="F9" i="2" s="1"/>
  <c r="R28" i="1"/>
  <c r="S28" i="1" s="1"/>
  <c r="B8" i="2" s="1"/>
  <c r="F8" i="2" s="1"/>
  <c r="R25" i="1"/>
  <c r="S25" i="1" s="1"/>
  <c r="R36" i="1"/>
  <c r="S36" i="1" s="1"/>
  <c r="R24" i="1"/>
  <c r="S24" i="1" s="1"/>
  <c r="R35" i="1"/>
  <c r="S35" i="1" s="1"/>
  <c r="R23" i="1"/>
  <c r="S23" i="1" s="1"/>
  <c r="R33" i="1"/>
  <c r="S33" i="1" s="1"/>
  <c r="R31" i="1"/>
  <c r="S31" i="1" s="1"/>
  <c r="R30" i="1"/>
  <c r="S30" i="1" s="1"/>
  <c r="B10" i="2" s="1"/>
  <c r="F10" i="2" s="1"/>
  <c r="K36" i="1"/>
  <c r="K35" i="1"/>
  <c r="K31" i="1"/>
  <c r="K30" i="1"/>
  <c r="K26" i="1"/>
  <c r="K25" i="1"/>
  <c r="M34" i="1"/>
  <c r="M35" i="1"/>
  <c r="M36" i="1"/>
  <c r="M32" i="1"/>
  <c r="M29" i="1"/>
  <c r="M30" i="1"/>
  <c r="M27" i="1"/>
  <c r="M23" i="1"/>
  <c r="M24" i="1"/>
  <c r="M31" i="1"/>
  <c r="M22" i="1"/>
  <c r="K23" i="1"/>
  <c r="K24" i="1"/>
  <c r="K27" i="1"/>
  <c r="K28" i="1"/>
  <c r="K29" i="1"/>
  <c r="K32" i="1"/>
  <c r="K33" i="1"/>
  <c r="K34" i="1"/>
  <c r="K22" i="1"/>
  <c r="P9" i="1"/>
  <c r="P14" i="1"/>
  <c r="P4" i="1"/>
  <c r="O4" i="1"/>
  <c r="M18" i="1"/>
  <c r="M17" i="1"/>
  <c r="M16" i="1"/>
  <c r="M15" i="1"/>
  <c r="M33" i="1" s="1"/>
  <c r="M14" i="1"/>
  <c r="M13" i="1"/>
  <c r="M12" i="1"/>
  <c r="M11" i="1"/>
  <c r="M10" i="1"/>
  <c r="M28" i="1" s="1"/>
  <c r="M9" i="1"/>
  <c r="M8" i="1"/>
  <c r="M26" i="1" s="1"/>
  <c r="M7" i="1"/>
  <c r="M25" i="1" s="1"/>
  <c r="M6" i="1"/>
  <c r="M5" i="1"/>
  <c r="N18" i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B6" i="2" l="1"/>
  <c r="F6" i="2" s="1"/>
  <c r="B3" i="2"/>
  <c r="F3" i="2" s="1"/>
  <c r="B5" i="2"/>
  <c r="F5" i="2" s="1"/>
  <c r="B15" i="2"/>
  <c r="F15" i="2" s="1"/>
  <c r="H12" i="2" s="1"/>
  <c r="J12" i="2" s="1"/>
  <c r="M12" i="2" s="1"/>
  <c r="B4" i="2"/>
  <c r="F4" i="2" s="1"/>
  <c r="B13" i="2"/>
  <c r="F13" i="2" s="1"/>
  <c r="B11" i="2"/>
  <c r="F11" i="2" s="1"/>
  <c r="B16" i="2"/>
  <c r="F16" i="2" s="1"/>
  <c r="B12" i="2"/>
  <c r="F12" i="2" s="1"/>
  <c r="B2" i="2"/>
  <c r="F2" i="2" s="1"/>
  <c r="B7" i="2"/>
  <c r="F7" i="2" s="1"/>
  <c r="H7" i="2" s="1"/>
  <c r="J7" i="2" s="1"/>
  <c r="M7" i="2" s="1"/>
  <c r="T35" i="1"/>
  <c r="L53" i="1"/>
  <c r="L42" i="1"/>
  <c r="T24" i="1"/>
  <c r="T36" i="1"/>
  <c r="L54" i="1"/>
  <c r="L43" i="1"/>
  <c r="T25" i="1"/>
  <c r="L40" i="1"/>
  <c r="T22" i="1"/>
  <c r="U22" i="1" s="1"/>
  <c r="V22" i="1" s="1"/>
  <c r="L46" i="1"/>
  <c r="T28" i="1"/>
  <c r="L47" i="1"/>
  <c r="T29" i="1"/>
  <c r="L50" i="1"/>
  <c r="T32" i="1"/>
  <c r="L48" i="1"/>
  <c r="T30" i="1"/>
  <c r="L44" i="1"/>
  <c r="T26" i="1"/>
  <c r="T31" i="1"/>
  <c r="L49" i="1"/>
  <c r="L45" i="1"/>
  <c r="T27" i="1"/>
  <c r="L51" i="1"/>
  <c r="T33" i="1"/>
  <c r="L41" i="1"/>
  <c r="T23" i="1"/>
  <c r="H2" i="2" l="1"/>
  <c r="J2" i="2" s="1"/>
  <c r="M2" i="2" s="1"/>
  <c r="U27" i="1"/>
  <c r="W22" i="1"/>
  <c r="X22" i="1" s="1"/>
  <c r="U32" i="1"/>
  <c r="V32" i="1" s="1"/>
  <c r="V27" i="1" l="1"/>
  <c r="Y27" i="1" s="1"/>
  <c r="Z27" i="1" s="1"/>
  <c r="U40" i="1" s="1"/>
  <c r="Y22" i="1"/>
  <c r="Z22" i="1" s="1"/>
  <c r="U39" i="1" s="1"/>
  <c r="W32" i="1"/>
  <c r="X32" i="1" s="1"/>
  <c r="Y32" i="1"/>
  <c r="Z32" i="1" s="1"/>
  <c r="U41" i="1" s="1"/>
  <c r="Y40" i="1" l="1"/>
  <c r="X40" i="1"/>
  <c r="W27" i="1"/>
  <c r="X27" i="1" s="1"/>
</calcChain>
</file>

<file path=xl/sharedStrings.xml><?xml version="1.0" encoding="utf-8"?>
<sst xmlns="http://schemas.openxmlformats.org/spreadsheetml/2006/main" count="59" uniqueCount="29">
  <si>
    <t>r (mm)</t>
    <phoneticPr fontId="1" type="noConversion"/>
  </si>
  <si>
    <t>freq. (Hz)</t>
    <phoneticPr fontId="1" type="noConversion"/>
  </si>
  <si>
    <t>try 1</t>
    <phoneticPr fontId="1" type="noConversion"/>
  </si>
  <si>
    <t>try 2</t>
    <phoneticPr fontId="1" type="noConversion"/>
  </si>
  <si>
    <t>p_t-p_s (mmH2O)</t>
    <phoneticPr fontId="1" type="noConversion"/>
  </si>
  <si>
    <t>delta_p (mmH2O)</t>
    <phoneticPr fontId="1" type="noConversion"/>
  </si>
  <si>
    <t>Avg</t>
    <phoneticPr fontId="1" type="noConversion"/>
  </si>
  <si>
    <t>P</t>
    <phoneticPr fontId="1" type="noConversion"/>
  </si>
  <si>
    <t>kPa</t>
    <phoneticPr fontId="1" type="noConversion"/>
  </si>
  <si>
    <t>T</t>
    <phoneticPr fontId="1" type="noConversion"/>
  </si>
  <si>
    <t>K</t>
    <phoneticPr fontId="1" type="noConversion"/>
  </si>
  <si>
    <t>rho</t>
    <phoneticPr fontId="1" type="noConversion"/>
  </si>
  <si>
    <t>kg/m^3</t>
    <phoneticPr fontId="1" type="noConversion"/>
  </si>
  <si>
    <t>v (m/s)</t>
    <phoneticPr fontId="1" type="noConversion"/>
  </si>
  <si>
    <t>v(r2^2-r1^2)</t>
    <phoneticPr fontId="1" type="noConversion"/>
  </si>
  <si>
    <t>Q</t>
    <phoneticPr fontId="1" type="noConversion"/>
  </si>
  <si>
    <t>V avg</t>
    <phoneticPr fontId="1" type="noConversion"/>
  </si>
  <si>
    <t>오리피스내경</t>
    <phoneticPr fontId="1" type="noConversion"/>
  </si>
  <si>
    <t>m</t>
    <phoneticPr fontId="1" type="noConversion"/>
  </si>
  <si>
    <t>v (m/s)</t>
  </si>
  <si>
    <t>v</t>
    <phoneticPr fontId="1" type="noConversion"/>
  </si>
  <si>
    <t>r</t>
    <phoneticPr fontId="1" type="noConversion"/>
  </si>
  <si>
    <t>R</t>
    <phoneticPr fontId="1" type="noConversion"/>
  </si>
  <si>
    <t>v _max</t>
    <phoneticPr fontId="1" type="noConversion"/>
  </si>
  <si>
    <t>유효숫자 고려</t>
    <phoneticPr fontId="1" type="noConversion"/>
  </si>
  <si>
    <t>Q (m^3/s)</t>
    <phoneticPr fontId="1" type="noConversion"/>
  </si>
  <si>
    <t>7.70</t>
    <phoneticPr fontId="1" type="noConversion"/>
  </si>
  <si>
    <t>20.90</t>
    <phoneticPr fontId="1" type="noConversion"/>
  </si>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</sst>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±&quot;0.00"/>
    <numFmt numFmtId="179" formatCode="&quot;±&quot;0.0"/>
    <numFmt numFmtId="183" formatCode="0.000_);[Red]\(0.000\)"/>
    <numFmt numFmtId="185" formatCode="&quot;±&quot;0.0000"/>
    <numFmt numFmtId="186" formatCode="0.000&quot;%&quot;"/>
    <numFmt numFmtId="188" formatCode="&quot;±&quot;0.0&quot;%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4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76" fontId="5" fillId="0" borderId="14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76" fontId="5" fillId="0" borderId="15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6" xfId="0" applyFont="1" applyBorder="1" applyAlignment="1">
      <alignment horizontal="right" vertical="center"/>
    </xf>
    <xf numFmtId="0" fontId="6" fillId="0" borderId="19" xfId="0" applyFont="1" applyBorder="1" applyAlignment="1">
      <alignment horizontal="center" vertical="center"/>
    </xf>
    <xf numFmtId="0" fontId="5" fillId="0" borderId="20" xfId="0" applyFont="1" applyBorder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horizontal="center" vertical="center"/>
    </xf>
    <xf numFmtId="0" fontId="5" fillId="0" borderId="23" xfId="0" applyFont="1" applyBorder="1">
      <alignment vertical="center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left" vertical="center"/>
    </xf>
    <xf numFmtId="176" fontId="5" fillId="0" borderId="25" xfId="0" applyNumberFormat="1" applyFont="1" applyBorder="1" applyAlignment="1">
      <alignment horizontal="left" vertical="center"/>
    </xf>
    <xf numFmtId="176" fontId="5" fillId="0" borderId="26" xfId="0" applyNumberFormat="1" applyFont="1" applyBorder="1" applyAlignment="1">
      <alignment horizontal="left" vertical="center"/>
    </xf>
    <xf numFmtId="179" fontId="0" fillId="0" borderId="2" xfId="0" applyNumberFormat="1" applyBorder="1" applyAlignment="1">
      <alignment horizontal="left" vertical="center"/>
    </xf>
    <xf numFmtId="179" fontId="0" fillId="0" borderId="14" xfId="0" applyNumberFormat="1" applyBorder="1" applyAlignment="1">
      <alignment horizontal="left" vertical="center"/>
    </xf>
    <xf numFmtId="179" fontId="0" fillId="0" borderId="15" xfId="0" applyNumberFormat="1" applyBorder="1" applyAlignment="1">
      <alignment horizontal="left" vertical="center"/>
    </xf>
    <xf numFmtId="179" fontId="5" fillId="0" borderId="2" xfId="0" applyNumberFormat="1" applyFont="1" applyBorder="1" applyAlignment="1">
      <alignment horizontal="left" vertical="center"/>
    </xf>
    <xf numFmtId="179" fontId="5" fillId="0" borderId="14" xfId="0" applyNumberFormat="1" applyFont="1" applyBorder="1" applyAlignment="1">
      <alignment horizontal="left" vertical="center"/>
    </xf>
    <xf numFmtId="179" fontId="5" fillId="0" borderId="25" xfId="0" applyNumberFormat="1" applyFont="1" applyBorder="1" applyAlignment="1">
      <alignment horizontal="left" vertical="center"/>
    </xf>
    <xf numFmtId="179" fontId="5" fillId="0" borderId="26" xfId="0" applyNumberFormat="1" applyFont="1" applyBorder="1" applyAlignment="1">
      <alignment horizontal="left" vertical="center"/>
    </xf>
    <xf numFmtId="179" fontId="5" fillId="0" borderId="15" xfId="0" applyNumberFormat="1" applyFont="1" applyBorder="1" applyAlignment="1">
      <alignment horizontal="left" vertical="center"/>
    </xf>
    <xf numFmtId="183" fontId="5" fillId="0" borderId="27" xfId="0" applyNumberFormat="1" applyFont="1" applyBorder="1">
      <alignment vertical="center"/>
    </xf>
    <xf numFmtId="185" fontId="5" fillId="0" borderId="28" xfId="0" applyNumberFormat="1" applyFont="1" applyBorder="1" applyAlignment="1">
      <alignment horizontal="left" vertical="center"/>
    </xf>
    <xf numFmtId="186" fontId="0" fillId="0" borderId="0" xfId="0" applyNumberFormat="1">
      <alignment vertical="center"/>
    </xf>
    <xf numFmtId="0" fontId="0" fillId="0" borderId="29" xfId="0" applyBorder="1" applyAlignment="1">
      <alignment horizontal="center" vertical="center"/>
    </xf>
    <xf numFmtId="0" fontId="0" fillId="0" borderId="3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NumberFormat="1" applyBorder="1">
      <alignment vertical="center"/>
    </xf>
    <xf numFmtId="0" fontId="0" fillId="0" borderId="30" xfId="0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3" xfId="0" applyNumberFormat="1" applyBorder="1" applyAlignment="1">
      <alignment horizontal="right" vertical="center"/>
    </xf>
    <xf numFmtId="0" fontId="0" fillId="0" borderId="1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3" xfId="0" applyNumberFormat="1" applyBorder="1">
      <alignment vertical="center"/>
    </xf>
    <xf numFmtId="0" fontId="0" fillId="0" borderId="23" xfId="0" applyNumberFormat="1" applyBorder="1" applyAlignment="1">
      <alignment horizontal="right" vertical="center"/>
    </xf>
    <xf numFmtId="188" fontId="0" fillId="0" borderId="29" xfId="0" applyNumberFormat="1" applyBorder="1" applyAlignment="1">
      <alignment horizontal="left" vertical="center"/>
    </xf>
    <xf numFmtId="188" fontId="0" fillId="0" borderId="0" xfId="0" applyNumberFormat="1" applyBorder="1" applyAlignment="1">
      <alignment horizontal="left" vertical="center"/>
    </xf>
    <xf numFmtId="188" fontId="0" fillId="0" borderId="31" xfId="0" applyNumberFormat="1" applyBorder="1" applyAlignment="1">
      <alignment horizontal="left" vertical="center"/>
    </xf>
    <xf numFmtId="188" fontId="0" fillId="0" borderId="32" xfId="0" applyNumberFormat="1" applyBorder="1" applyAlignment="1">
      <alignment horizontal="left" vertical="center"/>
    </xf>
    <xf numFmtId="188" fontId="0" fillId="0" borderId="30" xfId="0" applyNumberFormat="1" applyBorder="1" applyAlignment="1">
      <alignment horizontal="left" vertical="center"/>
    </xf>
    <xf numFmtId="188" fontId="0" fillId="0" borderId="14" xfId="0" applyNumberFormat="1" applyBorder="1" applyAlignment="1">
      <alignment horizontal="left" vertical="center"/>
    </xf>
    <xf numFmtId="188" fontId="0" fillId="0" borderId="15" xfId="0" applyNumberFormat="1" applyBorder="1" applyAlignment="1">
      <alignment horizontal="left" vertical="center"/>
    </xf>
    <xf numFmtId="188" fontId="0" fillId="0" borderId="26" xfId="0" applyNumberFormat="1" applyBorder="1" applyAlignment="1">
      <alignment horizontal="left" vertical="center"/>
    </xf>
    <xf numFmtId="188" fontId="0" fillId="0" borderId="25" xfId="0" applyNumberFormat="1" applyBorder="1" applyAlignment="1">
      <alignment horizontal="left" vertical="center"/>
    </xf>
    <xf numFmtId="188" fontId="0" fillId="0" borderId="2" xfId="0" applyNumberFormat="1" applyBorder="1" applyAlignment="1">
      <alignment horizontal="left" vertical="center"/>
    </xf>
    <xf numFmtId="0" fontId="0" fillId="0" borderId="31" xfId="0" applyBorder="1" applyAlignment="1">
      <alignment horizontal="right" vertical="center"/>
    </xf>
    <xf numFmtId="0" fontId="0" fillId="0" borderId="29" xfId="0" applyNumberFormat="1" applyBorder="1" applyAlignment="1">
      <alignment horizontal="right" vertical="center"/>
    </xf>
    <xf numFmtId="0" fontId="0" fillId="0" borderId="32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005F-4399-47D1-86C4-941430369B7E}">
  <dimension ref="C1:Z62"/>
  <sheetViews>
    <sheetView tabSelected="1" zoomScaleNormal="100" workbookViewId="0">
      <selection activeCell="D8" sqref="D8"/>
    </sheetView>
  </sheetViews>
  <sheetFormatPr defaultRowHeight="16.5" x14ac:dyDescent="0.3"/>
  <cols>
    <col min="20" max="20" width="13.125" bestFit="1" customWidth="1"/>
  </cols>
  <sheetData>
    <row r="1" spans="3:16" ht="17.25" thickBot="1" x14ac:dyDescent="0.35"/>
    <row r="2" spans="3:16" x14ac:dyDescent="0.3">
      <c r="C2" s="20" t="s">
        <v>1</v>
      </c>
      <c r="D2" s="21" t="s">
        <v>0</v>
      </c>
      <c r="E2" s="21" t="s">
        <v>4</v>
      </c>
      <c r="F2" s="22"/>
      <c r="G2" s="21" t="s">
        <v>5</v>
      </c>
      <c r="H2" s="22"/>
      <c r="J2" s="20" t="s">
        <v>1</v>
      </c>
      <c r="K2" s="21" t="s">
        <v>0</v>
      </c>
      <c r="L2" s="22"/>
      <c r="M2" s="21" t="s">
        <v>4</v>
      </c>
      <c r="N2" s="22"/>
      <c r="O2" s="21" t="s">
        <v>5</v>
      </c>
      <c r="P2" s="22"/>
    </row>
    <row r="3" spans="3:16" ht="17.25" thickBot="1" x14ac:dyDescent="0.35">
      <c r="C3" s="16"/>
      <c r="D3" s="23"/>
      <c r="E3" s="5" t="s">
        <v>2</v>
      </c>
      <c r="F3" s="6" t="s">
        <v>3</v>
      </c>
      <c r="G3" s="5" t="s">
        <v>2</v>
      </c>
      <c r="H3" s="6" t="s">
        <v>3</v>
      </c>
      <c r="J3" s="16"/>
      <c r="K3" s="23"/>
      <c r="L3" s="24"/>
      <c r="M3" s="25" t="s">
        <v>6</v>
      </c>
      <c r="N3" s="26"/>
      <c r="O3" s="25" t="s">
        <v>6</v>
      </c>
      <c r="P3" s="26"/>
    </row>
    <row r="4" spans="3:16" x14ac:dyDescent="0.3">
      <c r="C4" s="15">
        <v>15</v>
      </c>
      <c r="D4" s="1">
        <v>1.5</v>
      </c>
      <c r="E4" s="1">
        <v>3.8</v>
      </c>
      <c r="F4" s="3">
        <v>3.8</v>
      </c>
      <c r="G4" s="17">
        <v>14</v>
      </c>
      <c r="H4" s="27">
        <v>14</v>
      </c>
      <c r="J4" s="15">
        <v>15</v>
      </c>
      <c r="K4" s="7">
        <v>1.5</v>
      </c>
      <c r="L4" s="8">
        <v>0.5</v>
      </c>
      <c r="M4" s="7">
        <f>AVERAGE(E4:F4)</f>
        <v>3.8</v>
      </c>
      <c r="N4" s="8">
        <f>_xlfn.STDEV.S(E4:F4)/SQRT(2)</f>
        <v>0</v>
      </c>
      <c r="O4" s="19">
        <f>AVERAGE(G4:H8)</f>
        <v>14</v>
      </c>
      <c r="P4" s="76">
        <f>_xlfn.STDEV.S(G4:H8)/SQRT(2)</f>
        <v>0</v>
      </c>
    </row>
    <row r="5" spans="3:16" x14ac:dyDescent="0.3">
      <c r="C5" s="15"/>
      <c r="D5" s="1">
        <v>4.5</v>
      </c>
      <c r="E5" s="1">
        <v>3.6</v>
      </c>
      <c r="F5" s="3">
        <v>3.6</v>
      </c>
      <c r="G5" s="17"/>
      <c r="H5" s="27"/>
      <c r="J5" s="15"/>
      <c r="K5" s="1">
        <v>4.5</v>
      </c>
      <c r="L5" s="8">
        <v>0.5</v>
      </c>
      <c r="M5" s="1">
        <f t="shared" ref="M5:M18" si="0">AVERAGE(E5:F5)</f>
        <v>3.6</v>
      </c>
      <c r="N5" s="8">
        <f t="shared" ref="N5:N18" si="1">_xlfn.STDEV.S(E5:F5)/SQRT(2)</f>
        <v>0</v>
      </c>
      <c r="O5" s="17"/>
      <c r="P5" s="77"/>
    </row>
    <row r="6" spans="3:16" x14ac:dyDescent="0.3">
      <c r="C6" s="15"/>
      <c r="D6" s="1">
        <v>7.5</v>
      </c>
      <c r="E6" s="1">
        <v>3</v>
      </c>
      <c r="F6" s="3">
        <v>2.8</v>
      </c>
      <c r="G6" s="17"/>
      <c r="H6" s="27"/>
      <c r="J6" s="15"/>
      <c r="K6" s="1">
        <v>7.5</v>
      </c>
      <c r="L6" s="8">
        <v>0.5</v>
      </c>
      <c r="M6" s="1">
        <f t="shared" si="0"/>
        <v>2.9</v>
      </c>
      <c r="N6" s="8">
        <f t="shared" si="1"/>
        <v>0.10000000000000009</v>
      </c>
      <c r="O6" s="17"/>
      <c r="P6" s="77"/>
    </row>
    <row r="7" spans="3:16" x14ac:dyDescent="0.3">
      <c r="C7" s="15"/>
      <c r="D7" s="1">
        <v>10.5</v>
      </c>
      <c r="E7" s="1">
        <v>2.5</v>
      </c>
      <c r="F7" s="3">
        <v>2.5</v>
      </c>
      <c r="G7" s="17"/>
      <c r="H7" s="27"/>
      <c r="J7" s="15"/>
      <c r="K7" s="1">
        <v>10.5</v>
      </c>
      <c r="L7" s="8">
        <v>0.5</v>
      </c>
      <c r="M7" s="1">
        <f t="shared" si="0"/>
        <v>2.5</v>
      </c>
      <c r="N7" s="8">
        <f t="shared" si="1"/>
        <v>0</v>
      </c>
      <c r="O7" s="17"/>
      <c r="P7" s="77"/>
    </row>
    <row r="8" spans="3:16" x14ac:dyDescent="0.3">
      <c r="C8" s="15"/>
      <c r="D8" s="1">
        <v>13.5</v>
      </c>
      <c r="E8" s="1">
        <v>2</v>
      </c>
      <c r="F8" s="3">
        <v>2</v>
      </c>
      <c r="G8" s="17"/>
      <c r="H8" s="27"/>
      <c r="J8" s="15"/>
      <c r="K8" s="1">
        <v>13.5</v>
      </c>
      <c r="L8" s="8">
        <v>0.5</v>
      </c>
      <c r="M8" s="1">
        <f t="shared" si="0"/>
        <v>2</v>
      </c>
      <c r="N8" s="8">
        <f t="shared" si="1"/>
        <v>0</v>
      </c>
      <c r="O8" s="17"/>
      <c r="P8" s="77"/>
    </row>
    <row r="9" spans="3:16" x14ac:dyDescent="0.3">
      <c r="C9" s="15">
        <v>30</v>
      </c>
      <c r="D9" s="1">
        <v>1.5</v>
      </c>
      <c r="E9" s="1">
        <v>15.7</v>
      </c>
      <c r="F9" s="3">
        <v>15.7</v>
      </c>
      <c r="G9" s="17">
        <v>61</v>
      </c>
      <c r="H9" s="27">
        <v>61</v>
      </c>
      <c r="J9" s="15">
        <v>30</v>
      </c>
      <c r="K9" s="1">
        <v>1.5</v>
      </c>
      <c r="L9" s="8">
        <v>0.5</v>
      </c>
      <c r="M9" s="1">
        <f t="shared" si="0"/>
        <v>15.7</v>
      </c>
      <c r="N9" s="8">
        <f t="shared" si="1"/>
        <v>0</v>
      </c>
      <c r="O9" s="17">
        <v>61</v>
      </c>
      <c r="P9" s="77">
        <f t="shared" ref="P9" si="2">_xlfn.STDEV.S(G9:H13)/SQRT(2)</f>
        <v>0</v>
      </c>
    </row>
    <row r="10" spans="3:16" x14ac:dyDescent="0.3">
      <c r="C10" s="15"/>
      <c r="D10" s="1">
        <v>4.5</v>
      </c>
      <c r="E10" s="1">
        <v>15.5</v>
      </c>
      <c r="F10" s="3">
        <v>15.4</v>
      </c>
      <c r="G10" s="17"/>
      <c r="H10" s="27"/>
      <c r="J10" s="15"/>
      <c r="K10" s="1">
        <v>4.5</v>
      </c>
      <c r="L10" s="8">
        <v>0.5</v>
      </c>
      <c r="M10" s="1">
        <f t="shared" si="0"/>
        <v>15.45</v>
      </c>
      <c r="N10" s="8">
        <f t="shared" si="1"/>
        <v>4.9999999999999822E-2</v>
      </c>
      <c r="O10" s="17"/>
      <c r="P10" s="77"/>
    </row>
    <row r="11" spans="3:16" x14ac:dyDescent="0.3">
      <c r="C11" s="15"/>
      <c r="D11" s="1">
        <v>7.5</v>
      </c>
      <c r="E11" s="1">
        <v>13.8</v>
      </c>
      <c r="F11" s="3">
        <v>13.9</v>
      </c>
      <c r="G11" s="17"/>
      <c r="H11" s="27"/>
      <c r="J11" s="15"/>
      <c r="K11" s="1">
        <v>7.5</v>
      </c>
      <c r="L11" s="8">
        <v>0.5</v>
      </c>
      <c r="M11" s="1">
        <f t="shared" si="0"/>
        <v>13.850000000000001</v>
      </c>
      <c r="N11" s="8">
        <f t="shared" si="1"/>
        <v>4.9999999999999822E-2</v>
      </c>
      <c r="O11" s="17"/>
      <c r="P11" s="77"/>
    </row>
    <row r="12" spans="3:16" x14ac:dyDescent="0.3">
      <c r="C12" s="15"/>
      <c r="D12" s="1">
        <v>10.5</v>
      </c>
      <c r="E12" s="1">
        <v>11.4</v>
      </c>
      <c r="F12" s="3">
        <v>11.4</v>
      </c>
      <c r="G12" s="17"/>
      <c r="H12" s="27"/>
      <c r="J12" s="15"/>
      <c r="K12" s="1">
        <v>10.5</v>
      </c>
      <c r="L12" s="8">
        <v>0.5</v>
      </c>
      <c r="M12" s="1">
        <f t="shared" si="0"/>
        <v>11.4</v>
      </c>
      <c r="N12" s="8">
        <f t="shared" si="1"/>
        <v>0</v>
      </c>
      <c r="O12" s="17"/>
      <c r="P12" s="77"/>
    </row>
    <row r="13" spans="3:16" x14ac:dyDescent="0.3">
      <c r="C13" s="15"/>
      <c r="D13" s="1">
        <v>13.5</v>
      </c>
      <c r="E13" s="1">
        <v>9</v>
      </c>
      <c r="F13" s="3">
        <v>9.1</v>
      </c>
      <c r="G13" s="17"/>
      <c r="H13" s="27"/>
      <c r="J13" s="15"/>
      <c r="K13" s="1">
        <v>13.5</v>
      </c>
      <c r="L13" s="8">
        <v>0.5</v>
      </c>
      <c r="M13" s="1">
        <f t="shared" si="0"/>
        <v>9.0500000000000007</v>
      </c>
      <c r="N13" s="8">
        <f t="shared" si="1"/>
        <v>4.9999999999999822E-2</v>
      </c>
      <c r="O13" s="17"/>
      <c r="P13" s="77"/>
    </row>
    <row r="14" spans="3:16" x14ac:dyDescent="0.3">
      <c r="C14" s="15">
        <v>45</v>
      </c>
      <c r="D14" s="1">
        <v>1.5</v>
      </c>
      <c r="E14" s="1">
        <v>33.5</v>
      </c>
      <c r="F14" s="3">
        <v>34.5</v>
      </c>
      <c r="G14" s="17">
        <v>137</v>
      </c>
      <c r="H14" s="27">
        <v>137</v>
      </c>
      <c r="J14" s="15">
        <v>45</v>
      </c>
      <c r="K14" s="1">
        <v>1.5</v>
      </c>
      <c r="L14" s="8">
        <v>0.5</v>
      </c>
      <c r="M14" s="1">
        <f t="shared" si="0"/>
        <v>34</v>
      </c>
      <c r="N14" s="8">
        <f t="shared" si="1"/>
        <v>0.5</v>
      </c>
      <c r="O14" s="17">
        <v>137</v>
      </c>
      <c r="P14" s="77">
        <f t="shared" ref="P14" si="3">_xlfn.STDEV.S(G14:H18)/SQRT(2)</f>
        <v>0</v>
      </c>
    </row>
    <row r="15" spans="3:16" x14ac:dyDescent="0.3">
      <c r="C15" s="15"/>
      <c r="D15" s="1">
        <v>4.5</v>
      </c>
      <c r="E15" s="1">
        <v>33.299999999999997</v>
      </c>
      <c r="F15" s="3">
        <v>33.299999999999997</v>
      </c>
      <c r="G15" s="17"/>
      <c r="H15" s="27"/>
      <c r="J15" s="15"/>
      <c r="K15" s="1">
        <v>4.5</v>
      </c>
      <c r="L15" s="8">
        <v>0.5</v>
      </c>
      <c r="M15" s="1">
        <f t="shared" si="0"/>
        <v>33.299999999999997</v>
      </c>
      <c r="N15" s="8">
        <f t="shared" si="1"/>
        <v>0</v>
      </c>
      <c r="O15" s="17"/>
      <c r="P15" s="77"/>
    </row>
    <row r="16" spans="3:16" x14ac:dyDescent="0.3">
      <c r="C16" s="15"/>
      <c r="D16" s="1">
        <v>7.5</v>
      </c>
      <c r="E16" s="1">
        <v>31</v>
      </c>
      <c r="F16" s="3">
        <v>30.9</v>
      </c>
      <c r="G16" s="17"/>
      <c r="H16" s="27"/>
      <c r="J16" s="15"/>
      <c r="K16" s="1">
        <v>7.5</v>
      </c>
      <c r="L16" s="8">
        <v>0.5</v>
      </c>
      <c r="M16" s="1">
        <f t="shared" si="0"/>
        <v>30.95</v>
      </c>
      <c r="N16" s="8">
        <f t="shared" si="1"/>
        <v>5.0000000000000711E-2</v>
      </c>
      <c r="O16" s="17"/>
      <c r="P16" s="77"/>
    </row>
    <row r="17" spans="3:26" x14ac:dyDescent="0.3">
      <c r="C17" s="15"/>
      <c r="D17" s="1">
        <v>10.5</v>
      </c>
      <c r="E17" s="1">
        <v>26.5</v>
      </c>
      <c r="F17" s="3">
        <v>26.5</v>
      </c>
      <c r="G17" s="17"/>
      <c r="H17" s="27"/>
      <c r="J17" s="15"/>
      <c r="K17" s="1">
        <v>10.5</v>
      </c>
      <c r="L17" s="8">
        <v>0.5</v>
      </c>
      <c r="M17" s="1">
        <f t="shared" si="0"/>
        <v>26.5</v>
      </c>
      <c r="N17" s="8">
        <f t="shared" si="1"/>
        <v>0</v>
      </c>
      <c r="O17" s="17"/>
      <c r="P17" s="77"/>
    </row>
    <row r="18" spans="3:26" ht="17.25" thickBot="1" x14ac:dyDescent="0.35">
      <c r="C18" s="16"/>
      <c r="D18" s="2">
        <v>13.5</v>
      </c>
      <c r="E18" s="2">
        <v>20.6</v>
      </c>
      <c r="F18" s="4">
        <v>20.7</v>
      </c>
      <c r="G18" s="18"/>
      <c r="H18" s="28"/>
      <c r="J18" s="16"/>
      <c r="K18" s="2">
        <v>13.5</v>
      </c>
      <c r="L18" s="9">
        <v>0.5</v>
      </c>
      <c r="M18" s="2">
        <f t="shared" si="0"/>
        <v>20.65</v>
      </c>
      <c r="N18" s="9">
        <f t="shared" si="1"/>
        <v>4.9999999999998934E-2</v>
      </c>
      <c r="O18" s="18"/>
      <c r="P18" s="78"/>
    </row>
    <row r="19" spans="3:26" ht="17.25" thickBot="1" x14ac:dyDescent="0.35"/>
    <row r="20" spans="3:26" x14ac:dyDescent="0.3">
      <c r="C20" s="47" t="s">
        <v>1</v>
      </c>
      <c r="D20" s="48" t="s">
        <v>0</v>
      </c>
      <c r="E20" s="48" t="s">
        <v>4</v>
      </c>
      <c r="F20" s="49"/>
      <c r="G20" s="48" t="s">
        <v>5</v>
      </c>
      <c r="H20" s="49"/>
      <c r="I20" s="50"/>
      <c r="J20" s="47" t="s">
        <v>1</v>
      </c>
      <c r="K20" s="48" t="s">
        <v>0</v>
      </c>
      <c r="L20" s="49"/>
      <c r="M20" s="48" t="s">
        <v>4</v>
      </c>
      <c r="N20" s="49"/>
      <c r="O20" s="48" t="s">
        <v>5</v>
      </c>
      <c r="P20" s="49"/>
      <c r="R20" s="12" t="s">
        <v>13</v>
      </c>
      <c r="S20" s="14" t="s">
        <v>13</v>
      </c>
      <c r="T20" s="14" t="s">
        <v>14</v>
      </c>
      <c r="U20" s="12" t="s">
        <v>15</v>
      </c>
      <c r="V20" s="14" t="s">
        <v>25</v>
      </c>
      <c r="W20" s="12" t="s">
        <v>16</v>
      </c>
      <c r="X20" s="14" t="s">
        <v>16</v>
      </c>
      <c r="Y20" s="12" t="s">
        <v>10</v>
      </c>
      <c r="Z20" s="13" t="s">
        <v>10</v>
      </c>
    </row>
    <row r="21" spans="3:26" ht="17.25" thickBot="1" x14ac:dyDescent="0.35">
      <c r="C21" s="51"/>
      <c r="D21" s="52"/>
      <c r="E21" s="53" t="s">
        <v>2</v>
      </c>
      <c r="F21" s="54" t="s">
        <v>3</v>
      </c>
      <c r="G21" s="53" t="s">
        <v>2</v>
      </c>
      <c r="H21" s="54" t="s">
        <v>3</v>
      </c>
      <c r="I21" s="50"/>
      <c r="J21" s="51"/>
      <c r="K21" s="52"/>
      <c r="L21" s="55"/>
      <c r="M21" s="56" t="s">
        <v>6</v>
      </c>
      <c r="N21" s="57"/>
      <c r="O21" s="56" t="s">
        <v>6</v>
      </c>
      <c r="P21" s="57"/>
      <c r="R21" s="12"/>
      <c r="S21" s="14"/>
      <c r="T21" s="14"/>
      <c r="U21" s="12"/>
      <c r="V21" s="14"/>
      <c r="W21" s="12"/>
      <c r="X21" s="14"/>
      <c r="Y21" s="12"/>
      <c r="Z21" s="13"/>
    </row>
    <row r="22" spans="3:26" x14ac:dyDescent="0.3">
      <c r="C22" s="47">
        <v>15</v>
      </c>
      <c r="D22" s="59">
        <f>D4</f>
        <v>1.5</v>
      </c>
      <c r="E22" s="35" t="str">
        <f>FIXED(E4,2-(1+INT(LOG10(ABS(E4)))))</f>
        <v>3.8</v>
      </c>
      <c r="F22" s="60" t="str">
        <f>FIXED(F4,2-(1+INT(LOG10(ABS(F4)))))</f>
        <v>3.8</v>
      </c>
      <c r="G22" s="37" t="str">
        <f>FIXED(G4,2-(1+INT(LOG10(ABS(G4)))))</f>
        <v>14</v>
      </c>
      <c r="H22" s="34" t="str">
        <f>FIXED(H4,2-(1+INT(LOG10(ABS(H4)))))</f>
        <v>14</v>
      </c>
      <c r="I22" s="29"/>
      <c r="J22" s="47">
        <v>15</v>
      </c>
      <c r="K22" s="35" t="str">
        <f>FIXED(D4,2-(1+INT(LOG10(ABS(D4)))))</f>
        <v>1.5</v>
      </c>
      <c r="L22" s="73">
        <v>0.5</v>
      </c>
      <c r="M22" s="35" t="str">
        <f>FIXED(M4,2-(1+INT(LOG10(ABS(M4)))))</f>
        <v>3.8</v>
      </c>
      <c r="N22" s="73">
        <f>N4+0.25</f>
        <v>0.25</v>
      </c>
      <c r="O22" s="37" t="str">
        <f>FIXED(O4,2-(1+INT(LOG10(ABS(O4)))))</f>
        <v>14</v>
      </c>
      <c r="P22" s="79">
        <f>P4+1</f>
        <v>1</v>
      </c>
      <c r="R22" s="11">
        <f>SQRT(2*(M22+0)*9.806/$D$43)</f>
        <v>7.9146918329218732</v>
      </c>
      <c r="S22" s="10" t="str">
        <f>FIXED(R22,3-(1+INT(LOG10(ABS(R22)))))</f>
        <v>7.91</v>
      </c>
      <c r="T22">
        <f>S22*(((K22+1.5)*0.001)^2 - ((K22-1.5)*0.001)^2)</f>
        <v>7.1190000000000001E-5</v>
      </c>
      <c r="U22" s="12">
        <f xml:space="preserve"> PI() * SUM(T22:T26)</f>
        <v>4.5849659823550869E-3</v>
      </c>
      <c r="V22" s="14" t="str">
        <f>FIXED(U22,3-(1+INT(LOG10(ABS(U22)))))</f>
        <v>0.00458</v>
      </c>
      <c r="W22" s="12">
        <f>V22/(PI()*0.015^2)</f>
        <v>6.4793745720967175</v>
      </c>
      <c r="X22" s="14" t="str">
        <f>FIXED(W22,3-(1+INT(LOG10(ABS(W22)))))</f>
        <v>6.48</v>
      </c>
      <c r="Y22" s="12">
        <f>(V22/(PI()*0.25*$D$44^2))*SQRT($D$43/(2*O22*9.806))</f>
        <v>0.71317054443225314</v>
      </c>
      <c r="Z22" s="13" t="str">
        <f>FIXED(Y22,3-(1+INT(LOG10(ABS(Y22)))))</f>
        <v>0.713</v>
      </c>
    </row>
    <row r="23" spans="3:26" x14ac:dyDescent="0.3">
      <c r="C23" s="58"/>
      <c r="D23" s="30">
        <f t="shared" ref="D23:D36" si="4">D5</f>
        <v>4.5</v>
      </c>
      <c r="E23" s="31" t="str">
        <f t="shared" ref="E23:F36" si="5">FIXED(E5,2-(1+INT(LOG10(ABS(E5)))))</f>
        <v>3.6</v>
      </c>
      <c r="F23" s="32" t="str">
        <f t="shared" ref="F23" si="6">FIXED(F5,2-(1+INT(LOG10(ABS(F5)))))</f>
        <v>3.6</v>
      </c>
      <c r="G23" s="33"/>
      <c r="H23" s="38"/>
      <c r="I23" s="29"/>
      <c r="J23" s="58"/>
      <c r="K23" s="31" t="str">
        <f t="shared" ref="K23:K34" si="7">FIXED(D5,2-(1+INT(LOG10(ABS(D5)))))</f>
        <v>4.5</v>
      </c>
      <c r="L23" s="36">
        <v>0.5</v>
      </c>
      <c r="M23" s="31" t="str">
        <f t="shared" ref="M23:M31" si="8">FIXED(M5,2-(1+INT(LOG10(ABS(M5)))))</f>
        <v>3.6</v>
      </c>
      <c r="N23" s="36">
        <f t="shared" ref="N23:N36" si="9">N5+0.25</f>
        <v>0.25</v>
      </c>
      <c r="O23" s="33"/>
      <c r="P23" s="80"/>
      <c r="R23" s="11">
        <f>SQRT(2*(M23+0)*9.806/$D$43)</f>
        <v>7.7035953416917566</v>
      </c>
      <c r="S23" s="10" t="str">
        <f t="shared" ref="S23:S36" si="10">FIXED(R23,3-(1+INT(LOG10(ABS(R23)))))</f>
        <v>7.70</v>
      </c>
      <c r="T23">
        <f t="shared" ref="T23:T36" si="11">S23*(((K23+1.5)*0.001)^2 - ((K23-1.5)*0.001)^2)</f>
        <v>2.0789999999999998E-4</v>
      </c>
      <c r="U23" s="12"/>
      <c r="V23" s="14"/>
      <c r="W23" s="12"/>
      <c r="X23" s="14"/>
      <c r="Y23" s="12"/>
      <c r="Z23" s="13"/>
    </row>
    <row r="24" spans="3:26" x14ac:dyDescent="0.3">
      <c r="C24" s="58"/>
      <c r="D24" s="30">
        <f t="shared" si="4"/>
        <v>7.5</v>
      </c>
      <c r="E24" s="31" t="str">
        <f t="shared" si="5"/>
        <v>3.0</v>
      </c>
      <c r="F24" s="32" t="str">
        <f t="shared" ref="F24" si="12">FIXED(F6,2-(1+INT(LOG10(ABS(F6)))))</f>
        <v>2.8</v>
      </c>
      <c r="G24" s="33"/>
      <c r="H24" s="38"/>
      <c r="I24" s="29"/>
      <c r="J24" s="58"/>
      <c r="K24" s="31" t="str">
        <f t="shared" si="7"/>
        <v>7.5</v>
      </c>
      <c r="L24" s="36">
        <v>0.5</v>
      </c>
      <c r="M24" s="31" t="str">
        <f t="shared" si="8"/>
        <v>2.9</v>
      </c>
      <c r="N24" s="36">
        <f t="shared" si="9"/>
        <v>0.35000000000000009</v>
      </c>
      <c r="O24" s="33"/>
      <c r="P24" s="80"/>
      <c r="R24" s="11">
        <f>SQRT(2*(M24+0)*9.806/$D$43)</f>
        <v>6.9141884204139581</v>
      </c>
      <c r="S24" s="10" t="str">
        <f t="shared" si="10"/>
        <v>6.91</v>
      </c>
      <c r="T24">
        <f t="shared" si="11"/>
        <v>3.109500000000001E-4</v>
      </c>
      <c r="U24" s="12"/>
      <c r="V24" s="14"/>
      <c r="W24" s="12"/>
      <c r="X24" s="14"/>
      <c r="Y24" s="12"/>
      <c r="Z24" s="13"/>
    </row>
    <row r="25" spans="3:26" x14ac:dyDescent="0.3">
      <c r="C25" s="58"/>
      <c r="D25" s="30">
        <f t="shared" si="4"/>
        <v>10.5</v>
      </c>
      <c r="E25" s="31" t="str">
        <f t="shared" si="5"/>
        <v>2.5</v>
      </c>
      <c r="F25" s="32" t="str">
        <f t="shared" ref="F25" si="13">FIXED(F7,2-(1+INT(LOG10(ABS(F7)))))</f>
        <v>2.5</v>
      </c>
      <c r="G25" s="33"/>
      <c r="H25" s="38"/>
      <c r="I25" s="29"/>
      <c r="J25" s="58"/>
      <c r="K25" s="31" t="str">
        <f>FIXED(D7,3-(1+INT(LOG10(ABS(D7)))))</f>
        <v>10.5</v>
      </c>
      <c r="L25" s="36">
        <v>0.5</v>
      </c>
      <c r="M25" s="31" t="str">
        <f t="shared" si="8"/>
        <v>2.5</v>
      </c>
      <c r="N25" s="36">
        <f t="shared" si="9"/>
        <v>0.25</v>
      </c>
      <c r="O25" s="33"/>
      <c r="P25" s="80"/>
      <c r="R25" s="11">
        <f>SQRT(2*(M25+0)*9.806/$D$43)</f>
        <v>6.4196627847431298</v>
      </c>
      <c r="S25" s="10" t="str">
        <f t="shared" si="10"/>
        <v>6.42</v>
      </c>
      <c r="T25">
        <f t="shared" si="11"/>
        <v>4.0445999999999993E-4</v>
      </c>
      <c r="U25" s="12"/>
      <c r="V25" s="14"/>
      <c r="W25" s="12"/>
      <c r="X25" s="14"/>
      <c r="Y25" s="12"/>
      <c r="Z25" s="13"/>
    </row>
    <row r="26" spans="3:26" x14ac:dyDescent="0.3">
      <c r="C26" s="61"/>
      <c r="D26" s="62">
        <f t="shared" si="4"/>
        <v>13.5</v>
      </c>
      <c r="E26" s="63" t="str">
        <f t="shared" si="5"/>
        <v>2.0</v>
      </c>
      <c r="F26" s="64" t="str">
        <f t="shared" ref="F26" si="14">FIXED(F8,2-(1+INT(LOG10(ABS(F8)))))</f>
        <v>2.0</v>
      </c>
      <c r="G26" s="65"/>
      <c r="H26" s="66"/>
      <c r="I26" s="29"/>
      <c r="J26" s="61"/>
      <c r="K26" s="63" t="str">
        <f>FIXED(D8,3-(1+INT(LOG10(ABS(D8)))))</f>
        <v>13.5</v>
      </c>
      <c r="L26" s="74">
        <v>0.5</v>
      </c>
      <c r="M26" s="63" t="str">
        <f t="shared" si="8"/>
        <v>2.0</v>
      </c>
      <c r="N26" s="74">
        <f t="shared" si="9"/>
        <v>0.25</v>
      </c>
      <c r="O26" s="65"/>
      <c r="P26" s="81"/>
      <c r="R26" s="11">
        <f>SQRT(2*(M26+0)*9.806/$D$43)</f>
        <v>5.741920951724496</v>
      </c>
      <c r="S26" s="10" t="str">
        <f t="shared" si="10"/>
        <v>5.74</v>
      </c>
      <c r="T26">
        <f t="shared" si="11"/>
        <v>4.6493999999999995E-4</v>
      </c>
      <c r="U26" s="12"/>
      <c r="V26" s="14"/>
      <c r="W26" s="12"/>
      <c r="X26" s="14"/>
      <c r="Y26" s="12"/>
      <c r="Z26" s="13"/>
    </row>
    <row r="27" spans="3:26" x14ac:dyDescent="0.3">
      <c r="C27" s="67">
        <v>30</v>
      </c>
      <c r="D27" s="68">
        <f t="shared" si="4"/>
        <v>1.5</v>
      </c>
      <c r="E27" s="69" t="str">
        <f>FIXED(E9,3-(1+INT(LOG10(ABS(E9)))))</f>
        <v>15.7</v>
      </c>
      <c r="F27" s="70" t="str">
        <f>FIXED(F9,3-(1+INT(LOG10(ABS(F9)))))</f>
        <v>15.7</v>
      </c>
      <c r="G27" s="71" t="str">
        <f>FIXED(G9,2-(1+INT(LOG10(ABS(G9)))))</f>
        <v>61</v>
      </c>
      <c r="H27" s="72" t="str">
        <f>FIXED(H9,2-(1+INT(LOG10(ABS(H9)))))</f>
        <v>61</v>
      </c>
      <c r="I27" s="29"/>
      <c r="J27" s="67">
        <v>30</v>
      </c>
      <c r="K27" s="69" t="str">
        <f t="shared" si="7"/>
        <v>1.5</v>
      </c>
      <c r="L27" s="75">
        <v>0.5</v>
      </c>
      <c r="M27" s="69" t="str">
        <f>FIXED(M9,3-(1+INT(LOG10(ABS(M9)))))</f>
        <v>15.7</v>
      </c>
      <c r="N27" s="75">
        <f t="shared" si="9"/>
        <v>0.25</v>
      </c>
      <c r="O27" s="71" t="str">
        <f>FIXED(O9,2-(1+INT(LOG10(ABS(O9)))))</f>
        <v>61</v>
      </c>
      <c r="P27" s="82">
        <f t="shared" ref="P27" si="15">P9+1</f>
        <v>1</v>
      </c>
      <c r="R27" s="11">
        <f>SQRT(2*(M27+0)*9.806/$D$43)</f>
        <v>16.087628827594326</v>
      </c>
      <c r="S27" s="10" t="str">
        <f>FIXED(R27,4-(1+INT(LOG10(ABS(R27)))))</f>
        <v>16.09</v>
      </c>
      <c r="T27">
        <f t="shared" si="11"/>
        <v>1.4480999999999999E-4</v>
      </c>
      <c r="U27" s="12">
        <f xml:space="preserve"> PI() * SUM(T27:T31)</f>
        <v>9.7687823563374632E-3</v>
      </c>
      <c r="V27" s="14" t="str">
        <f>FIXED(U27,3-(1+INT(LOG10(ABS(U27)))))</f>
        <v>0.00977</v>
      </c>
      <c r="W27" s="12">
        <f t="shared" ref="W27" si="16">V27/(PI()*0.015^2)</f>
        <v>13.821722613402821</v>
      </c>
      <c r="X27" s="14" t="str">
        <f>FIXED(W27,3-(1+INT(LOG10(ABS(W27)))))</f>
        <v>13.8</v>
      </c>
      <c r="Y27" s="12">
        <f>(V27/(PI()*0.25*$D$44^2))*SQRT($D$43/(2*O27*9.806))</f>
        <v>0.7288221844763032</v>
      </c>
      <c r="Z27" s="13" t="str">
        <f>FIXED(Y27,3-(1+INT(LOG10(ABS(Y27)))))</f>
        <v>0.729</v>
      </c>
    </row>
    <row r="28" spans="3:26" x14ac:dyDescent="0.3">
      <c r="C28" s="58"/>
      <c r="D28" s="30">
        <f t="shared" si="4"/>
        <v>4.5</v>
      </c>
      <c r="E28" s="31" t="str">
        <f t="shared" ref="E28:F30" si="17">FIXED(E10,3-(1+INT(LOG10(ABS(E10)))))</f>
        <v>15.5</v>
      </c>
      <c r="F28" s="32" t="str">
        <f t="shared" ref="F28" si="18">FIXED(F10,3-(1+INT(LOG10(ABS(F10)))))</f>
        <v>15.4</v>
      </c>
      <c r="G28" s="33"/>
      <c r="H28" s="38"/>
      <c r="I28" s="29"/>
      <c r="J28" s="58"/>
      <c r="K28" s="31" t="str">
        <f t="shared" si="7"/>
        <v>4.5</v>
      </c>
      <c r="L28" s="36">
        <v>0.5</v>
      </c>
      <c r="M28" s="31" t="str">
        <f t="shared" ref="M28:M30" si="19">FIXED(M10,3-(1+INT(LOG10(ABS(M10)))))</f>
        <v>15.5</v>
      </c>
      <c r="N28" s="36">
        <f t="shared" si="9"/>
        <v>0.29999999999999982</v>
      </c>
      <c r="O28" s="33"/>
      <c r="P28" s="80"/>
      <c r="R28" s="11">
        <f>SQRT(2*(M28+0)*9.806/$D$43)</f>
        <v>15.984831424599344</v>
      </c>
      <c r="S28" s="10" t="str">
        <f t="shared" ref="S28:S30" si="20">FIXED(R28,4-(1+INT(LOG10(ABS(R28)))))</f>
        <v>15.98</v>
      </c>
      <c r="T28">
        <f t="shared" si="11"/>
        <v>4.3145999999999999E-4</v>
      </c>
      <c r="U28" s="12"/>
      <c r="V28" s="14"/>
      <c r="W28" s="12"/>
      <c r="X28" s="14"/>
      <c r="Y28" s="12"/>
      <c r="Z28" s="13"/>
    </row>
    <row r="29" spans="3:26" x14ac:dyDescent="0.3">
      <c r="C29" s="58"/>
      <c r="D29" s="30">
        <f t="shared" si="4"/>
        <v>7.5</v>
      </c>
      <c r="E29" s="31" t="str">
        <f t="shared" si="17"/>
        <v>13.8</v>
      </c>
      <c r="F29" s="32" t="str">
        <f t="shared" ref="F29" si="21">FIXED(F11,3-(1+INT(LOG10(ABS(F11)))))</f>
        <v>13.9</v>
      </c>
      <c r="G29" s="33"/>
      <c r="H29" s="38"/>
      <c r="I29" s="29"/>
      <c r="J29" s="58"/>
      <c r="K29" s="31" t="str">
        <f t="shared" si="7"/>
        <v>7.5</v>
      </c>
      <c r="L29" s="36">
        <v>0.5</v>
      </c>
      <c r="M29" s="31" t="str">
        <f t="shared" si="19"/>
        <v>13.9</v>
      </c>
      <c r="N29" s="36">
        <f t="shared" si="9"/>
        <v>0.29999999999999982</v>
      </c>
      <c r="O29" s="33"/>
      <c r="P29" s="80"/>
      <c r="R29" s="11">
        <f>SQRT(2*(M29+0)*9.806/$D$43)</f>
        <v>15.137341599507375</v>
      </c>
      <c r="S29" s="10" t="str">
        <f t="shared" si="20"/>
        <v>15.14</v>
      </c>
      <c r="T29">
        <f t="shared" si="11"/>
        <v>6.8130000000000024E-4</v>
      </c>
      <c r="U29" s="12"/>
      <c r="V29" s="14"/>
      <c r="W29" s="12"/>
      <c r="X29" s="14"/>
      <c r="Y29" s="12"/>
      <c r="Z29" s="13"/>
    </row>
    <row r="30" spans="3:26" x14ac:dyDescent="0.3">
      <c r="C30" s="58"/>
      <c r="D30" s="30">
        <f t="shared" si="4"/>
        <v>10.5</v>
      </c>
      <c r="E30" s="31" t="str">
        <f t="shared" si="17"/>
        <v>11.4</v>
      </c>
      <c r="F30" s="32" t="str">
        <f t="shared" ref="F30" si="22">FIXED(F12,3-(1+INT(LOG10(ABS(F12)))))</f>
        <v>11.4</v>
      </c>
      <c r="G30" s="33"/>
      <c r="H30" s="38"/>
      <c r="I30" s="29"/>
      <c r="J30" s="58"/>
      <c r="K30" s="31" t="str">
        <f>FIXED(D12,3-(1+INT(LOG10(ABS(D12)))))</f>
        <v>10.5</v>
      </c>
      <c r="L30" s="36">
        <v>0.5</v>
      </c>
      <c r="M30" s="31" t="str">
        <f t="shared" si="19"/>
        <v>11.4</v>
      </c>
      <c r="N30" s="36">
        <f t="shared" si="9"/>
        <v>0.25</v>
      </c>
      <c r="O30" s="33"/>
      <c r="P30" s="80"/>
      <c r="R30" s="11">
        <f>SQRT(2*(M30+0)*9.806/$D$43)</f>
        <v>13.708648380871129</v>
      </c>
      <c r="S30" s="10" t="str">
        <f t="shared" si="20"/>
        <v>13.71</v>
      </c>
      <c r="T30">
        <f t="shared" si="11"/>
        <v>8.6372999999999984E-4</v>
      </c>
      <c r="U30" s="12"/>
      <c r="V30" s="14"/>
      <c r="W30" s="12"/>
      <c r="X30" s="14"/>
      <c r="Y30" s="12"/>
      <c r="Z30" s="13"/>
    </row>
    <row r="31" spans="3:26" x14ac:dyDescent="0.3">
      <c r="C31" s="61"/>
      <c r="D31" s="62">
        <f t="shared" si="4"/>
        <v>13.5</v>
      </c>
      <c r="E31" s="63" t="str">
        <f t="shared" si="5"/>
        <v>9.0</v>
      </c>
      <c r="F31" s="64" t="str">
        <f t="shared" ref="F31" si="23">FIXED(F13,2-(1+INT(LOG10(ABS(F13)))))</f>
        <v>9.1</v>
      </c>
      <c r="G31" s="65"/>
      <c r="H31" s="66"/>
      <c r="I31" s="29"/>
      <c r="J31" s="61"/>
      <c r="K31" s="63" t="str">
        <f>FIXED(D13,3-(1+INT(LOG10(ABS(D13)))))</f>
        <v>13.5</v>
      </c>
      <c r="L31" s="74">
        <v>0.5</v>
      </c>
      <c r="M31" s="63" t="str">
        <f t="shared" si="8"/>
        <v>9.1</v>
      </c>
      <c r="N31" s="74">
        <f t="shared" si="9"/>
        <v>0.29999999999999982</v>
      </c>
      <c r="O31" s="65"/>
      <c r="P31" s="81"/>
      <c r="R31" s="11">
        <f>SQRT(2*(M31+0)*9.806/$D$43)</f>
        <v>12.247935980487894</v>
      </c>
      <c r="S31" s="10" t="str">
        <f t="shared" si="10"/>
        <v>12.2</v>
      </c>
      <c r="T31">
        <f t="shared" si="11"/>
        <v>9.8819999999999984E-4</v>
      </c>
      <c r="U31" s="12"/>
      <c r="V31" s="14"/>
      <c r="W31" s="12"/>
      <c r="X31" s="14"/>
      <c r="Y31" s="12"/>
      <c r="Z31" s="13"/>
    </row>
    <row r="32" spans="3:26" x14ac:dyDescent="0.3">
      <c r="C32" s="58">
        <v>45</v>
      </c>
      <c r="D32" s="30">
        <f t="shared" si="4"/>
        <v>1.5</v>
      </c>
      <c r="E32" s="31" t="str">
        <f>FIXED(E14,3-(1+INT(LOG10(ABS(E14)))))</f>
        <v>33.5</v>
      </c>
      <c r="F32" s="32" t="str">
        <f>FIXED(F14,3-(1+INT(LOG10(ABS(F14)))))</f>
        <v>34.5</v>
      </c>
      <c r="G32" s="39" t="str">
        <f>FIXED(G14,3-(1+INT(LOG10(ABS(G14)))))</f>
        <v>137</v>
      </c>
      <c r="H32" s="38" t="str">
        <f>FIXED(H14,3-(1+INT(LOG10(ABS(H14)))))</f>
        <v>137</v>
      </c>
      <c r="I32" s="29"/>
      <c r="J32" s="58">
        <v>45</v>
      </c>
      <c r="K32" s="31" t="str">
        <f t="shared" si="7"/>
        <v>1.5</v>
      </c>
      <c r="L32" s="36">
        <v>0.5</v>
      </c>
      <c r="M32" s="31" t="str">
        <f>FIXED(M14,3-(1+INT(LOG10(ABS(M14)))))</f>
        <v>34.0</v>
      </c>
      <c r="N32" s="36">
        <f t="shared" si="9"/>
        <v>0.75</v>
      </c>
      <c r="O32" s="33" t="str">
        <f>FIXED(O14,3-(1+INT(LOG10(ABS(O14)))))</f>
        <v>137</v>
      </c>
      <c r="P32" s="82">
        <f t="shared" ref="P32" si="24">P14+1</f>
        <v>1</v>
      </c>
      <c r="R32" s="11">
        <f>SQRT(2*(M32+0)*9.806/$D$43)</f>
        <v>23.674546577907179</v>
      </c>
      <c r="S32" s="10" t="str">
        <f>FIXED(R32,4-(1+INT(LOG10(ABS(R32)))))</f>
        <v>23.67</v>
      </c>
      <c r="T32">
        <f t="shared" si="11"/>
        <v>2.1303000000000001E-4</v>
      </c>
      <c r="U32" s="12">
        <f xml:space="preserve"> PI() * SUM(T32:T36)</f>
        <v>1.4689647425214369E-2</v>
      </c>
      <c r="V32" s="14" t="str">
        <f>FIXED(U32,4-(1+INT(LOG10(ABS(U32)))))</f>
        <v>0.01469</v>
      </c>
      <c r="W32" s="12">
        <f t="shared" ref="W32" si="25">V32/(PI()*0.015^2)</f>
        <v>20.78209879128838</v>
      </c>
      <c r="X32" s="14" t="str">
        <f>FIXED(W32,4-(1+INT(LOG10(ABS(W32)))))</f>
        <v>20.78</v>
      </c>
      <c r="Y32" s="12">
        <f>(V32/(PI()*0.25*$D$44^2))*SQRT($D$43/(2*O32*9.806))</f>
        <v>0.73122907190369457</v>
      </c>
      <c r="Z32" s="13" t="str">
        <f>FIXED(Y32,3-(1+INT(LOG10(ABS(Y32)))))</f>
        <v>0.731</v>
      </c>
    </row>
    <row r="33" spans="3:26" x14ac:dyDescent="0.3">
      <c r="C33" s="58"/>
      <c r="D33" s="30">
        <f t="shared" si="4"/>
        <v>4.5</v>
      </c>
      <c r="E33" s="31" t="str">
        <f t="shared" ref="E33:F36" si="26">FIXED(E15,3-(1+INT(LOG10(ABS(E15)))))</f>
        <v>33.3</v>
      </c>
      <c r="F33" s="32" t="str">
        <f t="shared" ref="F33" si="27">FIXED(F15,3-(1+INT(LOG10(ABS(F15)))))</f>
        <v>33.3</v>
      </c>
      <c r="G33" s="39"/>
      <c r="H33" s="38"/>
      <c r="I33" s="29"/>
      <c r="J33" s="58"/>
      <c r="K33" s="31" t="str">
        <f t="shared" si="7"/>
        <v>4.5</v>
      </c>
      <c r="L33" s="36">
        <v>0.5</v>
      </c>
      <c r="M33" s="31" t="str">
        <f t="shared" ref="M33:M36" si="28">FIXED(M15,3-(1+INT(LOG10(ABS(M15)))))</f>
        <v>33.3</v>
      </c>
      <c r="N33" s="36">
        <f t="shared" si="9"/>
        <v>0.25</v>
      </c>
      <c r="O33" s="33"/>
      <c r="P33" s="80"/>
      <c r="R33" s="11">
        <f>SQRT(2*(M33+0)*9.806/$D$43)</f>
        <v>23.429570546511261</v>
      </c>
      <c r="S33" s="10" t="str">
        <f t="shared" ref="S33:S36" si="29">FIXED(R33,4-(1+INT(LOG10(ABS(R33)))))</f>
        <v>23.43</v>
      </c>
      <c r="T33">
        <f t="shared" si="11"/>
        <v>6.3260999999999992E-4</v>
      </c>
      <c r="U33" s="12"/>
      <c r="V33" s="14"/>
      <c r="W33" s="12"/>
      <c r="X33" s="14"/>
      <c r="Y33" s="12"/>
      <c r="Z33" s="13"/>
    </row>
    <row r="34" spans="3:26" x14ac:dyDescent="0.3">
      <c r="C34" s="58"/>
      <c r="D34" s="30">
        <f t="shared" si="4"/>
        <v>7.5</v>
      </c>
      <c r="E34" s="31" t="str">
        <f t="shared" si="26"/>
        <v>31.0</v>
      </c>
      <c r="F34" s="32" t="str">
        <f t="shared" ref="F34" si="30">FIXED(F16,3-(1+INT(LOG10(ABS(F16)))))</f>
        <v>30.9</v>
      </c>
      <c r="G34" s="39"/>
      <c r="H34" s="38"/>
      <c r="I34" s="29"/>
      <c r="J34" s="58"/>
      <c r="K34" s="31" t="str">
        <f t="shared" si="7"/>
        <v>7.5</v>
      </c>
      <c r="L34" s="36">
        <v>0.5</v>
      </c>
      <c r="M34" s="31" t="str">
        <f t="shared" si="28"/>
        <v>31.0</v>
      </c>
      <c r="N34" s="36">
        <f t="shared" si="9"/>
        <v>0.30000000000000071</v>
      </c>
      <c r="O34" s="33"/>
      <c r="P34" s="80"/>
      <c r="R34" s="11">
        <f>SQRT(2*(M34+0)*9.806/$D$43)</f>
        <v>22.605965392916033</v>
      </c>
      <c r="S34" s="10" t="str">
        <f t="shared" si="29"/>
        <v>22.61</v>
      </c>
      <c r="T34">
        <f t="shared" si="11"/>
        <v>1.0174500000000003E-3</v>
      </c>
      <c r="U34" s="12"/>
      <c r="V34" s="14"/>
      <c r="W34" s="12"/>
      <c r="X34" s="14"/>
      <c r="Y34" s="12"/>
      <c r="Z34" s="13"/>
    </row>
    <row r="35" spans="3:26" x14ac:dyDescent="0.3">
      <c r="C35" s="58"/>
      <c r="D35" s="30">
        <f t="shared" si="4"/>
        <v>10.5</v>
      </c>
      <c r="E35" s="31" t="str">
        <f t="shared" si="26"/>
        <v>26.5</v>
      </c>
      <c r="F35" s="32" t="str">
        <f t="shared" ref="F35" si="31">FIXED(F17,3-(1+INT(LOG10(ABS(F17)))))</f>
        <v>26.5</v>
      </c>
      <c r="G35" s="39"/>
      <c r="H35" s="38"/>
      <c r="I35" s="29"/>
      <c r="J35" s="58"/>
      <c r="K35" s="31" t="str">
        <f>FIXED(D17,3-(1+INT(LOG10(ABS(D17)))))</f>
        <v>10.5</v>
      </c>
      <c r="L35" s="36">
        <v>0.5</v>
      </c>
      <c r="M35" s="31" t="str">
        <f t="shared" si="28"/>
        <v>26.5</v>
      </c>
      <c r="N35" s="36">
        <f t="shared" si="9"/>
        <v>0.25</v>
      </c>
      <c r="O35" s="33"/>
      <c r="P35" s="80"/>
      <c r="R35" s="11">
        <f>SQRT(2*(M35+0)*9.806/$D$43)</f>
        <v>20.900907752058252</v>
      </c>
      <c r="S35" s="10" t="str">
        <f t="shared" si="29"/>
        <v>20.90</v>
      </c>
      <c r="T35">
        <f t="shared" si="11"/>
        <v>1.3166999999999996E-3</v>
      </c>
      <c r="U35" s="12"/>
      <c r="V35" s="14"/>
      <c r="W35" s="12"/>
      <c r="X35" s="14"/>
      <c r="Y35" s="12"/>
      <c r="Z35" s="13"/>
    </row>
    <row r="36" spans="3:26" ht="17.25" thickBot="1" x14ac:dyDescent="0.35">
      <c r="C36" s="51"/>
      <c r="D36" s="40">
        <f t="shared" si="4"/>
        <v>13.5</v>
      </c>
      <c r="E36" s="41" t="str">
        <f t="shared" si="26"/>
        <v>20.6</v>
      </c>
      <c r="F36" s="42" t="str">
        <f t="shared" ref="F36" si="32">FIXED(F18,3-(1+INT(LOG10(ABS(F18)))))</f>
        <v>20.7</v>
      </c>
      <c r="G36" s="43"/>
      <c r="H36" s="44"/>
      <c r="I36" s="29"/>
      <c r="J36" s="51"/>
      <c r="K36" s="41" t="str">
        <f>FIXED(D18,3-(1+INT(LOG10(ABS(D18)))))</f>
        <v>13.5</v>
      </c>
      <c r="L36" s="45">
        <v>0.5</v>
      </c>
      <c r="M36" s="41" t="str">
        <f t="shared" si="28"/>
        <v>20.7</v>
      </c>
      <c r="N36" s="45">
        <f t="shared" si="9"/>
        <v>0.29999999999999893</v>
      </c>
      <c r="O36" s="46"/>
      <c r="P36" s="83"/>
      <c r="R36" s="11">
        <f>SQRT(2*(M36+0)*9.806/$D$43)</f>
        <v>18.472572691265171</v>
      </c>
      <c r="S36" s="10" t="str">
        <f t="shared" si="29"/>
        <v>18.47</v>
      </c>
      <c r="T36">
        <f t="shared" si="11"/>
        <v>1.4960699999999997E-3</v>
      </c>
      <c r="U36" s="12"/>
      <c r="V36" s="14"/>
      <c r="W36" s="12"/>
      <c r="X36" s="14"/>
      <c r="Y36" s="12"/>
      <c r="Z36" s="13"/>
    </row>
    <row r="37" spans="3:26" x14ac:dyDescent="0.3">
      <c r="M37" s="10"/>
    </row>
    <row r="39" spans="3:26" x14ac:dyDescent="0.3">
      <c r="U39">
        <f>Z22+0</f>
        <v>0.71299999999999997</v>
      </c>
    </row>
    <row r="40" spans="3:26" x14ac:dyDescent="0.3">
      <c r="D40">
        <v>101.2</v>
      </c>
      <c r="F40" t="s">
        <v>7</v>
      </c>
      <c r="G40" t="s">
        <v>8</v>
      </c>
      <c r="K40">
        <f>K22+0</f>
        <v>1.5</v>
      </c>
      <c r="L40">
        <f>S22+0</f>
        <v>7.91</v>
      </c>
      <c r="U40">
        <f>Z27+0</f>
        <v>0.72899999999999998</v>
      </c>
      <c r="X40" s="84">
        <f>AVERAGE(U39:U41)</f>
        <v>0.72433333333333338</v>
      </c>
      <c r="Y40" s="85">
        <f>_xlfn.STDEV.S(U39:U41)/SQRT(3)</f>
        <v>5.69600249687836E-3</v>
      </c>
    </row>
    <row r="41" spans="3:26" x14ac:dyDescent="0.3">
      <c r="D41">
        <f>23.2+273.2</f>
        <v>296.39999999999998</v>
      </c>
      <c r="E41">
        <v>0.05</v>
      </c>
      <c r="F41" t="s">
        <v>9</v>
      </c>
      <c r="G41" t="s">
        <v>10</v>
      </c>
      <c r="K41">
        <f t="shared" ref="K41:K54" si="33">K23+0</f>
        <v>4.5</v>
      </c>
      <c r="L41">
        <f t="shared" ref="L41:L54" si="34">S23+0</f>
        <v>7.7</v>
      </c>
      <c r="U41">
        <f>Z32+0</f>
        <v>0.73099999999999998</v>
      </c>
    </row>
    <row r="42" spans="3:26" x14ac:dyDescent="0.3">
      <c r="D42">
        <f>D40/(D41*0.287)</f>
        <v>1.1896533077534364</v>
      </c>
      <c r="F42" t="s">
        <v>11</v>
      </c>
      <c r="G42" t="s">
        <v>12</v>
      </c>
      <c r="K42">
        <f t="shared" si="33"/>
        <v>7.5</v>
      </c>
      <c r="L42">
        <f t="shared" si="34"/>
        <v>6.91</v>
      </c>
    </row>
    <row r="43" spans="3:26" x14ac:dyDescent="0.3">
      <c r="D43" s="10" t="str">
        <f>FIXED(D42,5-(1+INT(LOG10(ABS(D42)))))</f>
        <v>1.1897</v>
      </c>
      <c r="E43" s="86">
        <v>1.7000000000000001E-2</v>
      </c>
      <c r="G43" t="s">
        <v>24</v>
      </c>
      <c r="K43">
        <f t="shared" si="33"/>
        <v>10.5</v>
      </c>
      <c r="L43">
        <f t="shared" si="34"/>
        <v>6.42</v>
      </c>
    </row>
    <row r="44" spans="3:26" x14ac:dyDescent="0.3">
      <c r="D44">
        <v>2.3199999999999998E-2</v>
      </c>
      <c r="F44" t="s">
        <v>17</v>
      </c>
      <c r="G44" t="s">
        <v>18</v>
      </c>
      <c r="K44">
        <f t="shared" si="33"/>
        <v>13.5</v>
      </c>
      <c r="L44">
        <f t="shared" si="34"/>
        <v>5.74</v>
      </c>
    </row>
    <row r="45" spans="3:26" ht="17.25" thickBot="1" x14ac:dyDescent="0.35">
      <c r="K45">
        <f t="shared" si="33"/>
        <v>1.5</v>
      </c>
      <c r="L45">
        <f t="shared" si="34"/>
        <v>16.09</v>
      </c>
    </row>
    <row r="46" spans="3:26" x14ac:dyDescent="0.3">
      <c r="K46">
        <f t="shared" si="33"/>
        <v>4.5</v>
      </c>
      <c r="L46">
        <f t="shared" si="34"/>
        <v>15.98</v>
      </c>
      <c r="Q46" s="47" t="s">
        <v>1</v>
      </c>
      <c r="R46" s="21" t="s">
        <v>19</v>
      </c>
      <c r="S46" s="87"/>
      <c r="T46" s="21" t="s">
        <v>25</v>
      </c>
      <c r="U46" s="22"/>
      <c r="V46" s="87" t="s">
        <v>10</v>
      </c>
      <c r="W46" s="22"/>
    </row>
    <row r="47" spans="3:26" ht="17.25" thickBot="1" x14ac:dyDescent="0.35">
      <c r="K47">
        <f t="shared" si="33"/>
        <v>7.5</v>
      </c>
      <c r="L47">
        <f t="shared" si="34"/>
        <v>15.14</v>
      </c>
      <c r="Q47" s="51"/>
      <c r="R47" s="23"/>
      <c r="S47" s="93"/>
      <c r="T47" s="23"/>
      <c r="U47" s="24"/>
      <c r="V47" s="93"/>
      <c r="W47" s="24"/>
    </row>
    <row r="48" spans="3:26" x14ac:dyDescent="0.3">
      <c r="K48">
        <f t="shared" si="33"/>
        <v>10.5</v>
      </c>
      <c r="L48">
        <f t="shared" si="34"/>
        <v>13.71</v>
      </c>
      <c r="Q48" s="47">
        <v>15</v>
      </c>
      <c r="R48" s="96">
        <v>7.91</v>
      </c>
      <c r="S48" s="101">
        <f>SQRT((0.5*N22/M22)^2+(-0.5*$E$43/100)^2)*100</f>
        <v>3.2894846661921937</v>
      </c>
      <c r="T48" s="94">
        <v>4.5799999999999999E-3</v>
      </c>
      <c r="U48" s="110">
        <f>SQRT((2*L22/K26)^2+(1*S52/100)^2)*100</f>
        <v>9.6918654937692033</v>
      </c>
      <c r="V48" s="112">
        <v>0.71299999999999997</v>
      </c>
      <c r="W48" s="110">
        <f>SQRT((0.5*E43/100)^2+(1*U48/100)^2+(-0.5*P22/O22)^2)*100</f>
        <v>10.328960791876909</v>
      </c>
    </row>
    <row r="49" spans="11:23" x14ac:dyDescent="0.3">
      <c r="K49">
        <f t="shared" si="33"/>
        <v>13.5</v>
      </c>
      <c r="L49">
        <f t="shared" si="34"/>
        <v>12.2</v>
      </c>
      <c r="Q49" s="58"/>
      <c r="R49" s="114" t="s">
        <v>26</v>
      </c>
      <c r="S49" s="102">
        <f t="shared" ref="S49:S62" si="35">SQRT((0.5*N23/M23)^2+(-0.5*$E$43/100)^2)*100</f>
        <v>3.4722326262066354</v>
      </c>
      <c r="T49" s="17"/>
      <c r="U49" s="106"/>
      <c r="V49" s="90"/>
      <c r="W49" s="106"/>
    </row>
    <row r="50" spans="11:23" x14ac:dyDescent="0.3">
      <c r="K50">
        <f t="shared" si="33"/>
        <v>1.5</v>
      </c>
      <c r="L50">
        <f t="shared" si="34"/>
        <v>23.67</v>
      </c>
      <c r="Q50" s="58"/>
      <c r="R50" s="88">
        <v>6.91</v>
      </c>
      <c r="S50" s="102">
        <f t="shared" si="35"/>
        <v>6.0344887450462927</v>
      </c>
      <c r="T50" s="17"/>
      <c r="U50" s="106"/>
      <c r="V50" s="90"/>
      <c r="W50" s="106"/>
    </row>
    <row r="51" spans="11:23" x14ac:dyDescent="0.3">
      <c r="K51">
        <f t="shared" si="33"/>
        <v>4.5</v>
      </c>
      <c r="L51">
        <f t="shared" si="34"/>
        <v>23.43</v>
      </c>
      <c r="Q51" s="58"/>
      <c r="R51" s="88">
        <v>6.42</v>
      </c>
      <c r="S51" s="102">
        <f t="shared" si="35"/>
        <v>5.0000072249947802</v>
      </c>
      <c r="T51" s="17"/>
      <c r="U51" s="106"/>
      <c r="V51" s="90"/>
      <c r="W51" s="106"/>
    </row>
    <row r="52" spans="11:23" x14ac:dyDescent="0.3">
      <c r="K52">
        <f t="shared" si="33"/>
        <v>7.5</v>
      </c>
      <c r="L52">
        <f t="shared" si="34"/>
        <v>22.61</v>
      </c>
      <c r="Q52" s="61"/>
      <c r="R52" s="97">
        <v>5.74</v>
      </c>
      <c r="S52" s="103">
        <f t="shared" si="35"/>
        <v>6.2500057799973279</v>
      </c>
      <c r="T52" s="98"/>
      <c r="U52" s="109"/>
      <c r="V52" s="111"/>
      <c r="W52" s="109"/>
    </row>
    <row r="53" spans="11:23" x14ac:dyDescent="0.3">
      <c r="K53">
        <f t="shared" si="33"/>
        <v>10.5</v>
      </c>
      <c r="L53">
        <f t="shared" si="34"/>
        <v>20.9</v>
      </c>
      <c r="Q53" s="67">
        <v>30</v>
      </c>
      <c r="R53" s="99">
        <v>16.09</v>
      </c>
      <c r="S53" s="104">
        <f t="shared" si="35"/>
        <v>0.79622371565624894</v>
      </c>
      <c r="T53" s="100">
        <v>9.7699999999999992E-3</v>
      </c>
      <c r="U53" s="108">
        <f>SQRT((2*L31/K31)^2+(1*S57/100)^2)*100</f>
        <v>7.5885980197884857</v>
      </c>
      <c r="V53" s="113">
        <v>0.72899999999999998</v>
      </c>
      <c r="W53" s="108">
        <f>SQRT((0.5*E43/100)^2+(1*U53/100)^2+(-0.5*P27/O27)^2)*100</f>
        <v>7.6327422698868634</v>
      </c>
    </row>
    <row r="54" spans="11:23" x14ac:dyDescent="0.3">
      <c r="K54">
        <f t="shared" si="33"/>
        <v>13.5</v>
      </c>
      <c r="L54">
        <f t="shared" si="34"/>
        <v>18.47</v>
      </c>
      <c r="Q54" s="58"/>
      <c r="R54" s="88">
        <v>15.98</v>
      </c>
      <c r="S54" s="102">
        <f t="shared" si="35"/>
        <v>0.96777926393060687</v>
      </c>
      <c r="T54" s="17"/>
      <c r="U54" s="106"/>
      <c r="V54" s="90"/>
      <c r="W54" s="106"/>
    </row>
    <row r="55" spans="11:23" x14ac:dyDescent="0.3">
      <c r="Q55" s="58"/>
      <c r="R55" s="88">
        <v>15.14</v>
      </c>
      <c r="S55" s="102">
        <f t="shared" si="35"/>
        <v>1.0791701659616049</v>
      </c>
      <c r="T55" s="17"/>
      <c r="U55" s="106"/>
      <c r="V55" s="90"/>
      <c r="W55" s="106"/>
    </row>
    <row r="56" spans="11:23" x14ac:dyDescent="0.3">
      <c r="Q56" s="58"/>
      <c r="R56" s="88">
        <v>13.71</v>
      </c>
      <c r="S56" s="102">
        <f t="shared" si="35"/>
        <v>1.0965241735752302</v>
      </c>
      <c r="T56" s="17"/>
      <c r="U56" s="106"/>
      <c r="V56" s="90"/>
      <c r="W56" s="106"/>
    </row>
    <row r="57" spans="11:23" x14ac:dyDescent="0.3">
      <c r="Q57" s="61"/>
      <c r="R57" s="97">
        <v>12.2</v>
      </c>
      <c r="S57" s="103">
        <f t="shared" si="35"/>
        <v>1.6483735640392905</v>
      </c>
      <c r="T57" s="98"/>
      <c r="U57" s="109"/>
      <c r="V57" s="111"/>
      <c r="W57" s="109"/>
    </row>
    <row r="58" spans="11:23" x14ac:dyDescent="0.3">
      <c r="Q58" s="58">
        <v>45</v>
      </c>
      <c r="R58" s="88">
        <v>23.67</v>
      </c>
      <c r="S58" s="102">
        <f t="shared" si="35"/>
        <v>1.1029739293176088</v>
      </c>
      <c r="T58" s="95">
        <v>1.469E-2</v>
      </c>
      <c r="U58" s="106">
        <f>SQRT((2*L36/K36)^2+(1*S58/100)^2)*100</f>
        <v>7.4890744413491088</v>
      </c>
      <c r="V58" s="89">
        <v>0.73099999999999998</v>
      </c>
      <c r="W58" s="106">
        <f>SQRT((0.5*E43/100)^2+(1*U58/100)^2+(-0.5*P32/O32)^2)*100</f>
        <v>7.4979668308858685</v>
      </c>
    </row>
    <row r="59" spans="11:23" x14ac:dyDescent="0.3">
      <c r="Q59" s="58"/>
      <c r="R59" s="88">
        <v>23.43</v>
      </c>
      <c r="S59" s="102">
        <f t="shared" si="35"/>
        <v>0.37547160004213898</v>
      </c>
      <c r="T59" s="17"/>
      <c r="U59" s="106"/>
      <c r="V59" s="90"/>
      <c r="W59" s="106"/>
    </row>
    <row r="60" spans="11:23" x14ac:dyDescent="0.3">
      <c r="Q60" s="58"/>
      <c r="R60" s="88">
        <v>22.61</v>
      </c>
      <c r="S60" s="102">
        <f>SQRT((0.5*N34/M34)^2+(-0.5*$E$43/100)^2)*100</f>
        <v>0.48394562031649618</v>
      </c>
      <c r="T60" s="17"/>
      <c r="U60" s="106"/>
      <c r="V60" s="90"/>
      <c r="W60" s="106"/>
    </row>
    <row r="61" spans="11:23" x14ac:dyDescent="0.3">
      <c r="Q61" s="58"/>
      <c r="R61" s="114" t="s">
        <v>27</v>
      </c>
      <c r="S61" s="102">
        <f t="shared" si="35"/>
        <v>0.47177469199137839</v>
      </c>
      <c r="T61" s="17"/>
      <c r="U61" s="106"/>
      <c r="V61" s="90"/>
      <c r="W61" s="106"/>
    </row>
    <row r="62" spans="11:23" ht="17.25" thickBot="1" x14ac:dyDescent="0.35">
      <c r="Q62" s="51"/>
      <c r="R62" s="91">
        <v>18.47</v>
      </c>
      <c r="S62" s="105">
        <f t="shared" si="35"/>
        <v>0.72468753194469826</v>
      </c>
      <c r="T62" s="18"/>
      <c r="U62" s="107"/>
      <c r="V62" s="92"/>
      <c r="W62" s="107"/>
    </row>
  </sheetData>
  <mergeCells count="102">
    <mergeCell ref="T58:T62"/>
    <mergeCell ref="U58:U62"/>
    <mergeCell ref="T46:U47"/>
    <mergeCell ref="V48:V52"/>
    <mergeCell ref="V53:V57"/>
    <mergeCell ref="V58:V62"/>
    <mergeCell ref="V46:W47"/>
    <mergeCell ref="W48:W52"/>
    <mergeCell ref="W53:W57"/>
    <mergeCell ref="W58:W62"/>
    <mergeCell ref="T48:T52"/>
    <mergeCell ref="U48:U52"/>
    <mergeCell ref="T53:T57"/>
    <mergeCell ref="U53:U57"/>
    <mergeCell ref="Q48:Q52"/>
    <mergeCell ref="Q53:Q57"/>
    <mergeCell ref="Q58:Q62"/>
    <mergeCell ref="R46:S47"/>
    <mergeCell ref="C32:C36"/>
    <mergeCell ref="G32:G36"/>
    <mergeCell ref="H32:H36"/>
    <mergeCell ref="Q46:Q47"/>
    <mergeCell ref="C22:C26"/>
    <mergeCell ref="G22:G26"/>
    <mergeCell ref="H22:H26"/>
    <mergeCell ref="C27:C31"/>
    <mergeCell ref="G27:G31"/>
    <mergeCell ref="H27:H31"/>
    <mergeCell ref="J14:J18"/>
    <mergeCell ref="O14:O18"/>
    <mergeCell ref="P14:P18"/>
    <mergeCell ref="C20:C21"/>
    <mergeCell ref="D20:D21"/>
    <mergeCell ref="E20:F20"/>
    <mergeCell ref="G20:H20"/>
    <mergeCell ref="J4:J8"/>
    <mergeCell ref="O4:O8"/>
    <mergeCell ref="P4:P8"/>
    <mergeCell ref="J9:J13"/>
    <mergeCell ref="O9:O13"/>
    <mergeCell ref="P9:P13"/>
    <mergeCell ref="G14:G18"/>
    <mergeCell ref="H14:H18"/>
    <mergeCell ref="C4:C8"/>
    <mergeCell ref="C9:C13"/>
    <mergeCell ref="C14:C18"/>
    <mergeCell ref="G4:G8"/>
    <mergeCell ref="H4:H8"/>
    <mergeCell ref="G9:G13"/>
    <mergeCell ref="H9:H13"/>
    <mergeCell ref="C2:C3"/>
    <mergeCell ref="D2:D3"/>
    <mergeCell ref="E2:F2"/>
    <mergeCell ref="M3:N3"/>
    <mergeCell ref="O3:P3"/>
    <mergeCell ref="K2:L3"/>
    <mergeCell ref="G2:H2"/>
    <mergeCell ref="J2:J3"/>
    <mergeCell ref="M2:N2"/>
    <mergeCell ref="O2:P2"/>
    <mergeCell ref="J32:J36"/>
    <mergeCell ref="O32:O36"/>
    <mergeCell ref="P32:P36"/>
    <mergeCell ref="R20:R21"/>
    <mergeCell ref="J22:J26"/>
    <mergeCell ref="O22:O26"/>
    <mergeCell ref="P22:P26"/>
    <mergeCell ref="J27:J31"/>
    <mergeCell ref="O27:O31"/>
    <mergeCell ref="P27:P31"/>
    <mergeCell ref="J20:J21"/>
    <mergeCell ref="K20:L21"/>
    <mergeCell ref="M20:N20"/>
    <mergeCell ref="O20:P20"/>
    <mergeCell ref="M21:N21"/>
    <mergeCell ref="O21:P21"/>
    <mergeCell ref="S20:S21"/>
    <mergeCell ref="T20:T21"/>
    <mergeCell ref="U20:U21"/>
    <mergeCell ref="U22:U26"/>
    <mergeCell ref="U27:U31"/>
    <mergeCell ref="U32:U36"/>
    <mergeCell ref="V20:V21"/>
    <mergeCell ref="V22:V26"/>
    <mergeCell ref="V27:V31"/>
    <mergeCell ref="V32:V36"/>
    <mergeCell ref="W20:W21"/>
    <mergeCell ref="W22:W26"/>
    <mergeCell ref="W27:W31"/>
    <mergeCell ref="W32:W36"/>
    <mergeCell ref="X20:X21"/>
    <mergeCell ref="X22:X26"/>
    <mergeCell ref="X27:X31"/>
    <mergeCell ref="X32:X36"/>
    <mergeCell ref="Y20:Y21"/>
    <mergeCell ref="Y22:Y26"/>
    <mergeCell ref="Y27:Y31"/>
    <mergeCell ref="Y32:Y36"/>
    <mergeCell ref="Z20:Z21"/>
    <mergeCell ref="Z22:Z26"/>
    <mergeCell ref="Z27:Z31"/>
    <mergeCell ref="Z32:Z36"/>
  </mergeCells>
  <phoneticPr fontId="1" type="noConversion"/>
  <pageMargins left="0.7" right="0.7" top="0.75" bottom="0.75" header="0.3" footer="0.3"/>
  <ignoredErrors>
    <ignoredError sqref="M4 N4:N18 M5:M18" formulaRange="1"/>
    <ignoredError sqref="Y22:Y36 W22:W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E50-1CD5-4912-803B-021E5D7DD879}">
  <dimension ref="A1:M16"/>
  <sheetViews>
    <sheetView workbookViewId="0">
      <selection activeCell="H26" sqref="H26"/>
    </sheetView>
  </sheetViews>
  <sheetFormatPr defaultRowHeight="16.5" x14ac:dyDescent="0.3"/>
  <cols>
    <col min="7" max="7" width="13.5" customWidth="1"/>
    <col min="10" max="10" width="13.125" bestFit="1" customWidth="1"/>
  </cols>
  <sheetData>
    <row r="1" spans="1:13" x14ac:dyDescent="0.3">
      <c r="A1" t="s">
        <v>21</v>
      </c>
      <c r="B1" t="s">
        <v>20</v>
      </c>
      <c r="C1" t="s">
        <v>28</v>
      </c>
      <c r="D1" t="s">
        <v>22</v>
      </c>
      <c r="H1" t="s">
        <v>23</v>
      </c>
      <c r="J1" t="s">
        <v>15</v>
      </c>
      <c r="M1" t="s">
        <v>10</v>
      </c>
    </row>
    <row r="2" spans="1:13" x14ac:dyDescent="0.3">
      <c r="A2">
        <f>Sheet1!K22+0</f>
        <v>1.5</v>
      </c>
      <c r="B2">
        <f>Sheet1!S22+0</f>
        <v>7.91</v>
      </c>
      <c r="C2">
        <v>3.2894846661921937</v>
      </c>
      <c r="D2">
        <v>15</v>
      </c>
      <c r="F2">
        <f>B2*(1 - (A2/$D$2))^(1/7)</f>
        <v>7.791834135039224</v>
      </c>
      <c r="G2">
        <f>(1 - (A2/$D$2))^(2/7)</f>
        <v>0.97034557846510361</v>
      </c>
      <c r="H2">
        <f>SUM(F2:F6)/((SUM(G2:G6)))</f>
        <v>7.882413951521194</v>
      </c>
      <c r="J2">
        <f>(735*PI()/4)*H2*0.000001</f>
        <v>4.5502625788874287E-3</v>
      </c>
      <c r="M2">
        <f>(Sheet2!J2/(PI()*0.25*Sheet1!$D$44^2))*SQRT(Sheet1!$D$43/(2*Sheet1!O22*9.806))</f>
        <v>0.70854000888533974</v>
      </c>
    </row>
    <row r="3" spans="1:13" x14ac:dyDescent="0.3">
      <c r="A3">
        <f>Sheet1!K23+0</f>
        <v>4.5</v>
      </c>
      <c r="B3">
        <f>Sheet1!S23+0</f>
        <v>7.7</v>
      </c>
      <c r="C3">
        <v>3.4722326262066354</v>
      </c>
      <c r="F3">
        <f t="shared" ref="F3:F16" si="0">B3*(1 - (A3/$D$2))^(1/7)</f>
        <v>7.3174855542149198</v>
      </c>
      <c r="G3">
        <f t="shared" ref="G3:G16" si="1">(1 - (A3/$D$2))^(2/7)</f>
        <v>0.90311342277186768</v>
      </c>
    </row>
    <row r="4" spans="1:13" x14ac:dyDescent="0.3">
      <c r="A4">
        <f>Sheet1!K24+0</f>
        <v>7.5</v>
      </c>
      <c r="B4">
        <f>Sheet1!S24+0</f>
        <v>6.91</v>
      </c>
      <c r="C4">
        <v>6.0344887450462927</v>
      </c>
      <c r="F4">
        <f t="shared" si="0"/>
        <v>6.2585505200635954</v>
      </c>
      <c r="G4">
        <f t="shared" si="1"/>
        <v>0.82033535600763796</v>
      </c>
    </row>
    <row r="5" spans="1:13" x14ac:dyDescent="0.3">
      <c r="A5">
        <f>Sheet1!K25+0</f>
        <v>10.5</v>
      </c>
      <c r="B5">
        <f>Sheet1!S25+0</f>
        <v>6.42</v>
      </c>
      <c r="C5">
        <v>5.0000072249947802</v>
      </c>
      <c r="F5">
        <f t="shared" si="0"/>
        <v>5.4055272926950302</v>
      </c>
      <c r="G5">
        <f t="shared" si="1"/>
        <v>0.70893443658521527</v>
      </c>
    </row>
    <row r="6" spans="1:13" x14ac:dyDescent="0.3">
      <c r="A6">
        <f>Sheet1!K26+0</f>
        <v>13.5</v>
      </c>
      <c r="B6">
        <f>Sheet1!S26+0</f>
        <v>5.74</v>
      </c>
      <c r="C6">
        <v>6.2500057799973279</v>
      </c>
      <c r="F6">
        <f t="shared" si="0"/>
        <v>4.130995763026613</v>
      </c>
      <c r="G6">
        <f t="shared" si="1"/>
        <v>0.51794746792312107</v>
      </c>
    </row>
    <row r="7" spans="1:13" x14ac:dyDescent="0.3">
      <c r="A7">
        <f>Sheet1!K27+0</f>
        <v>1.5</v>
      </c>
      <c r="B7">
        <f>Sheet1!S27+0</f>
        <v>16.09</v>
      </c>
      <c r="C7">
        <v>0.79622371565624894</v>
      </c>
      <c r="F7">
        <f t="shared" si="0"/>
        <v>15.849634795547548</v>
      </c>
      <c r="G7">
        <f t="shared" si="1"/>
        <v>0.97034557846510361</v>
      </c>
      <c r="H7">
        <f>SUM(F7:F11)/((SUM(G7:G11)))</f>
        <v>16.5971861951151</v>
      </c>
      <c r="J7">
        <f>(735*PI()/4)*H7*0.000001</f>
        <v>9.5810186730785271E-3</v>
      </c>
      <c r="M7">
        <f>(Sheet2!J7/(PI()*0.25*Sheet1!$D$44^2))*SQRT(Sheet1!$D$43/(2*Sheet1!O27*9.806))</f>
        <v>0.71472456078007618</v>
      </c>
    </row>
    <row r="8" spans="1:13" x14ac:dyDescent="0.3">
      <c r="A8">
        <f>Sheet1!K28+0</f>
        <v>4.5</v>
      </c>
      <c r="B8">
        <f>Sheet1!S28+0</f>
        <v>15.98</v>
      </c>
      <c r="C8">
        <v>0.96777926393060687</v>
      </c>
      <c r="F8">
        <f t="shared" si="0"/>
        <v>15.186158331994081</v>
      </c>
      <c r="G8">
        <f t="shared" si="1"/>
        <v>0.90311342277186768</v>
      </c>
    </row>
    <row r="9" spans="1:13" x14ac:dyDescent="0.3">
      <c r="A9">
        <f>Sheet1!K29+0</f>
        <v>7.5</v>
      </c>
      <c r="B9">
        <f>Sheet1!S29+0</f>
        <v>15.14</v>
      </c>
      <c r="C9">
        <v>1.0791701659616049</v>
      </c>
      <c r="F9">
        <f t="shared" si="0"/>
        <v>13.712656276955547</v>
      </c>
      <c r="G9">
        <f t="shared" si="1"/>
        <v>0.82033535600763796</v>
      </c>
    </row>
    <row r="10" spans="1:13" x14ac:dyDescent="0.3">
      <c r="A10">
        <f>Sheet1!K30+0</f>
        <v>10.5</v>
      </c>
      <c r="B10">
        <f>Sheet1!S30+0</f>
        <v>13.71</v>
      </c>
      <c r="C10">
        <v>1.0965241735752302</v>
      </c>
      <c r="F10">
        <f t="shared" si="0"/>
        <v>11.54357931197023</v>
      </c>
      <c r="G10">
        <f t="shared" si="1"/>
        <v>0.70893443658521527</v>
      </c>
    </row>
    <row r="11" spans="1:13" x14ac:dyDescent="0.3">
      <c r="A11">
        <f>Sheet1!K31+0</f>
        <v>13.5</v>
      </c>
      <c r="B11">
        <f>Sheet1!S31+0</f>
        <v>12.2</v>
      </c>
      <c r="C11">
        <v>1.6483735640392905</v>
      </c>
      <c r="F11">
        <f t="shared" si="0"/>
        <v>8.7801652106140544</v>
      </c>
      <c r="G11">
        <f t="shared" si="1"/>
        <v>0.51794746792312107</v>
      </c>
    </row>
    <row r="12" spans="1:13" x14ac:dyDescent="0.3">
      <c r="A12">
        <f>Sheet1!K32+0</f>
        <v>1.5</v>
      </c>
      <c r="B12">
        <f>Sheet1!S32+0</f>
        <v>23.67</v>
      </c>
      <c r="C12">
        <v>1.1029739293176088</v>
      </c>
      <c r="F12">
        <f t="shared" si="0"/>
        <v>23.316398732791207</v>
      </c>
      <c r="G12">
        <f t="shared" si="1"/>
        <v>0.97034557846510361</v>
      </c>
      <c r="H12">
        <f>SUM(F12:F16)/((SUM(G12:G16)))</f>
        <v>24.728106827160001</v>
      </c>
      <c r="J12">
        <f>(735*PI()/4)*H12*0.000001</f>
        <v>1.4274736119465314E-2</v>
      </c>
      <c r="M12">
        <f>(Sheet2!J12/(PI()*0.25*Sheet1!$D$44^2))*SQRT(Sheet1!$D$43/(2*Sheet1!O32*9.806))</f>
        <v>0.71055834202224422</v>
      </c>
    </row>
    <row r="13" spans="1:13" x14ac:dyDescent="0.3">
      <c r="A13">
        <f>Sheet1!K33+0</f>
        <v>4.5</v>
      </c>
      <c r="B13">
        <f>Sheet1!S33+0</f>
        <v>23.43</v>
      </c>
      <c r="C13">
        <v>0.37547160004213898</v>
      </c>
      <c r="F13">
        <f t="shared" si="0"/>
        <v>22.266063186396828</v>
      </c>
      <c r="G13">
        <f t="shared" si="1"/>
        <v>0.90311342277186768</v>
      </c>
    </row>
    <row r="14" spans="1:13" x14ac:dyDescent="0.3">
      <c r="A14">
        <f>Sheet1!K34+0</f>
        <v>7.5</v>
      </c>
      <c r="B14">
        <f>Sheet1!S34+0</f>
        <v>22.61</v>
      </c>
      <c r="C14">
        <v>0.48394562031649618</v>
      </c>
      <c r="F14">
        <f t="shared" si="0"/>
        <v>20.478412049006931</v>
      </c>
      <c r="G14">
        <f t="shared" si="1"/>
        <v>0.82033535600763796</v>
      </c>
    </row>
    <row r="15" spans="1:13" x14ac:dyDescent="0.3">
      <c r="A15">
        <f>Sheet1!K35+0</f>
        <v>10.5</v>
      </c>
      <c r="B15">
        <f>Sheet1!S35+0</f>
        <v>20.9</v>
      </c>
      <c r="C15">
        <v>0.47177469199137839</v>
      </c>
      <c r="F15">
        <f t="shared" si="0"/>
        <v>17.597433086810923</v>
      </c>
      <c r="G15">
        <f t="shared" si="1"/>
        <v>0.70893443658521527</v>
      </c>
    </row>
    <row r="16" spans="1:13" x14ac:dyDescent="0.3">
      <c r="A16">
        <f>Sheet1!K36+0</f>
        <v>13.5</v>
      </c>
      <c r="B16">
        <f>Sheet1!S36+0</f>
        <v>18.47</v>
      </c>
      <c r="C16">
        <v>0.72468753194469826</v>
      </c>
      <c r="F16">
        <f t="shared" si="0"/>
        <v>13.292594380331277</v>
      </c>
      <c r="G16">
        <f t="shared" si="1"/>
        <v>0.51794746792312107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30C9C5E62EF144F9209F5F8EC72BC84" ma:contentTypeVersion="3" ma:contentTypeDescription="새 문서를 만듭니다." ma:contentTypeScope="" ma:versionID="24ffbb027042fd0c639d93d374ac80a2">
  <xsd:schema xmlns:xsd="http://www.w3.org/2001/XMLSchema" xmlns:xs="http://www.w3.org/2001/XMLSchema" xmlns:p="http://schemas.microsoft.com/office/2006/metadata/properties" xmlns:ns3="6b28e3d6-4e92-425e-afcd-ed371da3b97a" targetNamespace="http://schemas.microsoft.com/office/2006/metadata/properties" ma:root="true" ma:fieldsID="b87eb0c5e7dcd809a82a941e1fb36624" ns3:_="">
    <xsd:import namespace="6b28e3d6-4e92-425e-afcd-ed371da3b9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8e3d6-4e92-425e-afcd-ed371da3b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11BFFE-0032-42F0-A0C1-9790BFAF37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C2983D-D190-4E81-8FCE-0B86266C5D17}">
  <ds:schemaRefs>
    <ds:schemaRef ds:uri="http://schemas.microsoft.com/office/infopath/2007/PartnerControls"/>
    <ds:schemaRef ds:uri="http://schemas.microsoft.com/office/2006/metadata/properties"/>
    <ds:schemaRef ds:uri="6b28e3d6-4e92-425e-afcd-ed371da3b97a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300CE65-2851-492D-89AC-678148675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28e3d6-4e92-425e-afcd-ed371da3b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찬우 김</dc:creator>
  <cp:lastModifiedBy>김찬우(학부생-기계시스템공학전공)</cp:lastModifiedBy>
  <dcterms:created xsi:type="dcterms:W3CDTF">2023-09-25T07:52:00Z</dcterms:created>
  <dcterms:modified xsi:type="dcterms:W3CDTF">2023-10-03T17:13:56Z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0x010100530C9C5E62EF144F9209F5F8EC72BC84</vt:lpwstr>
  </property>
</Properties>
</file>