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"/>
    </mc:Choice>
  </mc:AlternateContent>
  <xr:revisionPtr revIDLastSave="0" documentId="8_{963C0E8B-E740-410E-9CCC-2165B8D91546}" xr6:coauthVersionLast="47" xr6:coauthVersionMax="47" xr10:uidLastSave="{00000000-0000-0000-0000-000000000000}"/>
  <bookViews>
    <workbookView xWindow="-120" yWindow="-120" windowWidth="29040" windowHeight="15720" xr2:uid="{A82356BD-FC16-4781-AB8A-F4F89DC3B2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/>
  <c r="O3" i="2"/>
  <c r="O2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59" i="1"/>
  <c r="S60" i="1"/>
  <c r="S49" i="1"/>
  <c r="S50" i="1"/>
  <c r="S51" i="1"/>
  <c r="S52" i="1"/>
  <c r="S53" i="1"/>
  <c r="S54" i="1"/>
  <c r="S55" i="1"/>
  <c r="S56" i="1"/>
  <c r="S57" i="1"/>
  <c r="S58" i="1"/>
  <c r="S59" i="1"/>
  <c r="S61" i="1"/>
  <c r="S62" i="1"/>
  <c r="S48" i="1"/>
  <c r="H32" i="1"/>
  <c r="G32" i="1"/>
  <c r="H27" i="1"/>
  <c r="H22" i="1"/>
  <c r="G27" i="1"/>
  <c r="G22" i="1"/>
  <c r="O32" i="1"/>
  <c r="O22" i="1"/>
  <c r="O27" i="1"/>
  <c r="P27" i="1"/>
  <c r="P32" i="1"/>
  <c r="P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2" i="1"/>
  <c r="A3" i="2"/>
  <c r="G3" i="2" s="1"/>
  <c r="A4" i="2"/>
  <c r="G4" i="2" s="1"/>
  <c r="A5" i="2"/>
  <c r="G5" i="2" s="1"/>
  <c r="A6" i="2"/>
  <c r="G6" i="2" s="1"/>
  <c r="A7" i="2"/>
  <c r="G7" i="2" s="1"/>
  <c r="A8" i="2"/>
  <c r="G8" i="2" s="1"/>
  <c r="A9" i="2"/>
  <c r="G9" i="2" s="1"/>
  <c r="A10" i="2"/>
  <c r="G10" i="2" s="1"/>
  <c r="A11" i="2"/>
  <c r="G11" i="2" s="1"/>
  <c r="A12" i="2"/>
  <c r="G12" i="2" s="1"/>
  <c r="A13" i="2"/>
  <c r="G13" i="2" s="1"/>
  <c r="A14" i="2"/>
  <c r="G14" i="2" s="1"/>
  <c r="A15" i="2"/>
  <c r="G15" i="2" s="1"/>
  <c r="A16" i="2"/>
  <c r="G16" i="2" s="1"/>
  <c r="A2" i="2"/>
  <c r="G2" i="2" s="1"/>
  <c r="F32" i="1"/>
  <c r="F33" i="1"/>
  <c r="F34" i="1"/>
  <c r="F35" i="1"/>
  <c r="F36" i="1"/>
  <c r="E33" i="1"/>
  <c r="E34" i="1"/>
  <c r="E35" i="1"/>
  <c r="E36" i="1"/>
  <c r="E32" i="1"/>
  <c r="F27" i="1"/>
  <c r="F28" i="1"/>
  <c r="F29" i="1"/>
  <c r="F30" i="1"/>
  <c r="E28" i="1"/>
  <c r="E29" i="1"/>
  <c r="E30" i="1"/>
  <c r="E27" i="1"/>
  <c r="F22" i="1"/>
  <c r="F23" i="1"/>
  <c r="F24" i="1"/>
  <c r="F25" i="1"/>
  <c r="F26" i="1"/>
  <c r="F31" i="1"/>
  <c r="E23" i="1"/>
  <c r="E24" i="1"/>
  <c r="E25" i="1"/>
  <c r="E26" i="1"/>
  <c r="E31" i="1"/>
  <c r="E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2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40" i="1"/>
  <c r="D41" i="1"/>
  <c r="D42" i="1"/>
  <c r="D43" i="1" l="1"/>
  <c r="R31" i="1" s="1"/>
  <c r="S31" i="1" s="1"/>
  <c r="K36" i="1"/>
  <c r="K35" i="1"/>
  <c r="K31" i="1"/>
  <c r="K30" i="1"/>
  <c r="K26" i="1"/>
  <c r="K25" i="1"/>
  <c r="M34" i="1"/>
  <c r="M35" i="1"/>
  <c r="M36" i="1"/>
  <c r="M32" i="1"/>
  <c r="M29" i="1"/>
  <c r="M30" i="1"/>
  <c r="M27" i="1"/>
  <c r="M23" i="1"/>
  <c r="M24" i="1"/>
  <c r="M31" i="1"/>
  <c r="M22" i="1"/>
  <c r="K23" i="1"/>
  <c r="K24" i="1"/>
  <c r="K27" i="1"/>
  <c r="K28" i="1"/>
  <c r="K29" i="1"/>
  <c r="K32" i="1"/>
  <c r="K33" i="1"/>
  <c r="K34" i="1"/>
  <c r="K22" i="1"/>
  <c r="P9" i="1"/>
  <c r="P14" i="1"/>
  <c r="P4" i="1"/>
  <c r="O4" i="1"/>
  <c r="M18" i="1"/>
  <c r="M17" i="1"/>
  <c r="M16" i="1"/>
  <c r="M15" i="1"/>
  <c r="M33" i="1" s="1"/>
  <c r="M14" i="1"/>
  <c r="M13" i="1"/>
  <c r="M12" i="1"/>
  <c r="M11" i="1"/>
  <c r="M10" i="1"/>
  <c r="M28" i="1" s="1"/>
  <c r="M9" i="1"/>
  <c r="M8" i="1"/>
  <c r="M26" i="1" s="1"/>
  <c r="M7" i="1"/>
  <c r="M25" i="1" s="1"/>
  <c r="M6" i="1"/>
  <c r="M5" i="1"/>
  <c r="N18" i="1"/>
  <c r="M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4" i="1"/>
  <c r="T31" i="1" l="1"/>
  <c r="R57" i="1"/>
  <c r="U6" i="1"/>
  <c r="V6" i="1" s="1"/>
  <c r="R28" i="1"/>
  <c r="S28" i="1" s="1"/>
  <c r="R54" i="1" s="1"/>
  <c r="R35" i="1"/>
  <c r="S35" i="1" s="1"/>
  <c r="R36" i="1"/>
  <c r="S36" i="1" s="1"/>
  <c r="U7" i="1" s="1"/>
  <c r="R29" i="1"/>
  <c r="S29" i="1" s="1"/>
  <c r="R26" i="1"/>
  <c r="S26" i="1" s="1"/>
  <c r="R22" i="1"/>
  <c r="S22" i="1" s="1"/>
  <c r="R27" i="1"/>
  <c r="S27" i="1" s="1"/>
  <c r="R24" i="1"/>
  <c r="S24" i="1" s="1"/>
  <c r="R25" i="1"/>
  <c r="S25" i="1" s="1"/>
  <c r="R32" i="1"/>
  <c r="S32" i="1" s="1"/>
  <c r="R30" i="1"/>
  <c r="S30" i="1" s="1"/>
  <c r="R56" i="1" s="1"/>
  <c r="R33" i="1"/>
  <c r="S33" i="1" s="1"/>
  <c r="R23" i="1"/>
  <c r="S23" i="1" s="1"/>
  <c r="L41" i="1" s="1"/>
  <c r="R34" i="1"/>
  <c r="S34" i="1" s="1"/>
  <c r="R60" i="1" s="1"/>
  <c r="B15" i="2"/>
  <c r="B13" i="2"/>
  <c r="B11" i="2"/>
  <c r="L50" i="1"/>
  <c r="L49" i="1"/>
  <c r="L51" i="1"/>
  <c r="F13" i="2" l="1"/>
  <c r="F11" i="2"/>
  <c r="F15" i="2"/>
  <c r="B3" i="2"/>
  <c r="T22" i="1"/>
  <c r="R48" i="1"/>
  <c r="T35" i="1"/>
  <c r="R61" i="1"/>
  <c r="L47" i="1"/>
  <c r="R55" i="1"/>
  <c r="T36" i="1"/>
  <c r="V7" i="1"/>
  <c r="R62" i="1"/>
  <c r="T27" i="1"/>
  <c r="R53" i="1"/>
  <c r="L46" i="1"/>
  <c r="L54" i="1"/>
  <c r="T26" i="1"/>
  <c r="R52" i="1"/>
  <c r="U5" i="1"/>
  <c r="V5" i="1" s="1"/>
  <c r="T24" i="1"/>
  <c r="R50" i="1"/>
  <c r="T23" i="1"/>
  <c r="R49" i="1"/>
  <c r="L48" i="1"/>
  <c r="T33" i="1"/>
  <c r="R59" i="1"/>
  <c r="T32" i="1"/>
  <c r="R58" i="1"/>
  <c r="T25" i="1"/>
  <c r="R51" i="1"/>
  <c r="L53" i="1"/>
  <c r="B16" i="2"/>
  <c r="L40" i="1"/>
  <c r="B5" i="2"/>
  <c r="U22" i="1"/>
  <c r="V22" i="1" s="1"/>
  <c r="U48" i="1"/>
  <c r="W48" i="1" s="1"/>
  <c r="B9" i="2"/>
  <c r="T29" i="1"/>
  <c r="B4" i="2"/>
  <c r="B14" i="2"/>
  <c r="T34" i="1"/>
  <c r="L52" i="1"/>
  <c r="B2" i="2"/>
  <c r="L43" i="1"/>
  <c r="L42" i="1"/>
  <c r="B6" i="2"/>
  <c r="L45" i="1"/>
  <c r="B7" i="2"/>
  <c r="L44" i="1"/>
  <c r="B12" i="2"/>
  <c r="B10" i="2"/>
  <c r="T30" i="1"/>
  <c r="B8" i="2"/>
  <c r="T28" i="1"/>
  <c r="F8" i="2" l="1"/>
  <c r="F4" i="2"/>
  <c r="F3" i="2"/>
  <c r="F9" i="2"/>
  <c r="F5" i="2"/>
  <c r="F16" i="2"/>
  <c r="F2" i="2"/>
  <c r="L20" i="2"/>
  <c r="L27" i="2" s="1"/>
  <c r="F14" i="2"/>
  <c r="F10" i="2"/>
  <c r="F12" i="2"/>
  <c r="L22" i="2"/>
  <c r="F7" i="2"/>
  <c r="L21" i="2"/>
  <c r="L33" i="2" s="1"/>
  <c r="F6" i="2"/>
  <c r="U58" i="1"/>
  <c r="W58" i="1" s="1"/>
  <c r="U53" i="1"/>
  <c r="W53" i="1" s="1"/>
  <c r="W22" i="1"/>
  <c r="X22" i="1" s="1"/>
  <c r="T48" i="1"/>
  <c r="H2" i="2"/>
  <c r="U32" i="1"/>
  <c r="V32" i="1" s="1"/>
  <c r="T58" i="1" s="1"/>
  <c r="U27" i="1"/>
  <c r="V27" i="1"/>
  <c r="Y22" i="1"/>
  <c r="Z22" i="1" s="1"/>
  <c r="L29" i="2" l="1"/>
  <c r="L24" i="2"/>
  <c r="H7" i="2"/>
  <c r="L25" i="2"/>
  <c r="J7" i="2"/>
  <c r="R14" i="2" s="1"/>
  <c r="M7" i="2" s="1"/>
  <c r="S14" i="2" s="1"/>
  <c r="J32" i="2"/>
  <c r="K32" i="2" s="1"/>
  <c r="J33" i="2"/>
  <c r="K33" i="2" s="1"/>
  <c r="J29" i="2"/>
  <c r="K29" i="2" s="1"/>
  <c r="J30" i="2"/>
  <c r="K30" i="2" s="1"/>
  <c r="J31" i="2"/>
  <c r="K31" i="2" s="1"/>
  <c r="L31" i="2"/>
  <c r="J2" i="2"/>
  <c r="R13" i="2" s="1"/>
  <c r="M2" i="2" s="1"/>
  <c r="S13" i="2" s="1"/>
  <c r="J26" i="2"/>
  <c r="K26" i="2" s="1"/>
  <c r="J27" i="2"/>
  <c r="K27" i="2" s="1"/>
  <c r="J28" i="2"/>
  <c r="K28" i="2" s="1"/>
  <c r="J25" i="2"/>
  <c r="K25" i="2" s="1"/>
  <c r="J24" i="2"/>
  <c r="K24" i="2" s="1"/>
  <c r="L35" i="2"/>
  <c r="L37" i="2"/>
  <c r="L26" i="2"/>
  <c r="H12" i="2"/>
  <c r="L38" i="2"/>
  <c r="L28" i="2"/>
  <c r="L32" i="2"/>
  <c r="L34" i="2"/>
  <c r="L30" i="2"/>
  <c r="L36" i="2"/>
  <c r="Y32" i="1"/>
  <c r="Z32" i="1" s="1"/>
  <c r="U41" i="1" s="1"/>
  <c r="W32" i="1"/>
  <c r="X32" i="1" s="1"/>
  <c r="Y27" i="1"/>
  <c r="Z27" i="1" s="1"/>
  <c r="T53" i="1"/>
  <c r="U39" i="1"/>
  <c r="V48" i="1"/>
  <c r="W27" i="1"/>
  <c r="X27" i="1" s="1"/>
  <c r="M29" i="2" l="1"/>
  <c r="J12" i="2"/>
  <c r="R15" i="2" s="1"/>
  <c r="M12" i="2" s="1"/>
  <c r="S15" i="2" s="1"/>
  <c r="S18" i="2" s="1"/>
  <c r="J35" i="2"/>
  <c r="K35" i="2" s="1"/>
  <c r="J36" i="2"/>
  <c r="K36" i="2" s="1"/>
  <c r="J37" i="2"/>
  <c r="K37" i="2" s="1"/>
  <c r="J38" i="2"/>
  <c r="K38" i="2" s="1"/>
  <c r="J34" i="2"/>
  <c r="K34" i="2" s="1"/>
  <c r="M34" i="2" s="1"/>
  <c r="M24" i="2"/>
  <c r="V58" i="1"/>
  <c r="U40" i="1"/>
  <c r="V53" i="1"/>
  <c r="R18" i="2" l="1"/>
  <c r="X40" i="1"/>
  <c r="Y40" i="1"/>
</calcChain>
</file>

<file path=xl/sharedStrings.xml><?xml version="1.0" encoding="utf-8"?>
<sst xmlns="http://schemas.openxmlformats.org/spreadsheetml/2006/main" count="80" uniqueCount="38">
  <si>
    <t>r (mm)</t>
    <phoneticPr fontId="1" type="noConversion"/>
  </si>
  <si>
    <t>freq. (Hz)</t>
    <phoneticPr fontId="1" type="noConversion"/>
  </si>
  <si>
    <t>try 1</t>
    <phoneticPr fontId="1" type="noConversion"/>
  </si>
  <si>
    <t>try 2</t>
    <phoneticPr fontId="1" type="noConversion"/>
  </si>
  <si>
    <t>p_t-p_s (mmH2O)</t>
    <phoneticPr fontId="1" type="noConversion"/>
  </si>
  <si>
    <t>delta_p (mmH2O)</t>
    <phoneticPr fontId="1" type="noConversion"/>
  </si>
  <si>
    <t>Avg</t>
    <phoneticPr fontId="1" type="noConversion"/>
  </si>
  <si>
    <t>P</t>
    <phoneticPr fontId="1" type="noConversion"/>
  </si>
  <si>
    <t>kPa</t>
    <phoneticPr fontId="1" type="noConversion"/>
  </si>
  <si>
    <t>T</t>
    <phoneticPr fontId="1" type="noConversion"/>
  </si>
  <si>
    <t>K</t>
    <phoneticPr fontId="1" type="noConversion"/>
  </si>
  <si>
    <t>rho</t>
    <phoneticPr fontId="1" type="noConversion"/>
  </si>
  <si>
    <t>kg/m^3</t>
    <phoneticPr fontId="1" type="noConversion"/>
  </si>
  <si>
    <t>v (m/s)</t>
    <phoneticPr fontId="1" type="noConversion"/>
  </si>
  <si>
    <t>v(r2^2-r1^2)</t>
    <phoneticPr fontId="1" type="noConversion"/>
  </si>
  <si>
    <t>Q</t>
    <phoneticPr fontId="1" type="noConversion"/>
  </si>
  <si>
    <t>V avg</t>
    <phoneticPr fontId="1" type="noConversion"/>
  </si>
  <si>
    <t>오리피스내경</t>
    <phoneticPr fontId="1" type="noConversion"/>
  </si>
  <si>
    <t>m</t>
    <phoneticPr fontId="1" type="noConversion"/>
  </si>
  <si>
    <t>v (m/s)</t>
  </si>
  <si>
    <t>v</t>
    <phoneticPr fontId="1" type="noConversion"/>
  </si>
  <si>
    <t>r</t>
    <phoneticPr fontId="1" type="noConversion"/>
  </si>
  <si>
    <t>R</t>
    <phoneticPr fontId="1" type="noConversion"/>
  </si>
  <si>
    <t>v _max</t>
    <phoneticPr fontId="1" type="noConversion"/>
  </si>
  <si>
    <t>유효숫자 고려</t>
    <phoneticPr fontId="1" type="noConversion"/>
  </si>
  <si>
    <t>Q (m^3/s)</t>
    <phoneticPr fontId="1" type="noConversion"/>
  </si>
  <si>
    <t>err</t>
    <phoneticPr fontId="1" type="noConversion"/>
  </si>
  <si>
    <t>v_max (m/s)</t>
    <phoneticPr fontId="1" type="noConversion"/>
  </si>
  <si>
    <t>16.60</t>
    <phoneticPr fontId="1" type="noConversion"/>
  </si>
  <si>
    <t>Re_D</t>
    <phoneticPr fontId="1" type="noConversion"/>
  </si>
  <si>
    <t>R^2</t>
    <phoneticPr fontId="1" type="noConversion"/>
  </si>
  <si>
    <t>0.00458</t>
  </si>
  <si>
    <t>0.00976</t>
  </si>
  <si>
    <t>0.01466</t>
  </si>
  <si>
    <t>0.714</t>
  </si>
  <si>
    <t>0.729</t>
  </si>
  <si>
    <t>0.731</t>
  </si>
  <si>
    <t>v_avg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</si>
</sst>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&quot;±&quot;0.00"/>
    <numFmt numFmtId="177" formatCode="&quot;±&quot;0.0"/>
    <numFmt numFmtId="178" formatCode="0.000_);[Red]\(0.000\)"/>
    <numFmt numFmtId="179" formatCode="&quot;±&quot;0.0000"/>
    <numFmt numFmtId="180" formatCode="0.000&quot;%&quot;"/>
    <numFmt numFmtId="181" formatCode="&quot;±&quot;0.0&quot;%&quot;"/>
    <numFmt numFmtId="185" formatCode="0.00_);[Red]\(0.00\)"/>
    <numFmt numFmtId="187" formatCode="0.00000_);[Red]\(0.0000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4" xfId="0" applyNumberFormat="1" applyBorder="1" applyAlignment="1">
      <alignment horizontal="left" vertical="center"/>
    </xf>
    <xf numFmtId="176" fontId="0" fillId="0" borderId="15" xfId="0" applyNumberForma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178" fontId="5" fillId="0" borderId="27" xfId="0" applyNumberFormat="1" applyFont="1" applyBorder="1">
      <alignment vertical="center"/>
    </xf>
    <xf numFmtId="179" fontId="5" fillId="0" borderId="28" xfId="0" applyNumberFormat="1" applyFont="1" applyBorder="1" applyAlignment="1">
      <alignment horizontal="left" vertical="center"/>
    </xf>
    <xf numFmtId="180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2" borderId="1" xfId="0" applyFont="1" applyFill="1" applyBorder="1">
      <alignment vertical="center"/>
    </xf>
    <xf numFmtId="181" fontId="5" fillId="2" borderId="29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3" xfId="0" applyFont="1" applyFill="1" applyBorder="1">
      <alignment vertical="center"/>
    </xf>
    <xf numFmtId="49" fontId="5" fillId="2" borderId="3" xfId="0" applyNumberFormat="1" applyFont="1" applyFill="1" applyBorder="1" applyAlignment="1">
      <alignment horizontal="right" vertical="center"/>
    </xf>
    <xf numFmtId="181" fontId="5" fillId="2" borderId="0" xfId="0" applyNumberFormat="1" applyFont="1" applyFill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20" xfId="0" applyFont="1" applyFill="1" applyBorder="1">
      <alignment vertical="center"/>
    </xf>
    <xf numFmtId="181" fontId="5" fillId="2" borderId="31" xfId="0" applyNumberFormat="1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right" vertical="center"/>
    </xf>
    <xf numFmtId="0" fontId="5" fillId="2" borderId="23" xfId="0" applyFont="1" applyFill="1" applyBorder="1">
      <alignment vertical="center"/>
    </xf>
    <xf numFmtId="181" fontId="5" fillId="2" borderId="32" xfId="0" applyNumberFormat="1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right" vertical="center"/>
    </xf>
    <xf numFmtId="0" fontId="5" fillId="2" borderId="4" xfId="0" applyFont="1" applyFill="1" applyBorder="1">
      <alignment vertical="center"/>
    </xf>
    <xf numFmtId="181" fontId="5" fillId="2" borderId="30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right" vertical="center"/>
    </xf>
    <xf numFmtId="0" fontId="6" fillId="2" borderId="0" xfId="0" applyFont="1" applyFill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176" fontId="5" fillId="2" borderId="2" xfId="0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right" vertical="center"/>
    </xf>
    <xf numFmtId="176" fontId="5" fillId="2" borderId="14" xfId="0" applyNumberFormat="1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right" vertical="center"/>
    </xf>
    <xf numFmtId="176" fontId="5" fillId="2" borderId="25" xfId="0" applyNumberFormat="1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right" vertical="center"/>
    </xf>
    <xf numFmtId="176" fontId="5" fillId="2" borderId="26" xfId="0" applyNumberFormat="1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right" vertical="center"/>
    </xf>
    <xf numFmtId="176" fontId="5" fillId="2" borderId="15" xfId="0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5" fillId="2" borderId="5" xfId="0" applyFont="1" applyFill="1" applyBorder="1">
      <alignment vertical="center"/>
    </xf>
    <xf numFmtId="0" fontId="5" fillId="2" borderId="14" xfId="0" applyFont="1" applyFill="1" applyBorder="1">
      <alignment vertical="center"/>
    </xf>
    <xf numFmtId="178" fontId="5" fillId="2" borderId="14" xfId="0" applyNumberFormat="1" applyFont="1" applyFill="1" applyBorder="1">
      <alignment vertical="center"/>
    </xf>
    <xf numFmtId="0" fontId="5" fillId="2" borderId="7" xfId="0" applyFont="1" applyFill="1" applyBorder="1">
      <alignment vertical="center"/>
    </xf>
    <xf numFmtId="49" fontId="5" fillId="2" borderId="14" xfId="0" applyNumberFormat="1" applyFont="1" applyFill="1" applyBorder="1" applyAlignment="1">
      <alignment horizontal="right" vertical="center"/>
    </xf>
    <xf numFmtId="0" fontId="5" fillId="2" borderId="6" xfId="0" applyFont="1" applyFill="1" applyBorder="1">
      <alignment vertical="center"/>
    </xf>
    <xf numFmtId="0" fontId="5" fillId="2" borderId="15" xfId="0" applyFont="1" applyFill="1" applyBorder="1">
      <alignment vertical="center"/>
    </xf>
    <xf numFmtId="178" fontId="5" fillId="2" borderId="15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20" xfId="0" applyFont="1" applyFill="1" applyBorder="1" applyAlignment="1">
      <alignment horizontal="right" vertical="center"/>
    </xf>
    <xf numFmtId="177" fontId="5" fillId="2" borderId="2" xfId="0" applyNumberFormat="1" applyFont="1" applyFill="1" applyBorder="1" applyAlignment="1">
      <alignment horizontal="left" vertical="center"/>
    </xf>
    <xf numFmtId="177" fontId="5" fillId="2" borderId="14" xfId="0" applyNumberFormat="1" applyFont="1" applyFill="1" applyBorder="1" applyAlignment="1">
      <alignment horizontal="left" vertical="center"/>
    </xf>
    <xf numFmtId="177" fontId="5" fillId="2" borderId="25" xfId="0" applyNumberFormat="1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right" vertical="center"/>
    </xf>
    <xf numFmtId="177" fontId="5" fillId="2" borderId="26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77" fontId="0" fillId="0" borderId="14" xfId="0" applyNumberFormat="1" applyBorder="1" applyAlignment="1">
      <alignment horizontal="left" vertical="center"/>
    </xf>
    <xf numFmtId="177" fontId="0" fillId="0" borderId="15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77" fontId="0" fillId="0" borderId="2" xfId="0" applyNumberFormat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16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right" vertical="center"/>
    </xf>
    <xf numFmtId="0" fontId="5" fillId="2" borderId="2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177" fontId="5" fillId="2" borderId="15" xfId="0" applyNumberFormat="1" applyFont="1" applyFill="1" applyBorder="1" applyAlignment="1">
      <alignment horizontal="left" vertical="center"/>
    </xf>
    <xf numFmtId="181" fontId="5" fillId="2" borderId="14" xfId="0" applyNumberFormat="1" applyFont="1" applyFill="1" applyBorder="1" applyAlignment="1">
      <alignment horizontal="left" vertical="center"/>
    </xf>
    <xf numFmtId="181" fontId="5" fillId="2" borderId="15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31" xfId="0" applyFont="1" applyFill="1" applyBorder="1" applyAlignment="1">
      <alignment horizontal="right" vertical="center"/>
    </xf>
    <xf numFmtId="181" fontId="5" fillId="2" borderId="2" xfId="0" applyNumberFormat="1" applyFont="1" applyFill="1" applyBorder="1" applyAlignment="1">
      <alignment horizontal="left" vertical="center"/>
    </xf>
    <xf numFmtId="181" fontId="5" fillId="2" borderId="25" xfId="0" applyNumberFormat="1" applyFont="1" applyFill="1" applyBorder="1" applyAlignment="1">
      <alignment horizontal="left" vertical="center"/>
    </xf>
    <xf numFmtId="181" fontId="5" fillId="2" borderId="26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85" fontId="5" fillId="2" borderId="14" xfId="0" applyNumberFormat="1" applyFont="1" applyFill="1" applyBorder="1">
      <alignment vertical="center"/>
    </xf>
    <xf numFmtId="185" fontId="5" fillId="2" borderId="15" xfId="0" applyNumberFormat="1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7" fontId="5" fillId="2" borderId="14" xfId="0" applyNumberFormat="1" applyFont="1" applyFill="1" applyBorder="1">
      <alignment vertical="center"/>
    </xf>
    <xf numFmtId="187" fontId="5" fillId="2" borderId="15" xfId="0" applyNumberFormat="1" applyFont="1" applyFill="1" applyBorder="1">
      <alignment vertical="center"/>
    </xf>
    <xf numFmtId="0" fontId="5" fillId="2" borderId="5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187" fontId="5" fillId="2" borderId="14" xfId="0" applyNumberFormat="1" applyFont="1" applyFill="1" applyBorder="1" applyAlignment="1">
      <alignment horizontal="right" vertical="center"/>
    </xf>
    <xf numFmtId="187" fontId="5" fillId="2" borderId="15" xfId="0" applyNumberFormat="1" applyFont="1" applyFill="1" applyBorder="1" applyAlignment="1">
      <alignment horizontal="right" vertical="center"/>
    </xf>
    <xf numFmtId="178" fontId="5" fillId="2" borderId="14" xfId="0" applyNumberFormat="1" applyFont="1" applyFill="1" applyBorder="1" applyAlignment="1">
      <alignment horizontal="right" vertical="center"/>
    </xf>
    <xf numFmtId="178" fontId="5" fillId="2" borderId="15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768240</xdr:colOff>
      <xdr:row>1</xdr:row>
      <xdr:rowOff>88790</xdr:rowOff>
    </xdr:from>
    <xdr:to>
      <xdr:col>19</xdr:col>
      <xdr:colOff>800280</xdr:colOff>
      <xdr:row>1</xdr:row>
      <xdr:rowOff>133430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E92A2605-79ED-17AB-BF9B-2B1C6358E9A2}"/>
                </a:ext>
              </a:extLst>
            </xdr14:cNvPr>
            <xdr14:cNvContentPartPr/>
          </xdr14:nvContentPartPr>
          <xdr14:nvPr macro=""/>
          <xdr14:xfrm>
            <a:off x="13798440" y="311040"/>
            <a:ext cx="32040" cy="4464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E92A2605-79ED-17AB-BF9B-2B1C6358E9A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787640" y="300240"/>
              <a:ext cx="53280" cy="65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4T14:38:12.380"/>
    </inkml:context>
    <inkml:brush xml:id="br0">
      <inkml:brushProperty name="width" value="0.06" units="cm"/>
      <inkml:brushProperty name="height" value="0.06" units="cm"/>
    </inkml:brush>
  </inkml:definitions>
  <inkml:trace contextRef="#ctx0" brushRef="#br0">89 53 7853,'-28'-17'0,"3"7"406,15-6-126,2 14-321,0-6 0,6 10-185,-4 4 0,4-2 63,2 8 1,0 0-468,0 5 120,0 1 151,0 0 359,8-1 0,10-7 0,9-2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005F-4399-47D1-86C4-941430369B7E}">
  <dimension ref="B1:Z73"/>
  <sheetViews>
    <sheetView tabSelected="1" topLeftCell="E1" zoomScaleNormal="100" workbookViewId="0">
      <selection activeCell="V58" sqref="V58:V62"/>
    </sheetView>
  </sheetViews>
  <sheetFormatPr defaultRowHeight="16.5" x14ac:dyDescent="0.3"/>
  <cols>
    <col min="20" max="20" width="13.125" bestFit="1" customWidth="1"/>
    <col min="22" max="22" width="10.5" customWidth="1"/>
  </cols>
  <sheetData>
    <row r="1" spans="3:23" ht="17.25" thickBot="1" x14ac:dyDescent="0.35"/>
    <row r="2" spans="3:23" ht="17.25" thickBot="1" x14ac:dyDescent="0.35">
      <c r="C2" s="78" t="s">
        <v>1</v>
      </c>
      <c r="D2" s="80" t="s">
        <v>0</v>
      </c>
      <c r="E2" s="80" t="s">
        <v>4</v>
      </c>
      <c r="F2" s="82"/>
      <c r="G2" s="80" t="s">
        <v>5</v>
      </c>
      <c r="H2" s="82"/>
      <c r="J2" s="78" t="s">
        <v>1</v>
      </c>
      <c r="K2" s="80" t="s">
        <v>0</v>
      </c>
      <c r="L2" s="82"/>
      <c r="M2" s="80" t="s">
        <v>4</v>
      </c>
      <c r="N2" s="82"/>
      <c r="O2" s="80" t="s">
        <v>5</v>
      </c>
      <c r="P2" s="82"/>
      <c r="S2" s="15"/>
      <c r="T2" s="15"/>
      <c r="U2" s="15"/>
      <c r="V2" s="15"/>
      <c r="W2" s="15"/>
    </row>
    <row r="3" spans="3:23" ht="17.25" thickBot="1" x14ac:dyDescent="0.35">
      <c r="C3" s="79"/>
      <c r="D3" s="81"/>
      <c r="E3" s="5" t="s">
        <v>2</v>
      </c>
      <c r="F3" s="6" t="s">
        <v>3</v>
      </c>
      <c r="G3" s="5" t="s">
        <v>2</v>
      </c>
      <c r="H3" s="6" t="s">
        <v>3</v>
      </c>
      <c r="J3" s="79"/>
      <c r="K3" s="81"/>
      <c r="L3" s="85"/>
      <c r="M3" s="83" t="s">
        <v>6</v>
      </c>
      <c r="N3" s="84"/>
      <c r="O3" s="83" t="s">
        <v>6</v>
      </c>
      <c r="P3" s="84"/>
      <c r="S3" s="15"/>
      <c r="T3" s="57" t="s">
        <v>1</v>
      </c>
      <c r="U3" s="72" t="s">
        <v>19</v>
      </c>
      <c r="V3" s="57" t="s">
        <v>29</v>
      </c>
      <c r="W3" s="15"/>
    </row>
    <row r="4" spans="3:23" ht="17.25" thickBot="1" x14ac:dyDescent="0.35">
      <c r="C4" s="86">
        <v>15</v>
      </c>
      <c r="D4" s="1">
        <v>1.5</v>
      </c>
      <c r="E4" s="1">
        <v>3.8</v>
      </c>
      <c r="F4" s="3">
        <v>3.8</v>
      </c>
      <c r="G4" s="87">
        <v>14</v>
      </c>
      <c r="H4" s="93">
        <v>14</v>
      </c>
      <c r="J4" s="86">
        <v>15</v>
      </c>
      <c r="K4" s="7">
        <v>1.5</v>
      </c>
      <c r="L4" s="8">
        <v>0.5</v>
      </c>
      <c r="M4" s="7">
        <f>AVERAGE(E4:F4)</f>
        <v>3.8</v>
      </c>
      <c r="N4" s="8">
        <f>_xlfn.STDEV.S(E4:F4)/SQRT(2)</f>
        <v>0</v>
      </c>
      <c r="O4" s="91">
        <f>AVERAGE(G4:H8)</f>
        <v>14</v>
      </c>
      <c r="P4" s="92">
        <f>_xlfn.STDEV.S(G4:H8)/SQRT(2)</f>
        <v>0</v>
      </c>
      <c r="S4" s="15"/>
      <c r="T4" s="58"/>
      <c r="U4" s="118"/>
      <c r="V4" s="58"/>
      <c r="W4" s="15"/>
    </row>
    <row r="5" spans="3:23" x14ac:dyDescent="0.3">
      <c r="C5" s="86"/>
      <c r="D5" s="1">
        <v>4.5</v>
      </c>
      <c r="E5" s="1">
        <v>3.6</v>
      </c>
      <c r="F5" s="3">
        <v>3.6</v>
      </c>
      <c r="G5" s="87"/>
      <c r="H5" s="93"/>
      <c r="J5" s="86"/>
      <c r="K5" s="1">
        <v>4.5</v>
      </c>
      <c r="L5" s="8">
        <v>0.5</v>
      </c>
      <c r="M5" s="1">
        <f t="shared" ref="M5:M18" si="0">AVERAGE(E5:F5)</f>
        <v>3.6</v>
      </c>
      <c r="N5" s="8">
        <f t="shared" ref="N5:N18" si="1">_xlfn.STDEV.S(E5:F5)/SQRT(2)</f>
        <v>0</v>
      </c>
      <c r="O5" s="87"/>
      <c r="P5" s="89"/>
      <c r="S5" s="15"/>
      <c r="T5" s="121">
        <v>15</v>
      </c>
      <c r="U5" s="126" t="str">
        <f>S26</f>
        <v>5.73</v>
      </c>
      <c r="V5" s="119">
        <f>(U5*0.03)/(0.0000156)</f>
        <v>11019.23076923077</v>
      </c>
      <c r="W5" s="15"/>
    </row>
    <row r="6" spans="3:23" x14ac:dyDescent="0.3">
      <c r="C6" s="86"/>
      <c r="D6" s="1">
        <v>7.5</v>
      </c>
      <c r="E6" s="1">
        <v>3</v>
      </c>
      <c r="F6" s="3">
        <v>2.8</v>
      </c>
      <c r="G6" s="87"/>
      <c r="H6" s="93"/>
      <c r="J6" s="86"/>
      <c r="K6" s="1">
        <v>7.5</v>
      </c>
      <c r="L6" s="8">
        <v>0.5</v>
      </c>
      <c r="M6" s="1">
        <f t="shared" si="0"/>
        <v>2.9</v>
      </c>
      <c r="N6" s="8">
        <f t="shared" si="1"/>
        <v>0.10000000000000009</v>
      </c>
      <c r="O6" s="87"/>
      <c r="P6" s="89"/>
      <c r="S6" s="15"/>
      <c r="T6" s="122">
        <v>30</v>
      </c>
      <c r="U6" s="127" t="str">
        <f>S31</f>
        <v>12.2</v>
      </c>
      <c r="V6" s="119">
        <f t="shared" ref="V6:V7" si="2">(U6*0.03)/(0.0000156)</f>
        <v>23461.538461538461</v>
      </c>
      <c r="W6" s="15"/>
    </row>
    <row r="7" spans="3:23" ht="17.25" thickBot="1" x14ac:dyDescent="0.35">
      <c r="C7" s="86"/>
      <c r="D7" s="1">
        <v>10.5</v>
      </c>
      <c r="E7" s="1">
        <v>2.5</v>
      </c>
      <c r="F7" s="3">
        <v>2.5</v>
      </c>
      <c r="G7" s="87"/>
      <c r="H7" s="93"/>
      <c r="J7" s="86"/>
      <c r="K7" s="1">
        <v>10.5</v>
      </c>
      <c r="L7" s="8">
        <v>0.5</v>
      </c>
      <c r="M7" s="1">
        <f t="shared" si="0"/>
        <v>2.5</v>
      </c>
      <c r="N7" s="8">
        <f t="shared" si="1"/>
        <v>0</v>
      </c>
      <c r="O7" s="87"/>
      <c r="P7" s="89"/>
      <c r="S7" s="15"/>
      <c r="T7" s="123">
        <v>45</v>
      </c>
      <c r="U7" s="128" t="str">
        <f>S36</f>
        <v>18.44</v>
      </c>
      <c r="V7" s="120">
        <f t="shared" si="2"/>
        <v>35461.538461538461</v>
      </c>
      <c r="W7" s="15"/>
    </row>
    <row r="8" spans="3:23" x14ac:dyDescent="0.3">
      <c r="C8" s="86"/>
      <c r="D8" s="1">
        <v>13.5</v>
      </c>
      <c r="E8" s="1">
        <v>2</v>
      </c>
      <c r="F8" s="3">
        <v>2</v>
      </c>
      <c r="G8" s="87"/>
      <c r="H8" s="93"/>
      <c r="J8" s="86"/>
      <c r="K8" s="1">
        <v>13.5</v>
      </c>
      <c r="L8" s="8">
        <v>0.5</v>
      </c>
      <c r="M8" s="1">
        <f t="shared" si="0"/>
        <v>2</v>
      </c>
      <c r="N8" s="8">
        <f t="shared" si="1"/>
        <v>0</v>
      </c>
      <c r="O8" s="87"/>
      <c r="P8" s="89"/>
      <c r="S8" s="15"/>
      <c r="T8" s="15"/>
      <c r="U8" s="15"/>
      <c r="V8" s="15"/>
      <c r="W8" s="15"/>
    </row>
    <row r="9" spans="3:23" x14ac:dyDescent="0.3">
      <c r="C9" s="86">
        <v>30</v>
      </c>
      <c r="D9" s="1">
        <v>1.5</v>
      </c>
      <c r="E9" s="1">
        <v>15.7</v>
      </c>
      <c r="F9" s="3">
        <v>15.7</v>
      </c>
      <c r="G9" s="87">
        <v>61</v>
      </c>
      <c r="H9" s="93">
        <v>61</v>
      </c>
      <c r="J9" s="86">
        <v>30</v>
      </c>
      <c r="K9" s="1">
        <v>1.5</v>
      </c>
      <c r="L9" s="8">
        <v>0.5</v>
      </c>
      <c r="M9" s="1">
        <f t="shared" si="0"/>
        <v>15.7</v>
      </c>
      <c r="N9" s="8">
        <f t="shared" si="1"/>
        <v>0</v>
      </c>
      <c r="O9" s="87">
        <v>61</v>
      </c>
      <c r="P9" s="89">
        <f t="shared" ref="P9" si="3">_xlfn.STDEV.S(G9:H13)/SQRT(2)</f>
        <v>0</v>
      </c>
    </row>
    <row r="10" spans="3:23" x14ac:dyDescent="0.3">
      <c r="C10" s="86"/>
      <c r="D10" s="1">
        <v>4.5</v>
      </c>
      <c r="E10" s="1">
        <v>15.5</v>
      </c>
      <c r="F10" s="3">
        <v>15.4</v>
      </c>
      <c r="G10" s="87"/>
      <c r="H10" s="93"/>
      <c r="J10" s="86"/>
      <c r="K10" s="1">
        <v>4.5</v>
      </c>
      <c r="L10" s="8">
        <v>0.5</v>
      </c>
      <c r="M10" s="1">
        <f t="shared" si="0"/>
        <v>15.45</v>
      </c>
      <c r="N10" s="8">
        <f t="shared" si="1"/>
        <v>4.9999999999999822E-2</v>
      </c>
      <c r="O10" s="87"/>
      <c r="P10" s="89"/>
    </row>
    <row r="11" spans="3:23" x14ac:dyDescent="0.3">
      <c r="C11" s="86"/>
      <c r="D11" s="1">
        <v>7.5</v>
      </c>
      <c r="E11" s="1">
        <v>13.8</v>
      </c>
      <c r="F11" s="3">
        <v>13.9</v>
      </c>
      <c r="G11" s="87"/>
      <c r="H11" s="93"/>
      <c r="J11" s="86"/>
      <c r="K11" s="1">
        <v>7.5</v>
      </c>
      <c r="L11" s="8">
        <v>0.5</v>
      </c>
      <c r="M11" s="1">
        <f t="shared" si="0"/>
        <v>13.850000000000001</v>
      </c>
      <c r="N11" s="8">
        <f t="shared" si="1"/>
        <v>4.9999999999999822E-2</v>
      </c>
      <c r="O11" s="87"/>
      <c r="P11" s="89"/>
    </row>
    <row r="12" spans="3:23" x14ac:dyDescent="0.3">
      <c r="C12" s="86"/>
      <c r="D12" s="1">
        <v>10.5</v>
      </c>
      <c r="E12" s="1">
        <v>11.4</v>
      </c>
      <c r="F12" s="3">
        <v>11.4</v>
      </c>
      <c r="G12" s="87"/>
      <c r="H12" s="93"/>
      <c r="J12" s="86"/>
      <c r="K12" s="1">
        <v>10.5</v>
      </c>
      <c r="L12" s="8">
        <v>0.5</v>
      </c>
      <c r="M12" s="1">
        <f t="shared" si="0"/>
        <v>11.4</v>
      </c>
      <c r="N12" s="8">
        <f t="shared" si="1"/>
        <v>0</v>
      </c>
      <c r="O12" s="87"/>
      <c r="P12" s="89"/>
    </row>
    <row r="13" spans="3:23" x14ac:dyDescent="0.3">
      <c r="C13" s="86"/>
      <c r="D13" s="1">
        <v>13.5</v>
      </c>
      <c r="E13" s="1">
        <v>9</v>
      </c>
      <c r="F13" s="3">
        <v>9.1</v>
      </c>
      <c r="G13" s="87"/>
      <c r="H13" s="93"/>
      <c r="J13" s="86"/>
      <c r="K13" s="1">
        <v>13.5</v>
      </c>
      <c r="L13" s="8">
        <v>0.5</v>
      </c>
      <c r="M13" s="1">
        <f t="shared" si="0"/>
        <v>9.0500000000000007</v>
      </c>
      <c r="N13" s="8">
        <f t="shared" si="1"/>
        <v>4.9999999999999822E-2</v>
      </c>
      <c r="O13" s="87"/>
      <c r="P13" s="89"/>
    </row>
    <row r="14" spans="3:23" x14ac:dyDescent="0.3">
      <c r="C14" s="86">
        <v>45</v>
      </c>
      <c r="D14" s="1">
        <v>1.5</v>
      </c>
      <c r="E14" s="1">
        <v>33.5</v>
      </c>
      <c r="F14" s="3">
        <v>34.5</v>
      </c>
      <c r="G14" s="87">
        <v>137</v>
      </c>
      <c r="H14" s="93">
        <v>137</v>
      </c>
      <c r="J14" s="86">
        <v>45</v>
      </c>
      <c r="K14" s="1">
        <v>1.5</v>
      </c>
      <c r="L14" s="8">
        <v>0.5</v>
      </c>
      <c r="M14" s="1">
        <f t="shared" si="0"/>
        <v>34</v>
      </c>
      <c r="N14" s="8">
        <f t="shared" si="1"/>
        <v>0.5</v>
      </c>
      <c r="O14" s="87">
        <v>137</v>
      </c>
      <c r="P14" s="89">
        <f t="shared" ref="P14" si="4">_xlfn.STDEV.S(G14:H18)/SQRT(2)</f>
        <v>0</v>
      </c>
    </row>
    <row r="15" spans="3:23" x14ac:dyDescent="0.3">
      <c r="C15" s="86"/>
      <c r="D15" s="1">
        <v>4.5</v>
      </c>
      <c r="E15" s="1">
        <v>33.299999999999997</v>
      </c>
      <c r="F15" s="3">
        <v>33.299999999999997</v>
      </c>
      <c r="G15" s="87"/>
      <c r="H15" s="93"/>
      <c r="J15" s="86"/>
      <c r="K15" s="1">
        <v>4.5</v>
      </c>
      <c r="L15" s="8">
        <v>0.5</v>
      </c>
      <c r="M15" s="1">
        <f t="shared" si="0"/>
        <v>33.299999999999997</v>
      </c>
      <c r="N15" s="8">
        <f t="shared" si="1"/>
        <v>0</v>
      </c>
      <c r="O15" s="87"/>
      <c r="P15" s="89"/>
    </row>
    <row r="16" spans="3:23" x14ac:dyDescent="0.3">
      <c r="C16" s="86"/>
      <c r="D16" s="1">
        <v>7.5</v>
      </c>
      <c r="E16" s="1">
        <v>31</v>
      </c>
      <c r="F16" s="3">
        <v>30.9</v>
      </c>
      <c r="G16" s="87"/>
      <c r="H16" s="93"/>
      <c r="J16" s="86"/>
      <c r="K16" s="1">
        <v>7.5</v>
      </c>
      <c r="L16" s="8">
        <v>0.5</v>
      </c>
      <c r="M16" s="1">
        <f t="shared" si="0"/>
        <v>30.95</v>
      </c>
      <c r="N16" s="8">
        <f t="shared" si="1"/>
        <v>5.0000000000000711E-2</v>
      </c>
      <c r="O16" s="87"/>
      <c r="P16" s="89"/>
    </row>
    <row r="17" spans="2:26" x14ac:dyDescent="0.3">
      <c r="C17" s="86"/>
      <c r="D17" s="1">
        <v>10.5</v>
      </c>
      <c r="E17" s="1">
        <v>26.5</v>
      </c>
      <c r="F17" s="3">
        <v>26.5</v>
      </c>
      <c r="G17" s="87"/>
      <c r="H17" s="93"/>
      <c r="J17" s="86"/>
      <c r="K17" s="1">
        <v>10.5</v>
      </c>
      <c r="L17" s="8">
        <v>0.5</v>
      </c>
      <c r="M17" s="1">
        <f t="shared" si="0"/>
        <v>26.5</v>
      </c>
      <c r="N17" s="8">
        <f t="shared" si="1"/>
        <v>0</v>
      </c>
      <c r="O17" s="87"/>
      <c r="P17" s="89"/>
    </row>
    <row r="18" spans="2:26" ht="17.25" thickBot="1" x14ac:dyDescent="0.35">
      <c r="C18" s="79"/>
      <c r="D18" s="2">
        <v>13.5</v>
      </c>
      <c r="E18" s="2">
        <v>20.6</v>
      </c>
      <c r="F18" s="4">
        <v>20.7</v>
      </c>
      <c r="G18" s="88"/>
      <c r="H18" s="94"/>
      <c r="J18" s="79"/>
      <c r="K18" s="2">
        <v>13.5</v>
      </c>
      <c r="L18" s="9">
        <v>0.5</v>
      </c>
      <c r="M18" s="2">
        <f t="shared" si="0"/>
        <v>20.65</v>
      </c>
      <c r="N18" s="9">
        <f t="shared" si="1"/>
        <v>4.9999999999998934E-2</v>
      </c>
      <c r="O18" s="88"/>
      <c r="P18" s="90"/>
    </row>
    <row r="19" spans="2:26" ht="17.25" thickBot="1" x14ac:dyDescent="0.3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2:26" x14ac:dyDescent="0.3">
      <c r="B20" s="15"/>
      <c r="C20" s="57" t="s">
        <v>1</v>
      </c>
      <c r="D20" s="72" t="s">
        <v>0</v>
      </c>
      <c r="E20" s="72" t="s">
        <v>4</v>
      </c>
      <c r="F20" s="73"/>
      <c r="G20" s="72" t="s">
        <v>5</v>
      </c>
      <c r="H20" s="73"/>
      <c r="I20" s="32"/>
      <c r="J20" s="57" t="s">
        <v>1</v>
      </c>
      <c r="K20" s="72" t="s">
        <v>0</v>
      </c>
      <c r="L20" s="73"/>
      <c r="M20" s="72" t="s">
        <v>4</v>
      </c>
      <c r="N20" s="73"/>
      <c r="O20" s="72" t="s">
        <v>5</v>
      </c>
      <c r="P20" s="73"/>
      <c r="Q20" s="15"/>
      <c r="R20" s="59" t="s">
        <v>13</v>
      </c>
      <c r="S20" s="60" t="s">
        <v>13</v>
      </c>
      <c r="T20" s="60" t="s">
        <v>14</v>
      </c>
      <c r="U20" s="59" t="s">
        <v>15</v>
      </c>
      <c r="V20" s="60" t="s">
        <v>25</v>
      </c>
      <c r="W20" s="59" t="s">
        <v>16</v>
      </c>
      <c r="X20" s="60" t="s">
        <v>16</v>
      </c>
      <c r="Y20" s="59" t="s">
        <v>10</v>
      </c>
      <c r="Z20" s="56" t="s">
        <v>10</v>
      </c>
    </row>
    <row r="21" spans="2:26" ht="17.25" thickBot="1" x14ac:dyDescent="0.35">
      <c r="B21" s="15"/>
      <c r="C21" s="58"/>
      <c r="D21" s="74"/>
      <c r="E21" s="33" t="s">
        <v>2</v>
      </c>
      <c r="F21" s="34" t="s">
        <v>3</v>
      </c>
      <c r="G21" s="33" t="s">
        <v>2</v>
      </c>
      <c r="H21" s="34" t="s">
        <v>3</v>
      </c>
      <c r="I21" s="32"/>
      <c r="J21" s="58"/>
      <c r="K21" s="74"/>
      <c r="L21" s="75"/>
      <c r="M21" s="76" t="s">
        <v>6</v>
      </c>
      <c r="N21" s="77"/>
      <c r="O21" s="76" t="s">
        <v>6</v>
      </c>
      <c r="P21" s="77"/>
      <c r="Q21" s="15"/>
      <c r="R21" s="59"/>
      <c r="S21" s="60"/>
      <c r="T21" s="60"/>
      <c r="U21" s="59"/>
      <c r="V21" s="60"/>
      <c r="W21" s="59"/>
      <c r="X21" s="60"/>
      <c r="Y21" s="59"/>
      <c r="Z21" s="56"/>
    </row>
    <row r="22" spans="2:26" x14ac:dyDescent="0.3">
      <c r="B22" s="15"/>
      <c r="C22" s="57">
        <v>15</v>
      </c>
      <c r="D22" s="16">
        <f>D4</f>
        <v>1.5</v>
      </c>
      <c r="E22" s="18" t="str">
        <f>FIXED(E4,2-(1+INT(LOG10(ABS(E4)))))</f>
        <v>3.8</v>
      </c>
      <c r="F22" s="35" t="str">
        <f>FIXED(F4,2-(1+INT(LOG10(ABS(F4)))))</f>
        <v>3.8</v>
      </c>
      <c r="G22" s="63" t="str">
        <f>FIXED(G4,2-(1+INT(LOG10(ABS(G4)))))</f>
        <v>14</v>
      </c>
      <c r="H22" s="103" t="str">
        <f>FIXED(H4,2-(1+INT(LOG10(ABS(H4)))))</f>
        <v>14</v>
      </c>
      <c r="I22" s="36"/>
      <c r="J22" s="57">
        <v>15</v>
      </c>
      <c r="K22" s="18" t="str">
        <f>FIXED(D4,2-(1+INT(LOG10(ABS(D4)))))</f>
        <v>1.5</v>
      </c>
      <c r="L22" s="37">
        <v>0.5</v>
      </c>
      <c r="M22" s="18" t="str">
        <f>FIXED(M4,2-(1+INT(LOG10(ABS(M4)))))</f>
        <v>3.8</v>
      </c>
      <c r="N22" s="37">
        <f>N4+0.25</f>
        <v>0.25</v>
      </c>
      <c r="O22" s="63" t="str">
        <f>FIXED(O4,2-(1+INT(LOG10(ABS(O4)))))</f>
        <v>14</v>
      </c>
      <c r="P22" s="66">
        <f>P4+1</f>
        <v>1</v>
      </c>
      <c r="Q22" s="15"/>
      <c r="R22" s="11">
        <f t="shared" ref="R22:R36" si="5">SQRT(2*(M22+0)*9.806/$D$43)</f>
        <v>7.9004272301414478</v>
      </c>
      <c r="S22" s="10" t="str">
        <f>FIXED(R22,3-(1+INT(LOG10(ABS(R22)))))</f>
        <v>7.90</v>
      </c>
      <c r="T22">
        <f>K22*0.001*S22</f>
        <v>1.1850000000000001E-2</v>
      </c>
      <c r="U22" s="59">
        <f xml:space="preserve"> 2 * PI() * 0.003 * SUM(T22:T26)</f>
        <v>4.5778973988845105E-3</v>
      </c>
      <c r="V22" s="60" t="str">
        <f>FIXED(U22,3-(1+INT(LOG10(ABS(U22)))))</f>
        <v>0.00458</v>
      </c>
      <c r="W22" s="59">
        <f>V22/(PI()*0.015^2)</f>
        <v>6.4793745720967175</v>
      </c>
      <c r="X22" s="60" t="str">
        <f>FIXED(W22,3-(1+INT(LOG10(ABS(W22)))))</f>
        <v>6.48</v>
      </c>
      <c r="Y22" s="59">
        <f>(V22/(PI()*0.25*$D$44^2))*SQRT($D$43/(2*O22*9.806))</f>
        <v>0.71445820828063511</v>
      </c>
      <c r="Z22" s="56" t="str">
        <f>FIXED(Y22,3-(1+INT(LOG10(ABS(Y22)))))</f>
        <v>0.714</v>
      </c>
    </row>
    <row r="23" spans="2:26" x14ac:dyDescent="0.3">
      <c r="B23" s="15"/>
      <c r="C23" s="61"/>
      <c r="D23" s="19">
        <f t="shared" ref="D23:D36" si="6">D5</f>
        <v>4.5</v>
      </c>
      <c r="E23" s="22" t="str">
        <f t="shared" ref="E23:E31" si="7">FIXED(E5,2-(1+INT(LOG10(ABS(E5)))))</f>
        <v>3.6</v>
      </c>
      <c r="F23" s="38" t="str">
        <f t="shared" ref="F23" si="8">FIXED(F5,2-(1+INT(LOG10(ABS(F5)))))</f>
        <v>3.6</v>
      </c>
      <c r="G23" s="64"/>
      <c r="H23" s="101"/>
      <c r="I23" s="36"/>
      <c r="J23" s="61"/>
      <c r="K23" s="22" t="str">
        <f t="shared" ref="K23:K34" si="9">FIXED(D5,2-(1+INT(LOG10(ABS(D5)))))</f>
        <v>4.5</v>
      </c>
      <c r="L23" s="39">
        <v>0.5</v>
      </c>
      <c r="M23" s="22" t="str">
        <f t="shared" ref="M23:M31" si="10">FIXED(M5,2-(1+INT(LOG10(ABS(M5)))))</f>
        <v>3.6</v>
      </c>
      <c r="N23" s="39">
        <f t="shared" ref="N23:N36" si="11">N5+0.25</f>
        <v>0.25</v>
      </c>
      <c r="O23" s="64"/>
      <c r="P23" s="67"/>
      <c r="Q23" s="15"/>
      <c r="R23" s="11">
        <f t="shared" si="5"/>
        <v>7.6897111968823184</v>
      </c>
      <c r="S23" s="10" t="str">
        <f t="shared" ref="S23:S31" si="12">FIXED(R23,3-(1+INT(LOG10(ABS(R23)))))</f>
        <v>7.69</v>
      </c>
      <c r="T23">
        <f t="shared" ref="T23:T36" si="13">K23*0.001*S23</f>
        <v>3.4605000000000004E-2</v>
      </c>
      <c r="U23" s="59"/>
      <c r="V23" s="60"/>
      <c r="W23" s="59"/>
      <c r="X23" s="60"/>
      <c r="Y23" s="59"/>
      <c r="Z23" s="56"/>
    </row>
    <row r="24" spans="2:26" x14ac:dyDescent="0.3">
      <c r="B24" s="15"/>
      <c r="C24" s="61"/>
      <c r="D24" s="19">
        <f t="shared" si="6"/>
        <v>7.5</v>
      </c>
      <c r="E24" s="22" t="str">
        <f t="shared" si="7"/>
        <v>3.0</v>
      </c>
      <c r="F24" s="38" t="str">
        <f t="shared" ref="F24" si="14">FIXED(F6,2-(1+INT(LOG10(ABS(F6)))))</f>
        <v>2.8</v>
      </c>
      <c r="G24" s="64"/>
      <c r="H24" s="101"/>
      <c r="I24" s="36"/>
      <c r="J24" s="61"/>
      <c r="K24" s="22" t="str">
        <f t="shared" si="9"/>
        <v>7.5</v>
      </c>
      <c r="L24" s="39">
        <v>0.5</v>
      </c>
      <c r="M24" s="22" t="str">
        <f t="shared" si="10"/>
        <v>2.9</v>
      </c>
      <c r="N24" s="39">
        <f t="shared" si="11"/>
        <v>0.35000000000000009</v>
      </c>
      <c r="O24" s="64"/>
      <c r="P24" s="67"/>
      <c r="Q24" s="15"/>
      <c r="R24" s="11">
        <f t="shared" si="5"/>
        <v>6.9017270190798001</v>
      </c>
      <c r="S24" s="10" t="str">
        <f t="shared" si="12"/>
        <v>6.90</v>
      </c>
      <c r="T24">
        <f t="shared" si="13"/>
        <v>5.1749999999999997E-2</v>
      </c>
      <c r="U24" s="59"/>
      <c r="V24" s="60"/>
      <c r="W24" s="59"/>
      <c r="X24" s="60"/>
      <c r="Y24" s="59"/>
      <c r="Z24" s="56"/>
    </row>
    <row r="25" spans="2:26" x14ac:dyDescent="0.3">
      <c r="B25" s="15"/>
      <c r="C25" s="61"/>
      <c r="D25" s="19">
        <f t="shared" si="6"/>
        <v>10.5</v>
      </c>
      <c r="E25" s="22" t="str">
        <f t="shared" si="7"/>
        <v>2.5</v>
      </c>
      <c r="F25" s="38" t="str">
        <f t="shared" ref="F25" si="15">FIXED(F7,2-(1+INT(LOG10(ABS(F7)))))</f>
        <v>2.5</v>
      </c>
      <c r="G25" s="64"/>
      <c r="H25" s="101"/>
      <c r="I25" s="36"/>
      <c r="J25" s="61"/>
      <c r="K25" s="22" t="str">
        <f>FIXED(D7,3-(1+INT(LOG10(ABS(D7)))))</f>
        <v>10.5</v>
      </c>
      <c r="L25" s="39">
        <v>0.5</v>
      </c>
      <c r="M25" s="22" t="str">
        <f t="shared" si="10"/>
        <v>2.5</v>
      </c>
      <c r="N25" s="39">
        <f t="shared" si="11"/>
        <v>0.25</v>
      </c>
      <c r="O25" s="64"/>
      <c r="P25" s="67"/>
      <c r="Q25" s="15"/>
      <c r="R25" s="11">
        <f t="shared" si="5"/>
        <v>6.4080926640685973</v>
      </c>
      <c r="S25" s="10" t="str">
        <f t="shared" si="12"/>
        <v>6.41</v>
      </c>
      <c r="T25">
        <f t="shared" si="13"/>
        <v>6.7305000000000004E-2</v>
      </c>
      <c r="U25" s="59"/>
      <c r="V25" s="60"/>
      <c r="W25" s="59"/>
      <c r="X25" s="60"/>
      <c r="Y25" s="59"/>
      <c r="Z25" s="56"/>
    </row>
    <row r="26" spans="2:26" x14ac:dyDescent="0.3">
      <c r="B26" s="15"/>
      <c r="C26" s="62"/>
      <c r="D26" s="23">
        <f t="shared" si="6"/>
        <v>13.5</v>
      </c>
      <c r="E26" s="25" t="str">
        <f t="shared" si="7"/>
        <v>2.0</v>
      </c>
      <c r="F26" s="40" t="str">
        <f t="shared" ref="F26" si="16">FIXED(F8,2-(1+INT(LOG10(ABS(F8)))))</f>
        <v>2.0</v>
      </c>
      <c r="G26" s="65"/>
      <c r="H26" s="104"/>
      <c r="I26" s="36"/>
      <c r="J26" s="62"/>
      <c r="K26" s="25" t="str">
        <f>FIXED(D8,3-(1+INT(LOG10(ABS(D8)))))</f>
        <v>13.5</v>
      </c>
      <c r="L26" s="41">
        <v>0.5</v>
      </c>
      <c r="M26" s="25" t="str">
        <f t="shared" si="10"/>
        <v>2.0</v>
      </c>
      <c r="N26" s="41">
        <f t="shared" si="11"/>
        <v>0.25</v>
      </c>
      <c r="O26" s="65"/>
      <c r="P26" s="68"/>
      <c r="Q26" s="15"/>
      <c r="R26" s="11">
        <f t="shared" si="5"/>
        <v>5.7315723211900433</v>
      </c>
      <c r="S26" s="10" t="str">
        <f t="shared" si="12"/>
        <v>5.73</v>
      </c>
      <c r="T26">
        <f t="shared" si="13"/>
        <v>7.7355000000000007E-2</v>
      </c>
      <c r="U26" s="59"/>
      <c r="V26" s="60"/>
      <c r="W26" s="59"/>
      <c r="X26" s="60"/>
      <c r="Y26" s="59"/>
      <c r="Z26" s="56"/>
    </row>
    <row r="27" spans="2:26" x14ac:dyDescent="0.3">
      <c r="B27" s="15"/>
      <c r="C27" s="69">
        <v>30</v>
      </c>
      <c r="D27" s="26">
        <f t="shared" si="6"/>
        <v>1.5</v>
      </c>
      <c r="E27" s="28" t="str">
        <f>FIXED(E9,3-(1+INT(LOG10(ABS(E9)))))</f>
        <v>15.7</v>
      </c>
      <c r="F27" s="42" t="str">
        <f>FIXED(F9,3-(1+INT(LOG10(ABS(F9)))))</f>
        <v>15.7</v>
      </c>
      <c r="G27" s="70" t="str">
        <f>FIXED(G9,2-(1+INT(LOG10(ABS(G9)))))</f>
        <v>61</v>
      </c>
      <c r="H27" s="105" t="str">
        <f>FIXED(H9,2-(1+INT(LOG10(ABS(H9)))))</f>
        <v>61</v>
      </c>
      <c r="I27" s="36"/>
      <c r="J27" s="69">
        <v>30</v>
      </c>
      <c r="K27" s="28" t="str">
        <f t="shared" si="9"/>
        <v>1.5</v>
      </c>
      <c r="L27" s="43">
        <v>0.5</v>
      </c>
      <c r="M27" s="28" t="str">
        <f>FIXED(M9,3-(1+INT(LOG10(ABS(M9)))))</f>
        <v>15.7</v>
      </c>
      <c r="N27" s="43">
        <f t="shared" si="11"/>
        <v>0.25</v>
      </c>
      <c r="O27" s="70" t="str">
        <f>FIXED(O9,2-(1+INT(LOG10(ABS(O9)))))</f>
        <v>61</v>
      </c>
      <c r="P27" s="71">
        <f t="shared" ref="P27" si="17">P9+1</f>
        <v>1</v>
      </c>
      <c r="Q27" s="15"/>
      <c r="R27" s="11">
        <f t="shared" si="5"/>
        <v>16.058634188289481</v>
      </c>
      <c r="S27" s="10" t="str">
        <f>FIXED(R27,4-(1+INT(LOG10(ABS(R27)))))</f>
        <v>16.06</v>
      </c>
      <c r="T27">
        <f t="shared" si="13"/>
        <v>2.409E-2</v>
      </c>
      <c r="U27" s="59">
        <f xml:space="preserve"> 2 * PI() * 0.003 * SUM(T27:T31)</f>
        <v>9.7560589060904229E-3</v>
      </c>
      <c r="V27" s="60" t="str">
        <f>FIXED(U27,3-(1+INT(LOG10(ABS(U27)))))</f>
        <v>0.00976</v>
      </c>
      <c r="W27" s="59">
        <f t="shared" ref="W27" si="18">V27/(PI()*0.015^2)</f>
        <v>13.80757550735021</v>
      </c>
      <c r="X27" s="60" t="str">
        <f>FIXED(W27,3-(1+INT(LOG10(ABS(W27)))))</f>
        <v>13.8</v>
      </c>
      <c r="Y27" s="59">
        <f>(V27/(PI()*0.25*$D$44^2))*SQRT($D$43/(2*O27*9.806))</f>
        <v>0.72939078149602843</v>
      </c>
      <c r="Z27" s="56" t="str">
        <f>FIXED(Y27,3-(1+INT(LOG10(ABS(Y27)))))</f>
        <v>0.729</v>
      </c>
    </row>
    <row r="28" spans="2:26" x14ac:dyDescent="0.3">
      <c r="B28" s="15"/>
      <c r="C28" s="61"/>
      <c r="D28" s="19">
        <f t="shared" si="6"/>
        <v>4.5</v>
      </c>
      <c r="E28" s="22" t="str">
        <f t="shared" ref="E28:E30" si="19">FIXED(E10,3-(1+INT(LOG10(ABS(E10)))))</f>
        <v>15.5</v>
      </c>
      <c r="F28" s="38" t="str">
        <f t="shared" ref="F28" si="20">FIXED(F10,3-(1+INT(LOG10(ABS(F10)))))</f>
        <v>15.4</v>
      </c>
      <c r="G28" s="64"/>
      <c r="H28" s="101"/>
      <c r="I28" s="36"/>
      <c r="J28" s="61"/>
      <c r="K28" s="22" t="str">
        <f t="shared" si="9"/>
        <v>4.5</v>
      </c>
      <c r="L28" s="39">
        <v>0.5</v>
      </c>
      <c r="M28" s="22" t="str">
        <f t="shared" ref="M28:M30" si="21">FIXED(M10,3-(1+INT(LOG10(ABS(M10)))))</f>
        <v>15.5</v>
      </c>
      <c r="N28" s="39">
        <f t="shared" si="11"/>
        <v>0.29999999999999982</v>
      </c>
      <c r="O28" s="64"/>
      <c r="P28" s="67"/>
      <c r="Q28" s="15"/>
      <c r="R28" s="11">
        <f t="shared" si="5"/>
        <v>15.956022056452436</v>
      </c>
      <c r="S28" s="10" t="str">
        <f t="shared" ref="S28:S30" si="22">FIXED(R28,4-(1+INT(LOG10(ABS(R28)))))</f>
        <v>15.96</v>
      </c>
      <c r="T28">
        <f t="shared" si="13"/>
        <v>7.1820000000000009E-2</v>
      </c>
      <c r="U28" s="59"/>
      <c r="V28" s="60"/>
      <c r="W28" s="59"/>
      <c r="X28" s="60"/>
      <c r="Y28" s="59"/>
      <c r="Z28" s="56"/>
    </row>
    <row r="29" spans="2:26" x14ac:dyDescent="0.3">
      <c r="B29" s="15"/>
      <c r="C29" s="61"/>
      <c r="D29" s="19">
        <f t="shared" si="6"/>
        <v>7.5</v>
      </c>
      <c r="E29" s="22" t="str">
        <f t="shared" si="19"/>
        <v>13.8</v>
      </c>
      <c r="F29" s="38" t="str">
        <f t="shared" ref="F29" si="23">FIXED(F11,3-(1+INT(LOG10(ABS(F11)))))</f>
        <v>13.9</v>
      </c>
      <c r="G29" s="64"/>
      <c r="H29" s="101"/>
      <c r="I29" s="36"/>
      <c r="J29" s="61"/>
      <c r="K29" s="22" t="str">
        <f t="shared" si="9"/>
        <v>7.5</v>
      </c>
      <c r="L29" s="39">
        <v>0.5</v>
      </c>
      <c r="M29" s="22" t="str">
        <f t="shared" si="21"/>
        <v>13.9</v>
      </c>
      <c r="N29" s="39">
        <f t="shared" si="11"/>
        <v>0.29999999999999982</v>
      </c>
      <c r="O29" s="64"/>
      <c r="P29" s="67"/>
      <c r="Q29" s="15"/>
      <c r="R29" s="11">
        <f t="shared" si="5"/>
        <v>15.110059657313441</v>
      </c>
      <c r="S29" s="10" t="str">
        <f t="shared" si="22"/>
        <v>15.11</v>
      </c>
      <c r="T29">
        <f t="shared" si="13"/>
        <v>0.113325</v>
      </c>
      <c r="U29" s="59"/>
      <c r="V29" s="60"/>
      <c r="W29" s="59"/>
      <c r="X29" s="60"/>
      <c r="Y29" s="59"/>
      <c r="Z29" s="56"/>
    </row>
    <row r="30" spans="2:26" x14ac:dyDescent="0.3">
      <c r="B30" s="15"/>
      <c r="C30" s="61"/>
      <c r="D30" s="19">
        <f t="shared" si="6"/>
        <v>10.5</v>
      </c>
      <c r="E30" s="22" t="str">
        <f t="shared" si="19"/>
        <v>11.4</v>
      </c>
      <c r="F30" s="38" t="str">
        <f t="shared" ref="F30" si="24">FIXED(F12,3-(1+INT(LOG10(ABS(F12)))))</f>
        <v>11.4</v>
      </c>
      <c r="G30" s="64"/>
      <c r="H30" s="101"/>
      <c r="I30" s="36"/>
      <c r="J30" s="61"/>
      <c r="K30" s="22" t="str">
        <f>FIXED(D12,3-(1+INT(LOG10(ABS(D12)))))</f>
        <v>10.5</v>
      </c>
      <c r="L30" s="39">
        <v>0.5</v>
      </c>
      <c r="M30" s="22" t="str">
        <f t="shared" si="21"/>
        <v>11.4</v>
      </c>
      <c r="N30" s="39">
        <f t="shared" si="11"/>
        <v>0.25</v>
      </c>
      <c r="O30" s="64"/>
      <c r="P30" s="67"/>
      <c r="Q30" s="15"/>
      <c r="R30" s="11">
        <f t="shared" si="5"/>
        <v>13.683941364105644</v>
      </c>
      <c r="S30" s="10" t="str">
        <f t="shared" si="22"/>
        <v>13.68</v>
      </c>
      <c r="T30">
        <f t="shared" si="13"/>
        <v>0.14364000000000002</v>
      </c>
      <c r="U30" s="59"/>
      <c r="V30" s="60"/>
      <c r="W30" s="59"/>
      <c r="X30" s="60"/>
      <c r="Y30" s="59"/>
      <c r="Z30" s="56"/>
    </row>
    <row r="31" spans="2:26" x14ac:dyDescent="0.3">
      <c r="B31" s="15"/>
      <c r="C31" s="62"/>
      <c r="D31" s="23">
        <f t="shared" si="6"/>
        <v>13.5</v>
      </c>
      <c r="E31" s="25" t="str">
        <f t="shared" si="7"/>
        <v>9.0</v>
      </c>
      <c r="F31" s="40" t="str">
        <f t="shared" ref="F31" si="25">FIXED(F13,2-(1+INT(LOG10(ABS(F13)))))</f>
        <v>9.1</v>
      </c>
      <c r="G31" s="65"/>
      <c r="H31" s="104"/>
      <c r="I31" s="36"/>
      <c r="J31" s="62"/>
      <c r="K31" s="25" t="str">
        <f>FIXED(D13,3-(1+INT(LOG10(ABS(D13)))))</f>
        <v>13.5</v>
      </c>
      <c r="L31" s="41">
        <v>0.5</v>
      </c>
      <c r="M31" s="25" t="str">
        <f t="shared" si="10"/>
        <v>9.1</v>
      </c>
      <c r="N31" s="41">
        <f t="shared" si="11"/>
        <v>0.29999999999999982</v>
      </c>
      <c r="O31" s="65"/>
      <c r="P31" s="68"/>
      <c r="Q31" s="15"/>
      <c r="R31" s="11">
        <f t="shared" si="5"/>
        <v>12.225861597134772</v>
      </c>
      <c r="S31" s="10" t="str">
        <f t="shared" si="12"/>
        <v>12.2</v>
      </c>
      <c r="T31">
        <f t="shared" si="13"/>
        <v>0.16469999999999999</v>
      </c>
      <c r="U31" s="59"/>
      <c r="V31" s="60"/>
      <c r="W31" s="59"/>
      <c r="X31" s="60"/>
      <c r="Y31" s="59"/>
      <c r="Z31" s="56"/>
    </row>
    <row r="32" spans="2:26" x14ac:dyDescent="0.3">
      <c r="B32" s="15"/>
      <c r="C32" s="61">
        <v>45</v>
      </c>
      <c r="D32" s="19">
        <f t="shared" si="6"/>
        <v>1.5</v>
      </c>
      <c r="E32" s="22" t="str">
        <f>FIXED(E14,3-(1+INT(LOG10(ABS(E14)))))</f>
        <v>33.5</v>
      </c>
      <c r="F32" s="38" t="str">
        <f>FIXED(F14,3-(1+INT(LOG10(ABS(F14)))))</f>
        <v>34.5</v>
      </c>
      <c r="G32" s="99" t="str">
        <f>FIXED(G14,3-(1+INT(LOG10(ABS(G14)))))</f>
        <v>137</v>
      </c>
      <c r="H32" s="101" t="str">
        <f>FIXED(H14,3-(1+INT(LOG10(ABS(H14)))))</f>
        <v>137</v>
      </c>
      <c r="I32" s="36"/>
      <c r="J32" s="61">
        <v>45</v>
      </c>
      <c r="K32" s="22" t="str">
        <f t="shared" si="9"/>
        <v>1.5</v>
      </c>
      <c r="L32" s="39">
        <v>0.5</v>
      </c>
      <c r="M32" s="22" t="str">
        <f>FIXED(M14,3-(1+INT(LOG10(ABS(M14)))))</f>
        <v>34.0</v>
      </c>
      <c r="N32" s="39">
        <f t="shared" si="11"/>
        <v>0.75</v>
      </c>
      <c r="O32" s="64" t="str">
        <f>FIXED(O14,3-(1+INT(LOG10(ABS(O14)))))</f>
        <v>137</v>
      </c>
      <c r="P32" s="71">
        <f t="shared" ref="P32" si="26">P14+1</f>
        <v>1</v>
      </c>
      <c r="Q32" s="15"/>
      <c r="R32" s="11">
        <f t="shared" si="5"/>
        <v>23.631878081133141</v>
      </c>
      <c r="S32" s="10" t="str">
        <f>FIXED(R32,4-(1+INT(LOG10(ABS(R32)))))</f>
        <v>23.63</v>
      </c>
      <c r="T32">
        <f t="shared" si="13"/>
        <v>3.5444999999999997E-2</v>
      </c>
      <c r="U32" s="59">
        <f xml:space="preserve"> 2 * PI() * 0.003 * SUM(T32:T36)</f>
        <v>1.466391778138147E-2</v>
      </c>
      <c r="V32" s="60" t="str">
        <f>FIXED(U32,4-(1+INT(LOG10(ABS(U32)))))</f>
        <v>0.01466</v>
      </c>
      <c r="W32" s="59">
        <f t="shared" ref="W32" si="27">V32/(PI()*0.015^2)</f>
        <v>20.739657473130539</v>
      </c>
      <c r="X32" s="60" t="str">
        <f>FIXED(W32,4-(1+INT(LOG10(ABS(W32)))))</f>
        <v>20.74</v>
      </c>
      <c r="Y32" s="59">
        <f>(V32/(PI()*0.25*$D$44^2))*SQRT($D$43/(2*O32*9.806))</f>
        <v>0.73105332494135034</v>
      </c>
      <c r="Z32" s="56" t="str">
        <f>FIXED(Y32,3-(1+INT(LOG10(ABS(Y32)))))</f>
        <v>0.731</v>
      </c>
    </row>
    <row r="33" spans="2:26" x14ac:dyDescent="0.3">
      <c r="B33" s="15"/>
      <c r="C33" s="61"/>
      <c r="D33" s="19">
        <f t="shared" si="6"/>
        <v>4.5</v>
      </c>
      <c r="E33" s="22" t="str">
        <f t="shared" ref="E33:E36" si="28">FIXED(E15,3-(1+INT(LOG10(ABS(E15)))))</f>
        <v>33.3</v>
      </c>
      <c r="F33" s="38" t="str">
        <f t="shared" ref="F33" si="29">FIXED(F15,3-(1+INT(LOG10(ABS(F15)))))</f>
        <v>33.3</v>
      </c>
      <c r="G33" s="99"/>
      <c r="H33" s="101"/>
      <c r="I33" s="36"/>
      <c r="J33" s="61"/>
      <c r="K33" s="22" t="str">
        <f t="shared" si="9"/>
        <v>4.5</v>
      </c>
      <c r="L33" s="39">
        <v>0.5</v>
      </c>
      <c r="M33" s="22" t="str">
        <f t="shared" ref="M33:M36" si="30">FIXED(M15,3-(1+INT(LOG10(ABS(M15)))))</f>
        <v>33.3</v>
      </c>
      <c r="N33" s="39">
        <f t="shared" si="11"/>
        <v>0.25</v>
      </c>
      <c r="O33" s="64"/>
      <c r="P33" s="67"/>
      <c r="Q33" s="15"/>
      <c r="R33" s="11">
        <f t="shared" si="5"/>
        <v>23.387343568605218</v>
      </c>
      <c r="S33" s="10" t="str">
        <f t="shared" ref="S33:S36" si="31">FIXED(R33,4-(1+INT(LOG10(ABS(R33)))))</f>
        <v>23.39</v>
      </c>
      <c r="T33">
        <f t="shared" si="13"/>
        <v>0.10525500000000002</v>
      </c>
      <c r="U33" s="59"/>
      <c r="V33" s="60"/>
      <c r="W33" s="59"/>
      <c r="X33" s="60"/>
      <c r="Y33" s="59"/>
      <c r="Z33" s="56"/>
    </row>
    <row r="34" spans="2:26" x14ac:dyDescent="0.3">
      <c r="B34" s="15"/>
      <c r="C34" s="61"/>
      <c r="D34" s="19">
        <f t="shared" si="6"/>
        <v>7.5</v>
      </c>
      <c r="E34" s="22" t="str">
        <f t="shared" si="28"/>
        <v>31.0</v>
      </c>
      <c r="F34" s="38" t="str">
        <f t="shared" ref="F34" si="32">FIXED(F16,3-(1+INT(LOG10(ABS(F16)))))</f>
        <v>30.9</v>
      </c>
      <c r="G34" s="99"/>
      <c r="H34" s="101"/>
      <c r="I34" s="36"/>
      <c r="J34" s="61"/>
      <c r="K34" s="22" t="str">
        <f t="shared" si="9"/>
        <v>7.5</v>
      </c>
      <c r="L34" s="39">
        <v>0.5</v>
      </c>
      <c r="M34" s="22" t="str">
        <f t="shared" si="30"/>
        <v>31.0</v>
      </c>
      <c r="N34" s="39">
        <f t="shared" si="11"/>
        <v>0.30000000000000071</v>
      </c>
      <c r="O34" s="64"/>
      <c r="P34" s="67"/>
      <c r="Q34" s="15"/>
      <c r="R34" s="11">
        <f t="shared" si="5"/>
        <v>22.565222793759279</v>
      </c>
      <c r="S34" s="10" t="str">
        <f t="shared" si="31"/>
        <v>22.57</v>
      </c>
      <c r="T34">
        <f t="shared" si="13"/>
        <v>0.16927500000000001</v>
      </c>
      <c r="U34" s="59"/>
      <c r="V34" s="60"/>
      <c r="W34" s="59"/>
      <c r="X34" s="60"/>
      <c r="Y34" s="59"/>
      <c r="Z34" s="56"/>
    </row>
    <row r="35" spans="2:26" x14ac:dyDescent="0.3">
      <c r="B35" s="15"/>
      <c r="C35" s="61"/>
      <c r="D35" s="19">
        <f t="shared" si="6"/>
        <v>10.5</v>
      </c>
      <c r="E35" s="22" t="str">
        <f t="shared" si="28"/>
        <v>26.5</v>
      </c>
      <c r="F35" s="38" t="str">
        <f t="shared" ref="F35" si="33">FIXED(F17,3-(1+INT(LOG10(ABS(F17)))))</f>
        <v>26.5</v>
      </c>
      <c r="G35" s="99"/>
      <c r="H35" s="101"/>
      <c r="I35" s="36"/>
      <c r="J35" s="61"/>
      <c r="K35" s="22" t="str">
        <f>FIXED(D17,3-(1+INT(LOG10(ABS(D17)))))</f>
        <v>10.5</v>
      </c>
      <c r="L35" s="39">
        <v>0.5</v>
      </c>
      <c r="M35" s="22" t="str">
        <f t="shared" si="30"/>
        <v>26.5</v>
      </c>
      <c r="N35" s="39">
        <f t="shared" si="11"/>
        <v>0.25</v>
      </c>
      <c r="O35" s="64"/>
      <c r="P35" s="67"/>
      <c r="Q35" s="15"/>
      <c r="R35" s="11">
        <f t="shared" si="5"/>
        <v>20.863238168311067</v>
      </c>
      <c r="S35" s="10" t="str">
        <f t="shared" si="31"/>
        <v>20.86</v>
      </c>
      <c r="T35">
        <f t="shared" si="13"/>
        <v>0.21903</v>
      </c>
      <c r="U35" s="59"/>
      <c r="V35" s="60"/>
      <c r="W35" s="59"/>
      <c r="X35" s="60"/>
      <c r="Y35" s="59"/>
      <c r="Z35" s="56"/>
    </row>
    <row r="36" spans="2:26" ht="17.25" thickBot="1" x14ac:dyDescent="0.35">
      <c r="B36" s="15"/>
      <c r="C36" s="58"/>
      <c r="D36" s="29">
        <f t="shared" si="6"/>
        <v>13.5</v>
      </c>
      <c r="E36" s="31" t="str">
        <f t="shared" si="28"/>
        <v>20.6</v>
      </c>
      <c r="F36" s="44" t="str">
        <f t="shared" ref="F36" si="34">FIXED(F18,3-(1+INT(LOG10(ABS(F18)))))</f>
        <v>20.7</v>
      </c>
      <c r="G36" s="100"/>
      <c r="H36" s="102"/>
      <c r="I36" s="36"/>
      <c r="J36" s="58"/>
      <c r="K36" s="31" t="str">
        <f>FIXED(D18,3-(1+INT(LOG10(ABS(D18)))))</f>
        <v>13.5</v>
      </c>
      <c r="L36" s="45">
        <v>0.5</v>
      </c>
      <c r="M36" s="31" t="str">
        <f t="shared" si="30"/>
        <v>20.7</v>
      </c>
      <c r="N36" s="45">
        <f t="shared" si="11"/>
        <v>0.29999999999999893</v>
      </c>
      <c r="O36" s="106"/>
      <c r="P36" s="107"/>
      <c r="Q36" s="15"/>
      <c r="R36" s="11">
        <f t="shared" si="5"/>
        <v>18.4392796815895</v>
      </c>
      <c r="S36" s="10" t="str">
        <f t="shared" si="31"/>
        <v>18.44</v>
      </c>
      <c r="T36">
        <f t="shared" si="13"/>
        <v>0.24894000000000002</v>
      </c>
      <c r="U36" s="59"/>
      <c r="V36" s="60"/>
      <c r="W36" s="59"/>
      <c r="X36" s="60"/>
      <c r="Y36" s="59"/>
      <c r="Z36" s="56"/>
    </row>
    <row r="37" spans="2:26" x14ac:dyDescent="0.3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46"/>
      <c r="N37" s="15"/>
      <c r="O37" s="15"/>
      <c r="P37" s="15"/>
      <c r="Q37" s="15"/>
    </row>
    <row r="39" spans="2:26" x14ac:dyDescent="0.3">
      <c r="U39">
        <f>Z22+0</f>
        <v>0.71399999999999997</v>
      </c>
    </row>
    <row r="40" spans="2:26" x14ac:dyDescent="0.3">
      <c r="D40">
        <v>101.57</v>
      </c>
      <c r="F40" t="s">
        <v>7</v>
      </c>
      <c r="G40" t="s">
        <v>8</v>
      </c>
      <c r="K40">
        <f>K22+0</f>
        <v>1.5</v>
      </c>
      <c r="L40">
        <f>S22+0</f>
        <v>7.9</v>
      </c>
      <c r="U40">
        <f>Z27+0</f>
        <v>0.72899999999999998</v>
      </c>
      <c r="X40" s="12">
        <f>AVERAGE(U39:U41)</f>
        <v>0.72466666666666668</v>
      </c>
      <c r="Y40" s="13">
        <f>_xlfn.STDEV.S(U39:U41)/SQRT(3)</f>
        <v>5.3644923131436987E-3</v>
      </c>
    </row>
    <row r="41" spans="2:26" x14ac:dyDescent="0.3">
      <c r="D41">
        <f>23.2+273.2</f>
        <v>296.39999999999998</v>
      </c>
      <c r="E41">
        <v>0.05</v>
      </c>
      <c r="F41" t="s">
        <v>9</v>
      </c>
      <c r="G41" t="s">
        <v>10</v>
      </c>
      <c r="K41">
        <f t="shared" ref="K41:K54" si="35">K23+0</f>
        <v>4.5</v>
      </c>
      <c r="L41">
        <f t="shared" ref="L41:L54" si="36">S23+0</f>
        <v>7.69</v>
      </c>
      <c r="U41">
        <f>Z32+0</f>
        <v>0.73099999999999998</v>
      </c>
    </row>
    <row r="42" spans="2:26" x14ac:dyDescent="0.3">
      <c r="D42">
        <f>D40/(D41*0.287)</f>
        <v>1.1940028307165664</v>
      </c>
      <c r="F42" t="s">
        <v>11</v>
      </c>
      <c r="G42" t="s">
        <v>12</v>
      </c>
      <c r="K42">
        <f t="shared" si="35"/>
        <v>7.5</v>
      </c>
      <c r="L42">
        <f t="shared" si="36"/>
        <v>6.9</v>
      </c>
    </row>
    <row r="43" spans="2:26" x14ac:dyDescent="0.3">
      <c r="D43" s="10" t="str">
        <f>FIXED(D42,5-(1+INT(LOG10(ABS(D42)))))</f>
        <v>1.1940</v>
      </c>
      <c r="E43" s="14">
        <v>1.7000000000000001E-2</v>
      </c>
      <c r="G43" t="s">
        <v>24</v>
      </c>
      <c r="K43">
        <f t="shared" si="35"/>
        <v>10.5</v>
      </c>
      <c r="L43">
        <f t="shared" si="36"/>
        <v>6.41</v>
      </c>
    </row>
    <row r="44" spans="2:26" x14ac:dyDescent="0.3">
      <c r="D44">
        <v>2.3199999999999998E-2</v>
      </c>
      <c r="F44" t="s">
        <v>17</v>
      </c>
      <c r="G44" t="s">
        <v>18</v>
      </c>
      <c r="K44">
        <f t="shared" si="35"/>
        <v>13.5</v>
      </c>
      <c r="L44">
        <f t="shared" si="36"/>
        <v>5.73</v>
      </c>
    </row>
    <row r="45" spans="2:26" ht="17.25" thickBot="1" x14ac:dyDescent="0.35">
      <c r="K45">
        <f t="shared" si="35"/>
        <v>1.5</v>
      </c>
      <c r="L45">
        <f t="shared" si="36"/>
        <v>16.059999999999999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6" x14ac:dyDescent="0.3">
      <c r="K46">
        <f t="shared" si="35"/>
        <v>4.5</v>
      </c>
      <c r="L46">
        <f t="shared" si="36"/>
        <v>15.96</v>
      </c>
      <c r="O46" s="15"/>
      <c r="P46" s="57" t="s">
        <v>1</v>
      </c>
      <c r="Q46" s="57" t="s">
        <v>0</v>
      </c>
      <c r="R46" s="95" t="s">
        <v>19</v>
      </c>
      <c r="S46" s="96"/>
      <c r="T46" s="95" t="s">
        <v>25</v>
      </c>
      <c r="U46" s="110"/>
      <c r="V46" s="96" t="s">
        <v>10</v>
      </c>
      <c r="W46" s="110"/>
      <c r="X46" s="15"/>
    </row>
    <row r="47" spans="2:26" ht="17.25" thickBot="1" x14ac:dyDescent="0.35">
      <c r="K47">
        <f t="shared" si="35"/>
        <v>7.5</v>
      </c>
      <c r="L47">
        <f t="shared" si="36"/>
        <v>15.11</v>
      </c>
      <c r="O47" s="15"/>
      <c r="P47" s="58"/>
      <c r="Q47" s="58"/>
      <c r="R47" s="97"/>
      <c r="S47" s="98"/>
      <c r="T47" s="97"/>
      <c r="U47" s="111"/>
      <c r="V47" s="98"/>
      <c r="W47" s="111"/>
      <c r="X47" s="15"/>
    </row>
    <row r="48" spans="2:26" x14ac:dyDescent="0.3">
      <c r="K48">
        <f t="shared" si="35"/>
        <v>10.5</v>
      </c>
      <c r="L48">
        <f t="shared" si="36"/>
        <v>13.68</v>
      </c>
      <c r="O48" s="15"/>
      <c r="P48" s="57">
        <v>15</v>
      </c>
      <c r="Q48" s="16">
        <v>1.5</v>
      </c>
      <c r="R48" s="18" t="str">
        <f>S22</f>
        <v>7.90</v>
      </c>
      <c r="S48" s="17">
        <f>SQRT((0.5*N22/M22)^2+(-0.5*$E$43/100)^2)*100</f>
        <v>3.2894846661921937</v>
      </c>
      <c r="T48" s="63" t="str">
        <f>V22</f>
        <v>0.00458</v>
      </c>
      <c r="U48" s="115">
        <f>SQRT((T22*H59/100)^2+(T23*H60/100)^2+(T24*H61/100)^2+(T25*H62/100)^2+(T26*H63/100)^2)*100</f>
        <v>1.033519951973713</v>
      </c>
      <c r="V48" s="112" t="str">
        <f>Z22</f>
        <v>0.714</v>
      </c>
      <c r="W48" s="115">
        <f>SQRT((0.5*E43/100)^2+(1*U48/100)^2+(-0.5*P22/O22)^2)*100</f>
        <v>3.7179749571432121</v>
      </c>
      <c r="X48" s="15"/>
    </row>
    <row r="49" spans="8:24" x14ac:dyDescent="0.3">
      <c r="K49">
        <f t="shared" si="35"/>
        <v>13.5</v>
      </c>
      <c r="L49">
        <f t="shared" si="36"/>
        <v>12.2</v>
      </c>
      <c r="O49" s="15"/>
      <c r="P49" s="61"/>
      <c r="Q49" s="19">
        <v>4.5</v>
      </c>
      <c r="R49" s="20" t="str">
        <f t="shared" ref="R49:R62" si="37">S23</f>
        <v>7.69</v>
      </c>
      <c r="S49" s="21">
        <f t="shared" ref="S49:S62" si="38">SQRT((0.5*N23/M23)^2+(-0.5*$E$43/100)^2)*100</f>
        <v>3.4722326262066354</v>
      </c>
      <c r="T49" s="64"/>
      <c r="U49" s="108"/>
      <c r="V49" s="113"/>
      <c r="W49" s="108"/>
      <c r="X49" s="15"/>
    </row>
    <row r="50" spans="8:24" x14ac:dyDescent="0.3">
      <c r="K50">
        <f t="shared" si="35"/>
        <v>1.5</v>
      </c>
      <c r="L50">
        <f t="shared" si="36"/>
        <v>23.63</v>
      </c>
      <c r="O50" s="15"/>
      <c r="P50" s="61"/>
      <c r="Q50" s="19">
        <v>7.5</v>
      </c>
      <c r="R50" s="22" t="str">
        <f t="shared" si="37"/>
        <v>6.90</v>
      </c>
      <c r="S50" s="21">
        <f t="shared" si="38"/>
        <v>6.0344887450462927</v>
      </c>
      <c r="T50" s="64"/>
      <c r="U50" s="108"/>
      <c r="V50" s="113"/>
      <c r="W50" s="108"/>
      <c r="X50" s="15"/>
    </row>
    <row r="51" spans="8:24" x14ac:dyDescent="0.3">
      <c r="K51">
        <f t="shared" si="35"/>
        <v>4.5</v>
      </c>
      <c r="L51">
        <f t="shared" si="36"/>
        <v>23.39</v>
      </c>
      <c r="O51" s="15"/>
      <c r="P51" s="61"/>
      <c r="Q51" s="19">
        <v>10.5</v>
      </c>
      <c r="R51" s="22" t="str">
        <f t="shared" si="37"/>
        <v>6.41</v>
      </c>
      <c r="S51" s="21">
        <f t="shared" si="38"/>
        <v>5.0000072249947802</v>
      </c>
      <c r="T51" s="64"/>
      <c r="U51" s="108"/>
      <c r="V51" s="113"/>
      <c r="W51" s="108"/>
      <c r="X51" s="15"/>
    </row>
    <row r="52" spans="8:24" x14ac:dyDescent="0.3">
      <c r="K52">
        <f t="shared" si="35"/>
        <v>7.5</v>
      </c>
      <c r="L52">
        <f t="shared" si="36"/>
        <v>22.57</v>
      </c>
      <c r="O52" s="15"/>
      <c r="P52" s="62"/>
      <c r="Q52" s="23">
        <v>13.5</v>
      </c>
      <c r="R52" s="25" t="str">
        <f t="shared" si="37"/>
        <v>5.73</v>
      </c>
      <c r="S52" s="24">
        <f t="shared" si="38"/>
        <v>6.2500057799973279</v>
      </c>
      <c r="T52" s="65"/>
      <c r="U52" s="116"/>
      <c r="V52" s="114"/>
      <c r="W52" s="116"/>
      <c r="X52" s="15"/>
    </row>
    <row r="53" spans="8:24" x14ac:dyDescent="0.3">
      <c r="K53">
        <f t="shared" si="35"/>
        <v>10.5</v>
      </c>
      <c r="L53">
        <f t="shared" si="36"/>
        <v>20.86</v>
      </c>
      <c r="O53" s="15"/>
      <c r="P53" s="69">
        <v>30</v>
      </c>
      <c r="Q53" s="26">
        <v>1.5</v>
      </c>
      <c r="R53" s="28" t="str">
        <f t="shared" si="37"/>
        <v>16.06</v>
      </c>
      <c r="S53" s="27">
        <f t="shared" si="38"/>
        <v>0.79622371565624894</v>
      </c>
      <c r="T53" s="70" t="str">
        <f t="shared" ref="T53" si="39">V27</f>
        <v>0.00976</v>
      </c>
      <c r="U53" s="117">
        <f t="shared" ref="U53" si="40">SQRT((T27*H64/100)^2+(T28*H65/100)^2+(T29*H66/100)^2+(T30*H67/100)^2+(T31*H68/100)^2)*100</f>
        <v>1.6766090120919661</v>
      </c>
      <c r="V53" s="70" t="str">
        <f t="shared" ref="V53" si="41">Z27</f>
        <v>0.729</v>
      </c>
      <c r="W53" s="117">
        <f>SQRT((0.5*E43/100)^2+(1*U53/100)^2+(-0.5*P27/O27)^2)*100</f>
        <v>1.8662669776877985</v>
      </c>
      <c r="X53" s="15"/>
    </row>
    <row r="54" spans="8:24" x14ac:dyDescent="0.3">
      <c r="K54">
        <f t="shared" si="35"/>
        <v>13.5</v>
      </c>
      <c r="L54">
        <f t="shared" si="36"/>
        <v>18.440000000000001</v>
      </c>
      <c r="O54" s="15"/>
      <c r="P54" s="61"/>
      <c r="Q54" s="19">
        <v>4.5</v>
      </c>
      <c r="R54" s="22" t="str">
        <f t="shared" si="37"/>
        <v>15.96</v>
      </c>
      <c r="S54" s="21">
        <f t="shared" si="38"/>
        <v>0.96777926393060687</v>
      </c>
      <c r="T54" s="64"/>
      <c r="U54" s="108"/>
      <c r="V54" s="64"/>
      <c r="W54" s="108"/>
      <c r="X54" s="15"/>
    </row>
    <row r="55" spans="8:24" x14ac:dyDescent="0.3">
      <c r="O55" s="15"/>
      <c r="P55" s="61"/>
      <c r="Q55" s="19">
        <v>7.5</v>
      </c>
      <c r="R55" s="22" t="str">
        <f t="shared" si="37"/>
        <v>15.11</v>
      </c>
      <c r="S55" s="21">
        <f t="shared" si="38"/>
        <v>1.0791701659616049</v>
      </c>
      <c r="T55" s="64"/>
      <c r="U55" s="108"/>
      <c r="V55" s="64"/>
      <c r="W55" s="108"/>
      <c r="X55" s="15"/>
    </row>
    <row r="56" spans="8:24" x14ac:dyDescent="0.3">
      <c r="O56" s="15"/>
      <c r="P56" s="61"/>
      <c r="Q56" s="19">
        <v>10.5</v>
      </c>
      <c r="R56" s="22" t="str">
        <f t="shared" si="37"/>
        <v>13.68</v>
      </c>
      <c r="S56" s="21">
        <f t="shared" si="38"/>
        <v>1.0965241735752302</v>
      </c>
      <c r="T56" s="64"/>
      <c r="U56" s="108"/>
      <c r="V56" s="64"/>
      <c r="W56" s="108"/>
      <c r="X56" s="15"/>
    </row>
    <row r="57" spans="8:24" x14ac:dyDescent="0.3">
      <c r="O57" s="15"/>
      <c r="P57" s="62"/>
      <c r="Q57" s="23">
        <v>13.5</v>
      </c>
      <c r="R57" s="25" t="str">
        <f t="shared" si="37"/>
        <v>12.2</v>
      </c>
      <c r="S57" s="24">
        <f t="shared" si="38"/>
        <v>1.6483735640392905</v>
      </c>
      <c r="T57" s="65"/>
      <c r="U57" s="116"/>
      <c r="V57" s="65"/>
      <c r="W57" s="116"/>
      <c r="X57" s="15"/>
    </row>
    <row r="58" spans="8:24" x14ac:dyDescent="0.3">
      <c r="O58" s="15"/>
      <c r="P58" s="61">
        <v>45</v>
      </c>
      <c r="Q58" s="19">
        <v>1.5</v>
      </c>
      <c r="R58" s="22" t="str">
        <f t="shared" si="37"/>
        <v>23.63</v>
      </c>
      <c r="S58" s="21">
        <f t="shared" si="38"/>
        <v>1.1029739293176088</v>
      </c>
      <c r="T58" s="70" t="str">
        <f t="shared" ref="T58" si="42">V32</f>
        <v>0.01466</v>
      </c>
      <c r="U58" s="117">
        <f t="shared" ref="U58" si="43">SQRT((T32*H69/100)^2+(T33*H70/100)^2+(T34*H71/100)^2+(T35*H72/100)^2+(T36*H73/100)^2)*100</f>
        <v>2.4552274950253885</v>
      </c>
      <c r="V58" s="70" t="str">
        <f t="shared" ref="V58" si="44">Z32</f>
        <v>0.731</v>
      </c>
      <c r="W58" s="108">
        <f>SQRT((0.5*E43/100)^2+(1*U58/100)^2+(-0.5*P32/O32)^2)*100</f>
        <v>2.4822193016179819</v>
      </c>
      <c r="X58" s="15"/>
    </row>
    <row r="59" spans="8:24" x14ac:dyDescent="0.3">
      <c r="H59">
        <f>SQRT((L22/K22)^2+(S48/100)^2)*100</f>
        <v>33.495250715291334</v>
      </c>
      <c r="O59" s="15"/>
      <c r="P59" s="61"/>
      <c r="Q59" s="19">
        <v>4.5</v>
      </c>
      <c r="R59" s="22" t="str">
        <f t="shared" si="37"/>
        <v>23.39</v>
      </c>
      <c r="S59" s="21">
        <f t="shared" si="38"/>
        <v>0.37547160004213898</v>
      </c>
      <c r="T59" s="64"/>
      <c r="U59" s="108"/>
      <c r="V59" s="64"/>
      <c r="W59" s="108"/>
      <c r="X59" s="15"/>
    </row>
    <row r="60" spans="8:24" x14ac:dyDescent="0.3">
      <c r="H60">
        <f t="shared" ref="H60:H78" si="45">SQRT((L23/K23)^2+(S49/100)^2)*100</f>
        <v>11.641013252030538</v>
      </c>
      <c r="O60" s="15"/>
      <c r="P60" s="61"/>
      <c r="Q60" s="19">
        <v>7.5</v>
      </c>
      <c r="R60" s="22" t="str">
        <f t="shared" si="37"/>
        <v>22.57</v>
      </c>
      <c r="S60" s="21">
        <f>SQRT((0.5*N34/M34)^2+(-0.5*$E$43/100)^2)*100</f>
        <v>0.48394562031649618</v>
      </c>
      <c r="T60" s="64"/>
      <c r="U60" s="108"/>
      <c r="V60" s="64"/>
      <c r="W60" s="108"/>
      <c r="X60" s="15"/>
    </row>
    <row r="61" spans="8:24" x14ac:dyDescent="0.3">
      <c r="H61">
        <f t="shared" si="45"/>
        <v>8.992190993219328</v>
      </c>
      <c r="O61" s="15"/>
      <c r="P61" s="61"/>
      <c r="Q61" s="19">
        <v>10.5</v>
      </c>
      <c r="R61" s="20" t="str">
        <f t="shared" si="37"/>
        <v>20.86</v>
      </c>
      <c r="S61" s="21">
        <f t="shared" si="38"/>
        <v>0.47177469199137839</v>
      </c>
      <c r="T61" s="64"/>
      <c r="U61" s="108"/>
      <c r="V61" s="64"/>
      <c r="W61" s="108"/>
      <c r="X61" s="15"/>
    </row>
    <row r="62" spans="8:24" ht="17.25" thickBot="1" x14ac:dyDescent="0.35">
      <c r="H62">
        <f t="shared" si="45"/>
        <v>6.9047671366564742</v>
      </c>
      <c r="O62" s="15"/>
      <c r="P62" s="58"/>
      <c r="Q62" s="29">
        <v>13.5</v>
      </c>
      <c r="R62" s="31" t="str">
        <f t="shared" si="37"/>
        <v>18.44</v>
      </c>
      <c r="S62" s="30">
        <f t="shared" si="38"/>
        <v>0.72468753194469826</v>
      </c>
      <c r="T62" s="106"/>
      <c r="U62" s="109"/>
      <c r="V62" s="106"/>
      <c r="W62" s="109"/>
      <c r="X62" s="15"/>
    </row>
    <row r="63" spans="8:24" x14ac:dyDescent="0.3">
      <c r="H63">
        <f t="shared" si="45"/>
        <v>7.2649840588144814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8:24" x14ac:dyDescent="0.3">
      <c r="H64">
        <f t="shared" si="45"/>
        <v>33.342841560318227</v>
      </c>
    </row>
    <row r="65" spans="8:8" x14ac:dyDescent="0.3">
      <c r="H65">
        <f t="shared" si="45"/>
        <v>11.153178328492325</v>
      </c>
    </row>
    <row r="66" spans="8:8" x14ac:dyDescent="0.3">
      <c r="H66">
        <f t="shared" si="45"/>
        <v>6.7534474671493552</v>
      </c>
    </row>
    <row r="67" spans="8:8" x14ac:dyDescent="0.3">
      <c r="H67">
        <f t="shared" si="45"/>
        <v>4.8865225083576647</v>
      </c>
    </row>
    <row r="68" spans="8:8" x14ac:dyDescent="0.3">
      <c r="H68">
        <f t="shared" si="45"/>
        <v>4.0539556647121984</v>
      </c>
    </row>
    <row r="69" spans="8:8" x14ac:dyDescent="0.3">
      <c r="H69">
        <f t="shared" si="45"/>
        <v>33.351576613405634</v>
      </c>
    </row>
    <row r="70" spans="8:8" x14ac:dyDescent="0.3">
      <c r="H70">
        <f t="shared" si="45"/>
        <v>11.117453352539645</v>
      </c>
    </row>
    <row r="71" spans="8:8" x14ac:dyDescent="0.3">
      <c r="H71">
        <f t="shared" si="45"/>
        <v>6.6842088393367822</v>
      </c>
    </row>
    <row r="72" spans="8:8" x14ac:dyDescent="0.3">
      <c r="H72">
        <f t="shared" si="45"/>
        <v>4.7852176879902553</v>
      </c>
    </row>
    <row r="73" spans="8:8" x14ac:dyDescent="0.3">
      <c r="H73">
        <f t="shared" si="45"/>
        <v>3.7739360280461343</v>
      </c>
    </row>
  </sheetData>
  <mergeCells count="106">
    <mergeCell ref="U3:U4"/>
    <mergeCell ref="V3:V4"/>
    <mergeCell ref="T3:T4"/>
    <mergeCell ref="T58:T62"/>
    <mergeCell ref="U58:U62"/>
    <mergeCell ref="T46:U47"/>
    <mergeCell ref="V48:V52"/>
    <mergeCell ref="V53:V57"/>
    <mergeCell ref="V58:V62"/>
    <mergeCell ref="V46:W47"/>
    <mergeCell ref="W48:W52"/>
    <mergeCell ref="W53:W57"/>
    <mergeCell ref="W58:W62"/>
    <mergeCell ref="T48:T52"/>
    <mergeCell ref="U48:U52"/>
    <mergeCell ref="T53:T57"/>
    <mergeCell ref="U53:U57"/>
    <mergeCell ref="P48:P52"/>
    <mergeCell ref="P53:P57"/>
    <mergeCell ref="P58:P62"/>
    <mergeCell ref="R46:S47"/>
    <mergeCell ref="C32:C36"/>
    <mergeCell ref="G32:G36"/>
    <mergeCell ref="H32:H36"/>
    <mergeCell ref="P46:P47"/>
    <mergeCell ref="C22:C26"/>
    <mergeCell ref="G22:G26"/>
    <mergeCell ref="H22:H26"/>
    <mergeCell ref="C27:C31"/>
    <mergeCell ref="G27:G31"/>
    <mergeCell ref="H27:H31"/>
    <mergeCell ref="J32:J36"/>
    <mergeCell ref="O32:O36"/>
    <mergeCell ref="P32:P36"/>
    <mergeCell ref="J14:J18"/>
    <mergeCell ref="O14:O18"/>
    <mergeCell ref="P14:P18"/>
    <mergeCell ref="C20:C21"/>
    <mergeCell ref="D20:D21"/>
    <mergeCell ref="E20:F20"/>
    <mergeCell ref="G20:H20"/>
    <mergeCell ref="J4:J8"/>
    <mergeCell ref="O4:O8"/>
    <mergeCell ref="P4:P8"/>
    <mergeCell ref="J9:J13"/>
    <mergeCell ref="O9:O13"/>
    <mergeCell ref="P9:P13"/>
    <mergeCell ref="G14:G18"/>
    <mergeCell ref="H14:H18"/>
    <mergeCell ref="C4:C8"/>
    <mergeCell ref="C9:C13"/>
    <mergeCell ref="C14:C18"/>
    <mergeCell ref="G4:G8"/>
    <mergeCell ref="H4:H8"/>
    <mergeCell ref="G9:G13"/>
    <mergeCell ref="H9:H13"/>
    <mergeCell ref="C2:C3"/>
    <mergeCell ref="D2:D3"/>
    <mergeCell ref="E2:F2"/>
    <mergeCell ref="M3:N3"/>
    <mergeCell ref="O3:P3"/>
    <mergeCell ref="K2:L3"/>
    <mergeCell ref="G2:H2"/>
    <mergeCell ref="J2:J3"/>
    <mergeCell ref="M2:N2"/>
    <mergeCell ref="O2:P2"/>
    <mergeCell ref="V22:V26"/>
    <mergeCell ref="V27:V31"/>
    <mergeCell ref="V32:V36"/>
    <mergeCell ref="R20:R21"/>
    <mergeCell ref="J22:J26"/>
    <mergeCell ref="O22:O26"/>
    <mergeCell ref="P22:P26"/>
    <mergeCell ref="J27:J31"/>
    <mergeCell ref="O27:O31"/>
    <mergeCell ref="P27:P31"/>
    <mergeCell ref="J20:J21"/>
    <mergeCell ref="K20:L21"/>
    <mergeCell ref="M20:N20"/>
    <mergeCell ref="O20:P20"/>
    <mergeCell ref="M21:N21"/>
    <mergeCell ref="O21:P21"/>
    <mergeCell ref="Z20:Z21"/>
    <mergeCell ref="Z22:Z26"/>
    <mergeCell ref="Z27:Z31"/>
    <mergeCell ref="Z32:Z36"/>
    <mergeCell ref="Q46:Q47"/>
    <mergeCell ref="W20:W21"/>
    <mergeCell ref="W22:W26"/>
    <mergeCell ref="W27:W31"/>
    <mergeCell ref="W32:W36"/>
    <mergeCell ref="X20:X21"/>
    <mergeCell ref="X22:X26"/>
    <mergeCell ref="X27:X31"/>
    <mergeCell ref="X32:X36"/>
    <mergeCell ref="Y20:Y21"/>
    <mergeCell ref="Y22:Y26"/>
    <mergeCell ref="Y27:Y31"/>
    <mergeCell ref="Y32:Y36"/>
    <mergeCell ref="S20:S21"/>
    <mergeCell ref="T20:T21"/>
    <mergeCell ref="U20:U21"/>
    <mergeCell ref="U22:U26"/>
    <mergeCell ref="U27:U31"/>
    <mergeCell ref="U32:U36"/>
    <mergeCell ref="V20:V21"/>
  </mergeCells>
  <phoneticPr fontId="1" type="noConversion"/>
  <pageMargins left="0.7" right="0.7" top="0.75" bottom="0.75" header="0.3" footer="0.3"/>
  <ignoredErrors>
    <ignoredError sqref="M4 N4:N18 M5:M18" formulaRange="1"/>
    <ignoredError sqref="Y22:Y36 W22:W36 E31:F31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CE50-1CD5-4912-803B-021E5D7DD879}">
  <dimension ref="A1:T38"/>
  <sheetViews>
    <sheetView zoomScale="85" zoomScaleNormal="85" workbookViewId="0">
      <selection activeCell="T21" sqref="T21"/>
    </sheetView>
  </sheetViews>
  <sheetFormatPr defaultRowHeight="16.5" x14ac:dyDescent="0.3"/>
  <cols>
    <col min="7" max="7" width="13.5" customWidth="1"/>
    <col min="10" max="10" width="13.125" bestFit="1" customWidth="1"/>
    <col min="17" max="17" width="11.75" customWidth="1"/>
    <col min="18" max="18" width="13" customWidth="1"/>
    <col min="19" max="19" width="12.875" customWidth="1"/>
  </cols>
  <sheetData>
    <row r="1" spans="1:20" x14ac:dyDescent="0.3">
      <c r="A1" t="s">
        <v>21</v>
      </c>
      <c r="B1" t="s">
        <v>20</v>
      </c>
      <c r="C1" t="s">
        <v>26</v>
      </c>
      <c r="D1" t="s">
        <v>22</v>
      </c>
      <c r="H1" t="s">
        <v>23</v>
      </c>
      <c r="J1" t="s">
        <v>15</v>
      </c>
      <c r="M1" t="s">
        <v>10</v>
      </c>
      <c r="O1" t="s">
        <v>37</v>
      </c>
    </row>
    <row r="2" spans="1:20" x14ac:dyDescent="0.3">
      <c r="A2">
        <f>Sheet1!K22+0</f>
        <v>1.5</v>
      </c>
      <c r="B2">
        <f>Sheet1!S22+0</f>
        <v>7.9</v>
      </c>
      <c r="C2">
        <f>Sheet1!S48</f>
        <v>3.2894846661921937</v>
      </c>
      <c r="D2">
        <v>15</v>
      </c>
      <c r="F2">
        <f>B2*(1 - (A2/$D$2))^(1/7)</f>
        <v>7.7819835229848131</v>
      </c>
      <c r="G2">
        <f>(1 - (A2/$D$2))^(2/7)</f>
        <v>0.97034557846510361</v>
      </c>
      <c r="H2">
        <f>SUM(F2:F6)/((SUM(G2:G6)))</f>
        <v>7.8711843179264749</v>
      </c>
      <c r="J2">
        <f>(735*PI()/4)*H2*0.000001</f>
        <v>4.5437800746907543E-3</v>
      </c>
      <c r="M2">
        <f>(R13/(PI()*0.25*Sheet1!$D$44^2))*SQRT(Sheet1!$D$43/(2*Sheet1!O22*9.806))</f>
        <v>0.70880807226742515</v>
      </c>
      <c r="O2">
        <f>J2/(0.25*PI()*(0.03^2))</f>
        <v>6.4281338596399555</v>
      </c>
    </row>
    <row r="3" spans="1:20" x14ac:dyDescent="0.3">
      <c r="A3">
        <f>Sheet1!K23+0</f>
        <v>4.5</v>
      </c>
      <c r="B3">
        <f>Sheet1!S23+0</f>
        <v>7.69</v>
      </c>
      <c r="C3">
        <f>Sheet1!S49</f>
        <v>3.4722326262066354</v>
      </c>
      <c r="F3">
        <f t="shared" ref="F3:F16" si="0">B3*(1 - (A3/$D$2))^(1/7)</f>
        <v>7.307982326222433</v>
      </c>
      <c r="G3">
        <f t="shared" ref="G3:G16" si="1">(1 - (A3/$D$2))^(2/7)</f>
        <v>0.90311342277186768</v>
      </c>
      <c r="O3">
        <f>J7/(0.25*PI()*(0.03^2))</f>
        <v>13.533332880982298</v>
      </c>
    </row>
    <row r="4" spans="1:20" x14ac:dyDescent="0.3">
      <c r="A4">
        <f>Sheet1!K24+0</f>
        <v>7.5</v>
      </c>
      <c r="B4">
        <f>Sheet1!S24+0</f>
        <v>6.9</v>
      </c>
      <c r="C4">
        <f>Sheet1!S50</f>
        <v>6.0344887450462927</v>
      </c>
      <c r="F4">
        <f t="shared" si="0"/>
        <v>6.2494932834209562</v>
      </c>
      <c r="G4">
        <f t="shared" si="1"/>
        <v>0.82033535600763796</v>
      </c>
      <c r="O4">
        <f>J12/(0.25*PI()*(0.03^2))</f>
        <v>20.159436192307293</v>
      </c>
    </row>
    <row r="5" spans="1:20" x14ac:dyDescent="0.3">
      <c r="A5">
        <f>Sheet1!K25+0</f>
        <v>10.5</v>
      </c>
      <c r="B5">
        <f>Sheet1!S25+0</f>
        <v>6.41</v>
      </c>
      <c r="C5">
        <f>Sheet1!S51</f>
        <v>5.0000072249947802</v>
      </c>
      <c r="F5">
        <f t="shared" si="0"/>
        <v>5.3971074682515807</v>
      </c>
      <c r="G5">
        <f t="shared" si="1"/>
        <v>0.70893443658521527</v>
      </c>
    </row>
    <row r="6" spans="1:20" x14ac:dyDescent="0.3">
      <c r="A6">
        <f>Sheet1!K26+0</f>
        <v>13.5</v>
      </c>
      <c r="B6">
        <f>Sheet1!S26+0</f>
        <v>5.73</v>
      </c>
      <c r="C6">
        <f>Sheet1!S52</f>
        <v>6.2500057799973279</v>
      </c>
      <c r="F6">
        <f t="shared" si="0"/>
        <v>4.1237989062966012</v>
      </c>
      <c r="G6">
        <f t="shared" si="1"/>
        <v>0.51794746792312107</v>
      </c>
    </row>
    <row r="7" spans="1:20" x14ac:dyDescent="0.3">
      <c r="A7">
        <f>Sheet1!K27+0</f>
        <v>1.5</v>
      </c>
      <c r="B7">
        <f>Sheet1!S27+0</f>
        <v>16.059999999999999</v>
      </c>
      <c r="C7">
        <f>Sheet1!S53</f>
        <v>0.79622371565624894</v>
      </c>
      <c r="F7">
        <f t="shared" si="0"/>
        <v>15.820082959384314</v>
      </c>
      <c r="G7">
        <f t="shared" si="1"/>
        <v>0.97034557846510361</v>
      </c>
      <c r="H7">
        <f>SUM(F7:F11)/((SUM(G7:G11)))</f>
        <v>16.571428017529342</v>
      </c>
      <c r="J7">
        <f>(735*PI()/4)*H7*0.000001</f>
        <v>9.5661493104328144E-3</v>
      </c>
      <c r="M7">
        <f>(R14/(PI()*0.25*Sheet1!$D$44^2))*SQRT(Sheet1!$D$43/(2*Sheet1!O27*9.806))</f>
        <v>0.71490380342666859</v>
      </c>
    </row>
    <row r="8" spans="1:20" x14ac:dyDescent="0.3">
      <c r="A8">
        <f>Sheet1!K28+0</f>
        <v>4.5</v>
      </c>
      <c r="B8">
        <f>Sheet1!S28+0</f>
        <v>15.96</v>
      </c>
      <c r="C8">
        <f>Sheet1!S54</f>
        <v>0.96777926393060687</v>
      </c>
      <c r="F8">
        <f t="shared" si="0"/>
        <v>15.167151876009108</v>
      </c>
      <c r="G8">
        <f t="shared" si="1"/>
        <v>0.90311342277186768</v>
      </c>
    </row>
    <row r="9" spans="1:20" x14ac:dyDescent="0.3">
      <c r="A9">
        <f>Sheet1!K29+0</f>
        <v>7.5</v>
      </c>
      <c r="B9">
        <f>Sheet1!S29+0</f>
        <v>15.11</v>
      </c>
      <c r="C9">
        <f>Sheet1!S55</f>
        <v>1.0791701659616049</v>
      </c>
      <c r="F9">
        <f t="shared" si="0"/>
        <v>13.685484567027629</v>
      </c>
      <c r="G9">
        <f t="shared" si="1"/>
        <v>0.82033535600763796</v>
      </c>
    </row>
    <row r="10" spans="1:20" ht="17.25" thickBot="1" x14ac:dyDescent="0.35">
      <c r="A10">
        <f>Sheet1!K30+0</f>
        <v>10.5</v>
      </c>
      <c r="B10">
        <f>Sheet1!S30+0</f>
        <v>13.68</v>
      </c>
      <c r="C10">
        <f>Sheet1!S56</f>
        <v>1.0965241735752302</v>
      </c>
      <c r="F10">
        <f t="shared" si="0"/>
        <v>11.518319838639878</v>
      </c>
      <c r="G10">
        <f t="shared" si="1"/>
        <v>0.70893443658521527</v>
      </c>
      <c r="O10" s="15"/>
      <c r="P10" s="15"/>
      <c r="Q10" s="15"/>
      <c r="R10" s="15"/>
      <c r="S10" s="15"/>
      <c r="T10" s="15"/>
    </row>
    <row r="11" spans="1:20" x14ac:dyDescent="0.3">
      <c r="A11">
        <f>Sheet1!K31+0</f>
        <v>13.5</v>
      </c>
      <c r="B11">
        <f>Sheet1!S31+0</f>
        <v>12.2</v>
      </c>
      <c r="C11">
        <f>Sheet1!S57</f>
        <v>1.6483735640392905</v>
      </c>
      <c r="F11">
        <f t="shared" si="0"/>
        <v>8.7801652106140544</v>
      </c>
      <c r="G11">
        <f t="shared" si="1"/>
        <v>0.51794746792312107</v>
      </c>
      <c r="O11" s="15"/>
      <c r="P11" s="57" t="s">
        <v>1</v>
      </c>
      <c r="Q11" s="57" t="s">
        <v>27</v>
      </c>
      <c r="R11" s="57" t="s">
        <v>25</v>
      </c>
      <c r="S11" s="57" t="s">
        <v>10</v>
      </c>
      <c r="T11" s="15"/>
    </row>
    <row r="12" spans="1:20" ht="17.25" thickBot="1" x14ac:dyDescent="0.35">
      <c r="A12">
        <f>Sheet1!K32+0</f>
        <v>1.5</v>
      </c>
      <c r="B12">
        <f>Sheet1!S32+0</f>
        <v>23.63</v>
      </c>
      <c r="C12">
        <f>Sheet1!S58</f>
        <v>1.1029739293176088</v>
      </c>
      <c r="F12">
        <f t="shared" si="0"/>
        <v>23.27699628457356</v>
      </c>
      <c r="G12">
        <f t="shared" si="1"/>
        <v>0.97034557846510361</v>
      </c>
      <c r="H12">
        <f>SUM(F12:F16)/((SUM(G12:G16)))</f>
        <v>24.685023908947706</v>
      </c>
      <c r="J12">
        <f>(735*PI()/4)*H12*0.000001</f>
        <v>1.4249865744509576E-2</v>
      </c>
      <c r="M12">
        <f>(R15/(PI()*0.25*Sheet1!$D$44^2))*SQRT(Sheet1!$D$43/(2*Sheet1!O32*9.806))</f>
        <v>0.71060107315767929</v>
      </c>
      <c r="O12" s="15"/>
      <c r="P12" s="58"/>
      <c r="Q12" s="58"/>
      <c r="R12" s="58"/>
      <c r="S12" s="58"/>
      <c r="T12" s="15"/>
    </row>
    <row r="13" spans="1:20" x14ac:dyDescent="0.3">
      <c r="A13">
        <f>Sheet1!K33+0</f>
        <v>4.5</v>
      </c>
      <c r="B13">
        <f>Sheet1!S33+0</f>
        <v>23.39</v>
      </c>
      <c r="C13">
        <f>Sheet1!S59</f>
        <v>0.37547160004213898</v>
      </c>
      <c r="F13">
        <f t="shared" si="0"/>
        <v>22.228050274426881</v>
      </c>
      <c r="G13">
        <f t="shared" si="1"/>
        <v>0.90311342277186768</v>
      </c>
      <c r="O13" s="15"/>
      <c r="P13" s="47">
        <v>15</v>
      </c>
      <c r="Q13" s="48">
        <v>7.88</v>
      </c>
      <c r="R13" s="124">
        <f>J2</f>
        <v>4.5437800746907543E-3</v>
      </c>
      <c r="S13" s="49">
        <f>M2</f>
        <v>0.70880807226742515</v>
      </c>
      <c r="T13" s="15"/>
    </row>
    <row r="14" spans="1:20" x14ac:dyDescent="0.3">
      <c r="A14">
        <f>Sheet1!K34+0</f>
        <v>7.5</v>
      </c>
      <c r="B14">
        <f>Sheet1!S34+0</f>
        <v>22.57</v>
      </c>
      <c r="C14">
        <f>Sheet1!S60</f>
        <v>0.48394562031649618</v>
      </c>
      <c r="F14">
        <f t="shared" si="0"/>
        <v>20.442183102436374</v>
      </c>
      <c r="G14">
        <f t="shared" si="1"/>
        <v>0.82033535600763796</v>
      </c>
      <c r="O14" s="15"/>
      <c r="P14" s="50">
        <v>30</v>
      </c>
      <c r="Q14" s="51" t="s">
        <v>28</v>
      </c>
      <c r="R14" s="124">
        <f>J7</f>
        <v>9.5661493104328144E-3</v>
      </c>
      <c r="S14" s="49">
        <f>M7</f>
        <v>0.71490380342666859</v>
      </c>
      <c r="T14" s="15"/>
    </row>
    <row r="15" spans="1:20" ht="17.25" thickBot="1" x14ac:dyDescent="0.35">
      <c r="A15">
        <f>Sheet1!K35+0</f>
        <v>10.5</v>
      </c>
      <c r="B15">
        <f>Sheet1!S35+0</f>
        <v>20.86</v>
      </c>
      <c r="C15">
        <f>Sheet1!S61</f>
        <v>0.47177469199137839</v>
      </c>
      <c r="F15">
        <f t="shared" si="0"/>
        <v>17.563753789037126</v>
      </c>
      <c r="G15">
        <f t="shared" si="1"/>
        <v>0.70893443658521527</v>
      </c>
      <c r="O15" s="15"/>
      <c r="P15" s="52">
        <v>45</v>
      </c>
      <c r="Q15" s="53">
        <v>24.73</v>
      </c>
      <c r="R15" s="125">
        <f>J12</f>
        <v>1.4249865744509576E-2</v>
      </c>
      <c r="S15" s="54">
        <f>M12</f>
        <v>0.71060107315767929</v>
      </c>
      <c r="T15" s="15"/>
    </row>
    <row r="16" spans="1:20" x14ac:dyDescent="0.3">
      <c r="A16">
        <f>Sheet1!K36+0</f>
        <v>13.5</v>
      </c>
      <c r="B16">
        <f>Sheet1!S36+0</f>
        <v>18.440000000000001</v>
      </c>
      <c r="C16">
        <f>Sheet1!S62</f>
        <v>0.72468753194469826</v>
      </c>
      <c r="F16">
        <f t="shared" si="0"/>
        <v>13.271003810141245</v>
      </c>
      <c r="G16">
        <f t="shared" si="1"/>
        <v>0.51794746792312107</v>
      </c>
      <c r="O16" s="15"/>
      <c r="P16" s="15"/>
      <c r="Q16" s="15"/>
      <c r="R16" s="15"/>
      <c r="S16" s="15"/>
      <c r="T16" s="15"/>
    </row>
    <row r="18" spans="10:20" x14ac:dyDescent="0.3">
      <c r="R18" s="55">
        <f>AVERAGE(S13:S15)</f>
        <v>0.71143764961725753</v>
      </c>
      <c r="S18">
        <f>_xlfn.STDEV.S(S13:S15)/SQRT(3)</f>
        <v>1.8087177521643517E-3</v>
      </c>
    </row>
    <row r="20" spans="10:20" x14ac:dyDescent="0.3">
      <c r="L20">
        <f>AVERAGE(B2:B6)</f>
        <v>6.9260000000000002</v>
      </c>
    </row>
    <row r="21" spans="10:20" ht="17.25" thickBot="1" x14ac:dyDescent="0.35">
      <c r="L21">
        <f>AVERAGE(B7:B11)</f>
        <v>14.601999999999999</v>
      </c>
      <c r="P21" s="15"/>
      <c r="Q21" s="15"/>
      <c r="R21" s="15"/>
      <c r="S21" s="15"/>
      <c r="T21" s="15"/>
    </row>
    <row r="22" spans="10:20" x14ac:dyDescent="0.3">
      <c r="L22">
        <f>AVERAGE(B12:B16)</f>
        <v>21.777999999999999</v>
      </c>
      <c r="P22" s="15"/>
      <c r="Q22" s="57" t="s">
        <v>1</v>
      </c>
      <c r="R22" s="57" t="s">
        <v>25</v>
      </c>
      <c r="S22" s="57" t="s">
        <v>10</v>
      </c>
      <c r="T22" s="15"/>
    </row>
    <row r="23" spans="10:20" ht="17.25" thickBot="1" x14ac:dyDescent="0.35">
      <c r="M23" t="s">
        <v>30</v>
      </c>
      <c r="P23" s="15"/>
      <c r="Q23" s="58"/>
      <c r="R23" s="58"/>
      <c r="S23" s="58"/>
      <c r="T23" s="15"/>
    </row>
    <row r="24" spans="10:20" x14ac:dyDescent="0.3">
      <c r="J24">
        <f>$H$2*(1-(A2/15))^(1/7)</f>
        <v>7.7535983124658578</v>
      </c>
      <c r="K24">
        <f>(B2-J24)^2</f>
        <v>2.14334541128447E-2</v>
      </c>
      <c r="L24">
        <f>(B2-$L$20)^2</f>
        <v>0.94867600000000041</v>
      </c>
      <c r="M24">
        <f>1-(SUM(K24:K28)/SUM(L24:L28))</f>
        <v>0.94752641887404276</v>
      </c>
      <c r="P24" s="15"/>
      <c r="Q24" s="47">
        <v>15</v>
      </c>
      <c r="R24" s="124">
        <v>4.5437800746907543E-3</v>
      </c>
      <c r="S24" s="49">
        <v>0.70880807226742515</v>
      </c>
      <c r="T24" s="15"/>
    </row>
    <row r="25" spans="10:20" x14ac:dyDescent="0.3">
      <c r="J25">
        <f>$H$2*(1-(A3/15))^(1/7)</f>
        <v>7.4801659144142851</v>
      </c>
      <c r="K25">
        <f t="shared" ref="K25:K38" si="2">(B3-J25)^2</f>
        <v>4.4030343473593275E-2</v>
      </c>
      <c r="L25">
        <f t="shared" ref="L25:L28" si="3">(B3-$L$20)^2</f>
        <v>0.58369600000000033</v>
      </c>
      <c r="P25" s="15"/>
      <c r="Q25" s="50">
        <v>30</v>
      </c>
      <c r="R25" s="124">
        <v>9.5661493104328144E-3</v>
      </c>
      <c r="S25" s="49">
        <v>0.71490380342666859</v>
      </c>
      <c r="T25" s="15"/>
    </row>
    <row r="26" spans="10:20" ht="17.25" thickBot="1" x14ac:dyDescent="0.35">
      <c r="J26">
        <f t="shared" ref="J26:J28" si="4">$H$2*(1-(A4/15))^(1/7)</f>
        <v>7.1291179025289662</v>
      </c>
      <c r="K26">
        <f t="shared" si="2"/>
        <v>5.2495013259272673E-2</v>
      </c>
      <c r="L26">
        <f t="shared" si="3"/>
        <v>6.7599999999998965E-4</v>
      </c>
      <c r="P26" s="15"/>
      <c r="Q26" s="52">
        <v>45</v>
      </c>
      <c r="R26" s="125">
        <v>1.4249865744509576E-2</v>
      </c>
      <c r="S26" s="54">
        <v>0.71060107315767929</v>
      </c>
      <c r="T26" s="15"/>
    </row>
    <row r="27" spans="10:20" ht="17.25" thickBot="1" x14ac:dyDescent="0.35">
      <c r="J27">
        <f t="shared" si="4"/>
        <v>6.6273990118979249</v>
      </c>
      <c r="K27">
        <f t="shared" si="2"/>
        <v>4.7262330374194035E-2</v>
      </c>
      <c r="L27">
        <f t="shared" si="3"/>
        <v>0.26625599999999999</v>
      </c>
      <c r="P27" s="15"/>
      <c r="Q27" s="15"/>
      <c r="R27" s="15"/>
      <c r="S27" s="15"/>
      <c r="T27" s="15"/>
    </row>
    <row r="28" spans="10:20" x14ac:dyDescent="0.3">
      <c r="J28">
        <f t="shared" si="4"/>
        <v>5.6647785831630291</v>
      </c>
      <c r="K28">
        <f t="shared" si="2"/>
        <v>4.2538332142219712E-3</v>
      </c>
      <c r="L28">
        <f t="shared" si="3"/>
        <v>1.4304159999999992</v>
      </c>
      <c r="P28" s="15"/>
      <c r="Q28" s="57" t="s">
        <v>1</v>
      </c>
      <c r="R28" s="57" t="s">
        <v>25</v>
      </c>
      <c r="S28" s="57" t="s">
        <v>10</v>
      </c>
      <c r="T28" s="15"/>
    </row>
    <row r="29" spans="10:20" ht="17.25" thickBot="1" x14ac:dyDescent="0.35">
      <c r="J29">
        <f>$H$7*(1-(A7/15))^(1/7)</f>
        <v>16.32387085882813</v>
      </c>
      <c r="K29">
        <f t="shared" si="2"/>
        <v>6.9627830138695501E-2</v>
      </c>
      <c r="L29">
        <f>(B7-$L$21)^2</f>
        <v>2.1257640000000007</v>
      </c>
      <c r="M29">
        <f>1-(SUM(K29:K33)/SUM(L29:L33))</f>
        <v>0.97473540730499542</v>
      </c>
      <c r="P29" s="15"/>
      <c r="Q29" s="58"/>
      <c r="R29" s="58"/>
      <c r="S29" s="58"/>
      <c r="T29" s="15"/>
    </row>
    <row r="30" spans="10:20" x14ac:dyDescent="0.3">
      <c r="J30">
        <f t="shared" ref="J30:J33" si="5">$H$7*(1-(A8/15))^(1/7)</f>
        <v>15.748205861166669</v>
      </c>
      <c r="K30">
        <f t="shared" si="2"/>
        <v>4.4856757244152605E-2</v>
      </c>
      <c r="L30">
        <f t="shared" ref="L30:L33" si="6">(B8-$L$21)^2</f>
        <v>1.8441640000000064</v>
      </c>
      <c r="P30" s="15"/>
      <c r="Q30" s="47">
        <v>15</v>
      </c>
      <c r="R30" s="129" t="s">
        <v>31</v>
      </c>
      <c r="S30" s="131" t="s">
        <v>34</v>
      </c>
      <c r="T30" s="15"/>
    </row>
    <row r="31" spans="10:20" x14ac:dyDescent="0.3">
      <c r="J31">
        <f t="shared" si="5"/>
        <v>15.009134506122244</v>
      </c>
      <c r="K31">
        <f t="shared" si="2"/>
        <v>1.01738478552035E-2</v>
      </c>
      <c r="L31">
        <f t="shared" si="6"/>
        <v>0.2580640000000009</v>
      </c>
      <c r="P31" s="15"/>
      <c r="Q31" s="50">
        <v>30</v>
      </c>
      <c r="R31" s="129" t="s">
        <v>32</v>
      </c>
      <c r="S31" s="131" t="s">
        <v>35</v>
      </c>
      <c r="T31" s="15"/>
    </row>
    <row r="32" spans="10:20" ht="17.25" thickBot="1" x14ac:dyDescent="0.35">
      <c r="J32">
        <f t="shared" si="5"/>
        <v>13.95285146848691</v>
      </c>
      <c r="K32">
        <f t="shared" si="2"/>
        <v>7.4447923855463657E-2</v>
      </c>
      <c r="L32">
        <f t="shared" si="6"/>
        <v>0.85008399999999784</v>
      </c>
      <c r="P32" s="15"/>
      <c r="Q32" s="52">
        <v>45</v>
      </c>
      <c r="R32" s="130" t="s">
        <v>33</v>
      </c>
      <c r="S32" s="132" t="s">
        <v>36</v>
      </c>
      <c r="T32" s="15"/>
    </row>
    <row r="33" spans="10:20" x14ac:dyDescent="0.3">
      <c r="J33">
        <f t="shared" si="5"/>
        <v>11.926219325385752</v>
      </c>
      <c r="K33">
        <f t="shared" si="2"/>
        <v>7.4955857792232461E-2</v>
      </c>
      <c r="L33">
        <f t="shared" si="6"/>
        <v>5.7696039999999966</v>
      </c>
      <c r="P33" s="15"/>
      <c r="Q33" s="15"/>
      <c r="R33" s="15"/>
      <c r="S33" s="15"/>
      <c r="T33" s="15"/>
    </row>
    <row r="34" spans="10:20" x14ac:dyDescent="0.3">
      <c r="J34">
        <f>$H$12*(1-(A12/15))^(1/7)</f>
        <v>24.316259408090783</v>
      </c>
      <c r="K34">
        <f t="shared" si="2"/>
        <v>0.47095197519311321</v>
      </c>
      <c r="L34">
        <f>(B12-$L$22)^2</f>
        <v>3.429904000000001</v>
      </c>
      <c r="M34">
        <f>1-(SUM(K34:K38)/SUM(L34:L38))</f>
        <v>0.947350068975926</v>
      </c>
    </row>
    <row r="35" spans="10:20" x14ac:dyDescent="0.3">
      <c r="J35">
        <f t="shared" ref="J35:J38" si="7">$H$12*(1-(A13/15))^(1/7)</f>
        <v>23.458741020672047</v>
      </c>
      <c r="K35">
        <f t="shared" si="2"/>
        <v>4.7253279230347186E-3</v>
      </c>
      <c r="L35">
        <f t="shared" ref="L35:L38" si="8">(B13-$L$22)^2</f>
        <v>2.5985440000000062</v>
      </c>
    </row>
    <row r="36" spans="10:20" x14ac:dyDescent="0.3">
      <c r="J36">
        <f t="shared" si="7"/>
        <v>22.357810307254262</v>
      </c>
      <c r="K36">
        <f t="shared" si="2"/>
        <v>4.5024465707530915E-2</v>
      </c>
      <c r="L36">
        <f t="shared" si="8"/>
        <v>0.62726400000000249</v>
      </c>
    </row>
    <row r="37" spans="10:20" x14ac:dyDescent="0.3">
      <c r="J37">
        <f t="shared" si="7"/>
        <v>20.784356769571058</v>
      </c>
      <c r="K37">
        <f t="shared" si="2"/>
        <v>5.7218983097258903E-3</v>
      </c>
      <c r="L37">
        <f t="shared" si="8"/>
        <v>0.8427239999999987</v>
      </c>
    </row>
    <row r="38" spans="10:20" x14ac:dyDescent="0.3">
      <c r="J38">
        <f t="shared" si="7"/>
        <v>17.76545804496056</v>
      </c>
      <c r="K38">
        <f t="shared" si="2"/>
        <v>0.45500684910843114</v>
      </c>
      <c r="L38">
        <f t="shared" si="8"/>
        <v>11.142243999999982</v>
      </c>
    </row>
  </sheetData>
  <mergeCells count="10">
    <mergeCell ref="Q28:Q29"/>
    <mergeCell ref="R28:R29"/>
    <mergeCell ref="S28:S29"/>
    <mergeCell ref="P11:P12"/>
    <mergeCell ref="Q11:Q12"/>
    <mergeCell ref="R11:R12"/>
    <mergeCell ref="S11:S12"/>
    <mergeCell ref="R22:R23"/>
    <mergeCell ref="S22:S23"/>
    <mergeCell ref="Q22:Q23"/>
  </mergeCells>
  <phoneticPr fontId="1" type="noConversion"/>
  <pageMargins left="0.7" right="0.7" top="0.75" bottom="0.75" header="0.3" footer="0.3"/>
  <ignoredErrors>
    <ignoredError sqref="R30:R32 Q14 S30:S3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30C9C5E62EF144F9209F5F8EC72BC84" ma:contentTypeVersion="3" ma:contentTypeDescription="새 문서를 만듭니다." ma:contentTypeScope="" ma:versionID="24ffbb027042fd0c639d93d374ac80a2">
  <xsd:schema xmlns:xsd="http://www.w3.org/2001/XMLSchema" xmlns:xs="http://www.w3.org/2001/XMLSchema" xmlns:p="http://schemas.microsoft.com/office/2006/metadata/properties" xmlns:ns3="6b28e3d6-4e92-425e-afcd-ed371da3b97a" targetNamespace="http://schemas.microsoft.com/office/2006/metadata/properties" ma:root="true" ma:fieldsID="b87eb0c5e7dcd809a82a941e1fb36624" ns3:_="">
    <xsd:import namespace="6b28e3d6-4e92-425e-afcd-ed371da3b9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8e3d6-4e92-425e-afcd-ed371da3b9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11BFFE-0032-42F0-A0C1-9790BFAF37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C2983D-D190-4E81-8FCE-0B86266C5D1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6b28e3d6-4e92-425e-afcd-ed371da3b97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300CE65-2851-492D-89AC-678148675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8e3d6-4e92-425e-afcd-ed371da3b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찬우 김</dc:creator>
  <cp:lastModifiedBy>김찬우(학부생-기계시스템공학전공)</cp:lastModifiedBy>
  <dcterms:created xsi:type="dcterms:W3CDTF">2023-09-25T07:52:00Z</dcterms:created>
  <dcterms:modified xsi:type="dcterms:W3CDTF">2023-10-04T17:53:42Z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0x010100530C9C5E62EF144F9209F5F8EC72BC84</vt:lpwstr>
  </property>
</Properties>
</file>