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060" firstSheet="1" activeTab="3"/>
  </bookViews>
  <sheets>
    <sheet name="Exp 1 = Pile Daniell " sheetId="1" r:id="rId1"/>
    <sheet name="Exp 2 = Ks acide benzoïque  (2)" sheetId="5" r:id="rId2"/>
    <sheet name="Ka de l'acide benzoïque conduct" sheetId="6" r:id="rId3"/>
    <sheet name="Exp 2 = Ks acide benzoïque 25°C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2" l="1"/>
  <c r="H48" i="2"/>
  <c r="H49" i="2"/>
  <c r="C7" i="6"/>
  <c r="C8" i="6"/>
  <c r="B16" i="6"/>
  <c r="B17" i="6"/>
  <c r="D7" i="6"/>
  <c r="D8" i="6"/>
  <c r="C16" i="6"/>
  <c r="C17" i="6"/>
  <c r="C18" i="6"/>
  <c r="B18" i="6"/>
  <c r="C19" i="2"/>
  <c r="C31" i="2"/>
  <c r="D19" i="2"/>
  <c r="D31" i="2"/>
  <c r="C26" i="2"/>
  <c r="D26" i="2"/>
  <c r="C36" i="2"/>
  <c r="D36" i="2"/>
  <c r="C41" i="2"/>
  <c r="D41" i="2"/>
  <c r="D46" i="2"/>
  <c r="C46" i="2"/>
  <c r="H46" i="2"/>
  <c r="C18" i="5"/>
  <c r="D18" i="5"/>
  <c r="C12" i="5"/>
  <c r="D12" i="5"/>
  <c r="D49" i="2"/>
  <c r="C49" i="2"/>
  <c r="D48" i="2"/>
  <c r="C48" i="2"/>
  <c r="D47" i="2"/>
  <c r="C47" i="2"/>
  <c r="C12" i="2"/>
  <c r="C17" i="2"/>
  <c r="D12" i="2"/>
  <c r="D17" i="2"/>
  <c r="G49" i="2"/>
  <c r="F49" i="2"/>
  <c r="G48" i="2"/>
  <c r="F48" i="2"/>
  <c r="G47" i="2"/>
  <c r="F47" i="2"/>
  <c r="G46" i="2"/>
  <c r="F46" i="2"/>
  <c r="B15" i="1"/>
  <c r="B14" i="1"/>
  <c r="B9" i="1"/>
  <c r="B10" i="1"/>
</calcChain>
</file>

<file path=xl/sharedStrings.xml><?xml version="1.0" encoding="utf-8"?>
<sst xmlns="http://schemas.openxmlformats.org/spreadsheetml/2006/main" count="162" uniqueCount="88">
  <si>
    <t xml:space="preserve">Expérience 1 : Force électromotrice de la pile Daniell  </t>
  </si>
  <si>
    <t>Mise en place de la pile</t>
  </si>
  <si>
    <t>demi-pile de cuivre</t>
  </si>
  <si>
    <t>concentration</t>
  </si>
  <si>
    <t>volume</t>
  </si>
  <si>
    <t>0,1 mol/L</t>
  </si>
  <si>
    <t>50mL</t>
  </si>
  <si>
    <t>demi-pile de zinc</t>
  </si>
  <si>
    <t xml:space="preserve">préparation de la solution saturée </t>
  </si>
  <si>
    <t>méthode utilisée</t>
  </si>
  <si>
    <t>incertitude</t>
  </si>
  <si>
    <t xml:space="preserve">Burette graduée 25mL </t>
  </si>
  <si>
    <t xml:space="preserve">   Ks valeur</t>
  </si>
  <si>
    <t>ln(Ks)</t>
  </si>
  <si>
    <t>1/T</t>
  </si>
  <si>
    <t>Température (K)</t>
  </si>
  <si>
    <t>ln(incertitude)</t>
  </si>
  <si>
    <t>fem Pile Daniell (V)</t>
  </si>
  <si>
    <t>Constante de Faraday s.A/mol</t>
  </si>
  <si>
    <t>R (J/(mol.K))</t>
  </si>
  <si>
    <t>Constante d'équlibre K°</t>
  </si>
  <si>
    <t>Température de la salle (K)</t>
  </si>
  <si>
    <t xml:space="preserve">Constantes </t>
  </si>
  <si>
    <t>Enthalpie libre standard ∆rG° (kJ/mol))</t>
  </si>
  <si>
    <t>Valeurs théoriques</t>
  </si>
  <si>
    <t>Valeurs expérimentales</t>
  </si>
  <si>
    <t>Valeur</t>
  </si>
  <si>
    <t>Masse molaire NaOH</t>
  </si>
  <si>
    <t>concentration OH- (mol/L)</t>
  </si>
  <si>
    <t>Grandeur mesurée</t>
  </si>
  <si>
    <t>pipette jaugée</t>
  </si>
  <si>
    <t>masse NaOH (g)</t>
  </si>
  <si>
    <t xml:space="preserve">fiole de 100mL </t>
  </si>
  <si>
    <t xml:space="preserve">balance </t>
  </si>
  <si>
    <t>Concentration en HO- (mol/L)</t>
  </si>
  <si>
    <t>préparation solution titrante de soude  à 0,1 mol/L</t>
  </si>
  <si>
    <t>Concentration en HO- de la solution mère (mol/L)</t>
  </si>
  <si>
    <t>Concentration fille en HO- (mol/L)</t>
  </si>
  <si>
    <t xml:space="preserve">Pipette jaugée (20mL) </t>
  </si>
  <si>
    <t>Fiole jaugée (100mL)</t>
  </si>
  <si>
    <t>Volume (L)</t>
  </si>
  <si>
    <t>Volume de la solution d'acide benzoïque saturée (L)</t>
  </si>
  <si>
    <t>Volume solution initial (NaOH(aq)) (L)</t>
  </si>
  <si>
    <t>Volume de la solution finale (L)</t>
  </si>
  <si>
    <t>Volume équivalent (L)</t>
  </si>
  <si>
    <t>Ks de l'acide benzoïque</t>
  </si>
  <si>
    <t>titrage pH métrique de la solution d'acide benzoïque à 25°C</t>
  </si>
  <si>
    <t>titrage pH métrique de la solution d'acide benzoïque à 0°C</t>
  </si>
  <si>
    <t>titrage pH métrique de la solution d'acide benzoïque à 10°C</t>
  </si>
  <si>
    <t>titrage pH métrique de la solution d'acide benzoïque à 50°C</t>
  </si>
  <si>
    <t>Ks (0°C) de l'acide benzoïque</t>
  </si>
  <si>
    <t>Ks(10°C) de l'acide benzoïque</t>
  </si>
  <si>
    <t>Ks( 25°C) de l'acide benzoïque</t>
  </si>
  <si>
    <t>Ks(50°C) de l'acide benzoïque</t>
  </si>
  <si>
    <t xml:space="preserve">0°C </t>
  </si>
  <si>
    <t xml:space="preserve">10°C </t>
  </si>
  <si>
    <t xml:space="preserve">25°C </t>
  </si>
  <si>
    <t xml:space="preserve">50°C </t>
  </si>
  <si>
    <t>Dillution: préparation solution titrante de soude  à 2.10^-2 mol/L</t>
  </si>
  <si>
    <t>Titrer avec la soude à 10-1 mol/L</t>
  </si>
  <si>
    <t>Titrer avec la soude à 2.10-2 mol/L</t>
  </si>
  <si>
    <t>Ne pas la faire</t>
  </si>
  <si>
    <t>Conductivité molaire ionique</t>
  </si>
  <si>
    <t>Ions</t>
  </si>
  <si>
    <t>Benzoate</t>
  </si>
  <si>
    <t>Oxonium</t>
  </si>
  <si>
    <t>Conductivité molaire ionique à 25°C (mS.m2/mol)</t>
  </si>
  <si>
    <t>pKa</t>
  </si>
  <si>
    <t>Constante de dissociation</t>
  </si>
  <si>
    <t>Conductivité σ (mS.m-1)</t>
  </si>
  <si>
    <t>Ka</t>
  </si>
  <si>
    <t>RESULTATS</t>
  </si>
  <si>
    <t>Grandeur</t>
  </si>
  <si>
    <t>Incertitude</t>
  </si>
  <si>
    <t xml:space="preserve">On mesure la conductivité d'une solution d'acide benzoïque à 10-2 mol.L-1 à 25°C </t>
  </si>
  <si>
    <t>Expérience 2 : détermination du Ks  à différentes températures</t>
  </si>
  <si>
    <t>Dtermination du Ka de l'acide benzoïque par conductimétrie(25°C)</t>
  </si>
  <si>
    <t>la pente est égale à -∆rH°/R</t>
  </si>
  <si>
    <t>titrage pH métrique ou coloriméétrique  de la solution d'acide benzoïque à 25°C</t>
  </si>
  <si>
    <t>masse PhCOOH (g)</t>
  </si>
  <si>
    <t>Concentration en PhCOOH (mol/L)</t>
  </si>
  <si>
    <t>concentration PhCOOH (mol/L)</t>
  </si>
  <si>
    <t>préparation solution d'acide benzoïque  à 10-2 mol/L</t>
  </si>
  <si>
    <t>Concentration en PhCOOH (mol/m3)</t>
  </si>
  <si>
    <t>Mesure de la conductivité</t>
  </si>
  <si>
    <t>Masse molaire NaOH (g/mol)</t>
  </si>
  <si>
    <t>Expérience 2 : détermination du Ks de l'acide benzoïque à 25°C</t>
  </si>
  <si>
    <t>Masse molaire PhCOOH (g/mol)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</si>
</sst>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78EC"/>
        <bgColor indexed="64"/>
      </patternFill>
    </fill>
    <fill>
      <patternFill patternType="solid">
        <fgColor rgb="FFF0A07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5AE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55AE7"/>
        <bgColor rgb="FF000000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10" borderId="17" xfId="0" applyFill="1" applyBorder="1"/>
    <xf numFmtId="0" fontId="2" fillId="9" borderId="18" xfId="0" applyFont="1" applyFill="1" applyBorder="1"/>
    <xf numFmtId="0" fontId="0" fillId="7" borderId="19" xfId="0" applyFill="1" applyBorder="1"/>
    <xf numFmtId="0" fontId="0" fillId="0" borderId="20" xfId="0" applyBorder="1"/>
    <xf numFmtId="0" fontId="0" fillId="0" borderId="21" xfId="0" applyNumberFormat="1" applyBorder="1" applyAlignment="1"/>
    <xf numFmtId="0" fontId="0" fillId="0" borderId="22" xfId="0" applyNumberFormat="1" applyBorder="1"/>
    <xf numFmtId="0" fontId="0" fillId="0" borderId="21" xfId="0" applyBorder="1" applyAlignment="1"/>
    <xf numFmtId="0" fontId="0" fillId="0" borderId="23" xfId="0" applyBorder="1"/>
    <xf numFmtId="0" fontId="0" fillId="0" borderId="24" xfId="0" applyBorder="1" applyAlignment="1"/>
    <xf numFmtId="0" fontId="4" fillId="3" borderId="0" xfId="0" applyFont="1" applyFill="1" applyAlignment="1"/>
    <xf numFmtId="4" fontId="0" fillId="0" borderId="4" xfId="0" applyNumberFormat="1" applyBorder="1"/>
    <xf numFmtId="11" fontId="0" fillId="0" borderId="4" xfId="0" applyNumberFormat="1" applyBorder="1"/>
    <xf numFmtId="0" fontId="7" fillId="0" borderId="4" xfId="0" applyFont="1" applyBorder="1"/>
    <xf numFmtId="0" fontId="2" fillId="0" borderId="0" xfId="0" applyFont="1"/>
    <xf numFmtId="0" fontId="0" fillId="0" borderId="0" xfId="0" applyBorder="1" applyAlignment="1"/>
    <xf numFmtId="0" fontId="0" fillId="4" borderId="0" xfId="0" applyFill="1" applyBorder="1" applyAlignment="1"/>
    <xf numFmtId="0" fontId="0" fillId="5" borderId="4" xfId="0" applyFill="1" applyBorder="1" applyAlignment="1"/>
    <xf numFmtId="0" fontId="0" fillId="0" borderId="4" xfId="0" applyBorder="1" applyAlignment="1"/>
    <xf numFmtId="0" fontId="0" fillId="11" borderId="4" xfId="0" applyFill="1" applyBorder="1"/>
    <xf numFmtId="0" fontId="0" fillId="11" borderId="4" xfId="0" applyFill="1" applyBorder="1" applyAlignment="1"/>
    <xf numFmtId="0" fontId="1" fillId="12" borderId="0" xfId="0" applyFont="1" applyFill="1" applyAlignment="1"/>
    <xf numFmtId="0" fontId="3" fillId="12" borderId="0" xfId="0" applyFont="1" applyFill="1" applyAlignment="1"/>
    <xf numFmtId="0" fontId="0" fillId="4" borderId="28" xfId="0" applyFill="1" applyBorder="1" applyAlignment="1">
      <alignment horizontal="center"/>
    </xf>
    <xf numFmtId="0" fontId="0" fillId="6" borderId="4" xfId="0" applyFill="1" applyBorder="1" applyAlignment="1"/>
    <xf numFmtId="0" fontId="8" fillId="0" borderId="0" xfId="0" applyFont="1"/>
    <xf numFmtId="0" fontId="0" fillId="0" borderId="4" xfId="0" applyFill="1" applyBorder="1"/>
    <xf numFmtId="11" fontId="8" fillId="0" borderId="4" xfId="0" applyNumberFormat="1" applyFont="1" applyBorder="1"/>
    <xf numFmtId="0" fontId="0" fillId="4" borderId="4" xfId="0" applyFill="1" applyBorder="1" applyAlignment="1"/>
    <xf numFmtId="0" fontId="0" fillId="7" borderId="30" xfId="0" applyFill="1" applyBorder="1"/>
    <xf numFmtId="0" fontId="0" fillId="4" borderId="27" xfId="0" applyFill="1" applyBorder="1" applyAlignment="1"/>
    <xf numFmtId="0" fontId="0" fillId="0" borderId="27" xfId="0" applyBorder="1"/>
    <xf numFmtId="0" fontId="0" fillId="4" borderId="31" xfId="0" applyFill="1" applyBorder="1" applyAlignment="1"/>
    <xf numFmtId="0" fontId="0" fillId="0" borderId="28" xfId="0" applyBorder="1" applyAlignment="1"/>
    <xf numFmtId="0" fontId="0" fillId="15" borderId="0" xfId="0" applyFill="1"/>
    <xf numFmtId="11" fontId="0" fillId="15" borderId="0" xfId="0" applyNumberFormat="1" applyFill="1"/>
    <xf numFmtId="0" fontId="8" fillId="16" borderId="27" xfId="0" applyFont="1" applyFill="1" applyBorder="1"/>
    <xf numFmtId="0" fontId="8" fillId="16" borderId="0" xfId="0" applyFont="1" applyFill="1"/>
    <xf numFmtId="0" fontId="8" fillId="0" borderId="29" xfId="0" applyFont="1" applyBorder="1"/>
    <xf numFmtId="0" fontId="8" fillId="17" borderId="29" xfId="0" applyFont="1" applyFill="1" applyBorder="1"/>
    <xf numFmtId="0" fontId="8" fillId="18" borderId="21" xfId="0" applyFont="1" applyFill="1" applyBorder="1"/>
    <xf numFmtId="0" fontId="8" fillId="20" borderId="0" xfId="0" applyFont="1" applyFill="1"/>
    <xf numFmtId="11" fontId="8" fillId="20" borderId="0" xfId="0" applyNumberFormat="1" applyFont="1" applyFill="1"/>
    <xf numFmtId="11" fontId="0" fillId="0" borderId="22" xfId="0" applyNumberFormat="1" applyBorder="1"/>
    <xf numFmtId="11" fontId="0" fillId="0" borderId="16" xfId="0" applyNumberFormat="1" applyBorder="1"/>
    <xf numFmtId="11" fontId="2" fillId="8" borderId="4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30" xfId="0" applyNumberFormat="1" applyBorder="1"/>
    <xf numFmtId="11" fontId="8" fillId="0" borderId="28" xfId="0" applyNumberFormat="1" applyFont="1" applyBorder="1"/>
    <xf numFmtId="0" fontId="0" fillId="14" borderId="0" xfId="0" applyFill="1"/>
    <xf numFmtId="11" fontId="9" fillId="19" borderId="29" xfId="0" applyNumberFormat="1" applyFont="1" applyFill="1" applyBorder="1"/>
    <xf numFmtId="0" fontId="0" fillId="0" borderId="4" xfId="0" applyNumberFormat="1" applyBorder="1"/>
    <xf numFmtId="0" fontId="4" fillId="0" borderId="4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ln(Ks)=f(1/T)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27152230971129"/>
          <c:y val="0.0833333333333333"/>
          <c:w val="0.886347331583552"/>
          <c:h val="0.6924558909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 2 = Ks acide benzoïque 25°C'!$G$45</c:f>
              <c:strCache>
                <c:ptCount val="1"/>
                <c:pt idx="0">
                  <c:v>1/T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30309514081189"/>
                  <c:y val="-0.275746634321884"/>
                </c:manualLayout>
              </c:layout>
              <c:numFmt formatCode="General" sourceLinked="0"/>
            </c:trendlineLbl>
          </c:trendline>
          <c:xVal>
            <c:numRef>
              <c:f>'Exp 2 = Ks acide benzoïque 25°C'!$G$46:$G$49</c:f>
              <c:numCache>
                <c:formatCode>General</c:formatCode>
                <c:ptCount val="4"/>
                <c:pt idx="0">
                  <c:v>0.00366300366300366</c:v>
                </c:pt>
                <c:pt idx="1">
                  <c:v>0.00353356890459364</c:v>
                </c:pt>
                <c:pt idx="2">
                  <c:v>0.00336700336700337</c:v>
                </c:pt>
                <c:pt idx="3">
                  <c:v>0.00309597523219814</c:v>
                </c:pt>
              </c:numCache>
            </c:numRef>
          </c:xVal>
          <c:yVal>
            <c:numRef>
              <c:f>'Exp 2 = Ks acide benzoïque 25°C'!$F$46:$F$49</c:f>
              <c:numCache>
                <c:formatCode>General</c:formatCode>
                <c:ptCount val="4"/>
                <c:pt idx="0">
                  <c:v>-4.199630075067287</c:v>
                </c:pt>
                <c:pt idx="1">
                  <c:v>-4.07446693211328</c:v>
                </c:pt>
                <c:pt idx="2">
                  <c:v>-3.794164966959122</c:v>
                </c:pt>
                <c:pt idx="3">
                  <c:v>-3.506482894507341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94040"/>
        <c:axId val="2140205720"/>
      </c:scatterChart>
      <c:valAx>
        <c:axId val="214089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 en K-1</a:t>
                </a:r>
              </a:p>
            </c:rich>
          </c:tx>
          <c:layout>
            <c:manualLayout>
              <c:xMode val="edge"/>
              <c:yMode val="edge"/>
              <c:x val="0.432006727041931"/>
              <c:y val="0.896020570455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0205720"/>
        <c:crossesAt val="-5.0"/>
        <c:crossBetween val="midCat"/>
      </c:valAx>
      <c:valAx>
        <c:axId val="2140205720"/>
        <c:scaling>
          <c:orientation val="minMax"/>
          <c:max val="-3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>
            <c:manualLayout>
              <c:xMode val="edge"/>
              <c:yMode val="edge"/>
              <c:x val="0.0192634571648779"/>
              <c:y val="0.01239437072261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0894040"/>
        <c:crossesAt val="-4.3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1240117</xdr:colOff>
      <xdr:row>22</xdr:row>
      <xdr:rowOff>119530</xdr:rowOff>
    </xdr:from>
    <xdr:to>
      <xdr:col>10</xdr:col>
      <xdr:colOff>253999</xdr:colOff>
      <xdr:row>42</xdr:row>
      <xdr:rowOff>19423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5" sqref="D15"/>
    </sheetView>
  </sheetViews>
  <sheetFormatPr baseColWidth="10" defaultColWidth="9.1640625" defaultRowHeight="14" x14ac:dyDescent="0"/>
  <cols>
    <col min="1" max="1" width="31.6640625" customWidth="1"/>
    <col min="3" max="3" width="14.6640625" customWidth="1"/>
  </cols>
  <sheetData>
    <row r="1" spans="1:7">
      <c r="A1" s="69" t="s">
        <v>0</v>
      </c>
      <c r="B1" s="70"/>
      <c r="C1" s="70"/>
      <c r="D1" s="70"/>
      <c r="E1" s="70"/>
      <c r="F1" s="70"/>
      <c r="G1" s="70"/>
    </row>
    <row r="2" spans="1:7" ht="15" thickBot="1">
      <c r="B2" s="24" t="s">
        <v>1</v>
      </c>
      <c r="C2" s="24"/>
      <c r="D2" s="24"/>
      <c r="E2" s="24"/>
    </row>
    <row r="3" spans="1:7" ht="15" thickBot="1">
      <c r="C3" s="3" t="s">
        <v>3</v>
      </c>
      <c r="D3" s="4" t="s">
        <v>4</v>
      </c>
    </row>
    <row r="4" spans="1:7">
      <c r="A4" s="71" t="s">
        <v>2</v>
      </c>
      <c r="B4" s="72"/>
      <c r="C4" s="5" t="s">
        <v>5</v>
      </c>
      <c r="D4" s="5" t="s">
        <v>6</v>
      </c>
    </row>
    <row r="5" spans="1:7" ht="15" thickBot="1">
      <c r="A5" s="1" t="s">
        <v>7</v>
      </c>
      <c r="B5" s="2"/>
      <c r="C5" s="6" t="s">
        <v>5</v>
      </c>
      <c r="D5" s="6" t="s">
        <v>6</v>
      </c>
    </row>
    <row r="7" spans="1:7">
      <c r="A7" s="27" t="s">
        <v>24</v>
      </c>
      <c r="B7" s="5"/>
    </row>
    <row r="8" spans="1:7">
      <c r="A8" s="5" t="s">
        <v>17</v>
      </c>
      <c r="B8" s="5">
        <v>1.1000000000000001</v>
      </c>
    </row>
    <row r="9" spans="1:7">
      <c r="A9" s="5" t="s">
        <v>23</v>
      </c>
      <c r="B9" s="5">
        <f>-2*B20*B8/1000</f>
        <v>-212.26773238000001</v>
      </c>
    </row>
    <row r="10" spans="1:7">
      <c r="A10" s="5" t="s">
        <v>20</v>
      </c>
      <c r="B10" s="26">
        <f>EXP(-B9*1000/(B21*B22))</f>
        <v>9.129145763283992E+36</v>
      </c>
    </row>
    <row r="12" spans="1:7">
      <c r="A12" s="27" t="s">
        <v>25</v>
      </c>
      <c r="B12" s="27"/>
    </row>
    <row r="13" spans="1:7">
      <c r="A13" s="5" t="s">
        <v>17</v>
      </c>
      <c r="B13" s="5">
        <v>1.1000000000000001</v>
      </c>
    </row>
    <row r="14" spans="1:7">
      <c r="A14" s="5" t="s">
        <v>23</v>
      </c>
      <c r="B14" s="5">
        <f>-2*B20*B13/1000</f>
        <v>-212.26773238000001</v>
      </c>
    </row>
    <row r="15" spans="1:7">
      <c r="A15" s="5" t="s">
        <v>20</v>
      </c>
      <c r="B15" s="26">
        <f>EXP(-B14*1000/(B21*B22))</f>
        <v>9.129145763283992E+36</v>
      </c>
    </row>
    <row r="19" spans="1:2">
      <c r="A19" s="27" t="s">
        <v>22</v>
      </c>
      <c r="B19" s="5"/>
    </row>
    <row r="20" spans="1:2">
      <c r="A20" s="5" t="s">
        <v>18</v>
      </c>
      <c r="B20" s="25">
        <v>96485.332899999994</v>
      </c>
    </row>
    <row r="21" spans="1:2">
      <c r="A21" s="5" t="s">
        <v>19</v>
      </c>
      <c r="B21" s="5">
        <v>8.3140000000000001</v>
      </c>
    </row>
    <row r="22" spans="1:2">
      <c r="A22" s="5" t="s">
        <v>21</v>
      </c>
      <c r="B22" s="5">
        <v>300</v>
      </c>
    </row>
  </sheetData>
  <mergeCells count="2">
    <mergeCell ref="A1:G1"/>
    <mergeCell ref="A4:B4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zoomScalePageLayoutView="85" workbookViewId="0">
      <selection activeCell="C18" sqref="C18"/>
    </sheetView>
  </sheetViews>
  <sheetFormatPr baseColWidth="10" defaultRowHeight="14" x14ac:dyDescent="0"/>
  <cols>
    <col min="1" max="1" width="42.6640625" customWidth="1"/>
    <col min="2" max="2" width="24.1640625" customWidth="1"/>
    <col min="3" max="3" width="12.1640625" bestFit="1" customWidth="1"/>
    <col min="4" max="4" width="15.5" customWidth="1"/>
    <col min="6" max="6" width="22.83203125" customWidth="1"/>
    <col min="7" max="7" width="19.5" customWidth="1"/>
    <col min="8" max="8" width="16.5" customWidth="1"/>
  </cols>
  <sheetData>
    <row r="1" spans="1:7">
      <c r="A1" s="35" t="s">
        <v>86</v>
      </c>
      <c r="B1" s="36"/>
      <c r="C1" s="36"/>
      <c r="D1" s="36"/>
      <c r="E1" s="36"/>
    </row>
    <row r="3" spans="1:7">
      <c r="A3" s="37" t="s">
        <v>8</v>
      </c>
      <c r="B3" s="37"/>
      <c r="C3" s="37"/>
      <c r="D3" s="30"/>
      <c r="F3" s="28" t="s">
        <v>85</v>
      </c>
      <c r="G3">
        <v>39.997</v>
      </c>
    </row>
    <row r="4" spans="1:7">
      <c r="A4" s="33" t="s">
        <v>29</v>
      </c>
      <c r="B4" s="34" t="s">
        <v>9</v>
      </c>
      <c r="C4" s="33" t="s">
        <v>26</v>
      </c>
      <c r="D4" s="33" t="s">
        <v>10</v>
      </c>
      <c r="F4" s="29"/>
    </row>
    <row r="5" spans="1:7">
      <c r="A5" s="5" t="s">
        <v>41</v>
      </c>
      <c r="B5" s="32" t="s">
        <v>30</v>
      </c>
      <c r="C5" s="5">
        <v>0.02</v>
      </c>
      <c r="D5" s="26">
        <v>2.9999999999999997E-4</v>
      </c>
    </row>
    <row r="8" spans="1:7">
      <c r="A8" s="73" t="s">
        <v>35</v>
      </c>
      <c r="B8" s="73"/>
      <c r="C8" s="73"/>
      <c r="D8" s="73"/>
    </row>
    <row r="9" spans="1:7">
      <c r="A9" s="33" t="s">
        <v>29</v>
      </c>
      <c r="B9" s="34" t="s">
        <v>9</v>
      </c>
      <c r="C9" s="33" t="s">
        <v>26</v>
      </c>
      <c r="D9" s="33" t="s">
        <v>10</v>
      </c>
    </row>
    <row r="10" spans="1:7">
      <c r="A10" s="5" t="s">
        <v>31</v>
      </c>
      <c r="B10" s="32" t="s">
        <v>33</v>
      </c>
      <c r="C10" s="5">
        <v>0.4</v>
      </c>
      <c r="D10" s="5">
        <v>0.05</v>
      </c>
    </row>
    <row r="11" spans="1:7">
      <c r="A11" s="5" t="s">
        <v>40</v>
      </c>
      <c r="B11" s="32" t="s">
        <v>32</v>
      </c>
      <c r="C11" s="5">
        <v>0.1</v>
      </c>
      <c r="D11" s="26">
        <v>1E-4</v>
      </c>
    </row>
    <row r="12" spans="1:7">
      <c r="A12" s="5" t="s">
        <v>34</v>
      </c>
      <c r="B12" s="38" t="s">
        <v>28</v>
      </c>
      <c r="C12" s="5">
        <f>(C10/G3)/C11</f>
        <v>0.10000750056254219</v>
      </c>
      <c r="D12" s="26">
        <f>C12*SQRT((D10/C10)^2+(D11/C11)^2)</f>
        <v>1.250133759391975E-2</v>
      </c>
    </row>
    <row r="14" spans="1:7" ht="15" customHeight="1"/>
    <row r="15" spans="1:7">
      <c r="A15" s="44" t="s">
        <v>78</v>
      </c>
      <c r="B15" s="42"/>
      <c r="C15" s="42"/>
      <c r="D15" s="46"/>
    </row>
    <row r="16" spans="1:7">
      <c r="A16" s="45" t="s">
        <v>29</v>
      </c>
      <c r="B16" s="31" t="s">
        <v>9</v>
      </c>
      <c r="C16" s="5" t="s">
        <v>26</v>
      </c>
      <c r="D16" s="43" t="s">
        <v>10</v>
      </c>
    </row>
    <row r="17" spans="1:4">
      <c r="A17" s="45" t="s">
        <v>44</v>
      </c>
      <c r="B17" s="32" t="s">
        <v>11</v>
      </c>
      <c r="C17" s="59">
        <v>4.1000000000000003E-3</v>
      </c>
      <c r="D17" s="63">
        <v>5.0000000000000002E-5</v>
      </c>
    </row>
    <row r="18" spans="1:4">
      <c r="A18" s="48" t="s">
        <v>45</v>
      </c>
      <c r="B18" s="48"/>
      <c r="C18" s="48">
        <f>(C12*C17)/C5</f>
        <v>2.0501537615321152E-2</v>
      </c>
      <c r="D18" s="49">
        <f>C18*SQRT( (D12/C12)^2 + (D17/C17)^2+(D5/C5)^2 )</f>
        <v>2.5932395658498984E-3</v>
      </c>
    </row>
  </sheetData>
  <mergeCells count="1">
    <mergeCell ref="A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31" sqref="C31"/>
    </sheetView>
  </sheetViews>
  <sheetFormatPr baseColWidth="10" defaultRowHeight="14" x14ac:dyDescent="0"/>
  <cols>
    <col min="1" max="1" width="41.5" customWidth="1"/>
    <col min="2" max="2" width="26" customWidth="1"/>
    <col min="3" max="3" width="14.83203125" customWidth="1"/>
  </cols>
  <sheetData>
    <row r="1" spans="1:9">
      <c r="A1" s="35" t="s">
        <v>76</v>
      </c>
      <c r="B1" s="35"/>
      <c r="C1" s="35"/>
      <c r="D1" s="35"/>
      <c r="E1" s="35"/>
    </row>
    <row r="3" spans="1:9">
      <c r="A3" s="73" t="s">
        <v>82</v>
      </c>
      <c r="B3" s="73"/>
      <c r="C3" s="73"/>
      <c r="D3" s="73"/>
    </row>
    <row r="4" spans="1:9">
      <c r="A4" s="33" t="s">
        <v>29</v>
      </c>
      <c r="B4" s="34" t="s">
        <v>9</v>
      </c>
      <c r="C4" s="33" t="s">
        <v>26</v>
      </c>
      <c r="D4" s="33" t="s">
        <v>10</v>
      </c>
    </row>
    <row r="5" spans="1:9">
      <c r="A5" s="5" t="s">
        <v>79</v>
      </c>
      <c r="B5" s="32" t="s">
        <v>33</v>
      </c>
      <c r="C5" s="5">
        <v>0.12</v>
      </c>
      <c r="D5" s="5">
        <v>0.01</v>
      </c>
    </row>
    <row r="6" spans="1:9">
      <c r="A6" s="5" t="s">
        <v>40</v>
      </c>
      <c r="B6" t="s">
        <v>32</v>
      </c>
      <c r="C6" s="5">
        <v>0.1</v>
      </c>
      <c r="D6" s="26">
        <v>1E-4</v>
      </c>
    </row>
    <row r="7" spans="1:9">
      <c r="A7" s="5" t="s">
        <v>80</v>
      </c>
      <c r="B7" t="s">
        <v>81</v>
      </c>
      <c r="C7" s="5">
        <f>(C5/B24)/C6</f>
        <v>9.8264002620373388E-3</v>
      </c>
      <c r="D7" s="67">
        <f>C7*SQRT((D5/C5)^2+(D6/C6)^2)</f>
        <v>8.1892564478233427E-4</v>
      </c>
    </row>
    <row r="8" spans="1:9">
      <c r="A8" s="38" t="s">
        <v>83</v>
      </c>
      <c r="B8" s="38" t="s">
        <v>81</v>
      </c>
      <c r="C8" s="38">
        <f>C7*1000</f>
        <v>9.826400262037339</v>
      </c>
      <c r="D8" s="38">
        <f>C8*D7/C7</f>
        <v>0.81892564478233432</v>
      </c>
    </row>
    <row r="10" spans="1:9">
      <c r="A10" s="74" t="s">
        <v>84</v>
      </c>
      <c r="B10" s="74"/>
      <c r="C10" s="74"/>
      <c r="D10" s="78" t="s">
        <v>74</v>
      </c>
      <c r="E10" s="78"/>
      <c r="F10" s="78"/>
      <c r="G10" s="78"/>
      <c r="H10" s="78"/>
      <c r="I10" s="78"/>
    </row>
    <row r="11" spans="1:9">
      <c r="A11" s="5" t="s">
        <v>72</v>
      </c>
      <c r="B11" s="5" t="s">
        <v>26</v>
      </c>
      <c r="C11" s="5" t="s">
        <v>73</v>
      </c>
      <c r="D11" s="78"/>
      <c r="E11" s="78"/>
      <c r="F11" s="78"/>
      <c r="G11" s="78"/>
      <c r="H11" s="78"/>
      <c r="I11" s="78"/>
    </row>
    <row r="12" spans="1:9">
      <c r="A12" s="5" t="s">
        <v>69</v>
      </c>
      <c r="B12" s="67">
        <v>28.88</v>
      </c>
      <c r="C12" s="5">
        <v>0.01</v>
      </c>
      <c r="D12" s="78"/>
      <c r="E12" s="78"/>
      <c r="F12" s="78"/>
      <c r="G12" s="78"/>
      <c r="H12" s="78"/>
      <c r="I12" s="78"/>
    </row>
    <row r="14" spans="1:9">
      <c r="A14" s="75" t="s">
        <v>71</v>
      </c>
      <c r="B14" s="76"/>
      <c r="C14" s="77"/>
    </row>
    <row r="15" spans="1:9">
      <c r="A15" s="5" t="s">
        <v>72</v>
      </c>
      <c r="B15" s="5" t="s">
        <v>26</v>
      </c>
      <c r="C15" s="5" t="s">
        <v>73</v>
      </c>
    </row>
    <row r="16" spans="1:9">
      <c r="A16" s="5" t="s">
        <v>68</v>
      </c>
      <c r="B16" s="5">
        <f>B12/(C8*(B22+C22))</f>
        <v>7.6917595742824765E-2</v>
      </c>
      <c r="C16" s="26">
        <f>B16*SQRT((D8/C8)^2+(C12/B12)^2)</f>
        <v>6.4103164627651206E-3</v>
      </c>
    </row>
    <row r="17" spans="1:3">
      <c r="A17" s="5" t="s">
        <v>70</v>
      </c>
      <c r="B17" s="5">
        <f>(C7*B16^2)/(1-B16)</f>
        <v>6.2980394903306897E-5</v>
      </c>
      <c r="C17" s="26">
        <f>B17*SQRT((D7/C7)^2+2*(C16/B16)^2+(C16/(1-B16))^2)</f>
        <v>9.101658300331535E-6</v>
      </c>
    </row>
    <row r="18" spans="1:3">
      <c r="A18" s="5" t="s">
        <v>67</v>
      </c>
      <c r="B18" s="5">
        <f>-LOG(B17)</f>
        <v>4.200794620552613</v>
      </c>
      <c r="C18" s="67">
        <f>C17/B17</f>
        <v>0.14451573881531246</v>
      </c>
    </row>
    <row r="20" spans="1:3">
      <c r="A20" s="75" t="s">
        <v>62</v>
      </c>
      <c r="B20" s="76"/>
      <c r="C20" s="77"/>
    </row>
    <row r="21" spans="1:3">
      <c r="A21" s="5" t="s">
        <v>63</v>
      </c>
      <c r="B21" s="5" t="s">
        <v>64</v>
      </c>
      <c r="C21" s="5" t="s">
        <v>65</v>
      </c>
    </row>
    <row r="22" spans="1:3">
      <c r="A22" s="5" t="s">
        <v>66</v>
      </c>
      <c r="B22" s="68">
        <v>3.23</v>
      </c>
      <c r="C22" s="5">
        <v>34.979999999999997</v>
      </c>
    </row>
    <row r="24" spans="1:3">
      <c r="A24" s="42" t="s">
        <v>87</v>
      </c>
      <c r="B24" s="5">
        <v>122.12</v>
      </c>
      <c r="C24" s="5"/>
    </row>
  </sheetData>
  <mergeCells count="5">
    <mergeCell ref="A3:D3"/>
    <mergeCell ref="A10:C10"/>
    <mergeCell ref="A14:C14"/>
    <mergeCell ref="D10:I12"/>
    <mergeCell ref="A20:C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5" zoomScale="85" zoomScaleNormal="85" zoomScalePageLayoutView="85" workbookViewId="0">
      <selection activeCell="I49" sqref="I49"/>
    </sheetView>
  </sheetViews>
  <sheetFormatPr baseColWidth="10" defaultRowHeight="14" x14ac:dyDescent="0"/>
  <cols>
    <col min="1" max="1" width="42.6640625" customWidth="1"/>
    <col min="2" max="2" width="25.83203125" customWidth="1"/>
    <col min="3" max="3" width="18.83203125" customWidth="1"/>
    <col min="4" max="4" width="19.83203125" customWidth="1"/>
    <col min="5" max="5" width="26.1640625" customWidth="1"/>
    <col min="6" max="6" width="17.6640625" customWidth="1"/>
    <col min="7" max="7" width="19.5" customWidth="1"/>
    <col min="8" max="8" width="16.5" customWidth="1"/>
    <col min="9" max="9" width="17.83203125" customWidth="1"/>
    <col min="11" max="11" width="17.33203125" customWidth="1"/>
    <col min="12" max="12" width="23.5" customWidth="1"/>
  </cols>
  <sheetData>
    <row r="1" spans="1:8">
      <c r="A1" s="35" t="s">
        <v>75</v>
      </c>
      <c r="B1" s="36"/>
      <c r="C1" s="36"/>
      <c r="D1" s="36"/>
      <c r="E1" s="36"/>
    </row>
    <row r="3" spans="1:8">
      <c r="A3" s="74" t="s">
        <v>8</v>
      </c>
      <c r="B3" s="74"/>
      <c r="C3" s="74"/>
      <c r="D3" s="74"/>
      <c r="F3" s="28" t="s">
        <v>27</v>
      </c>
      <c r="G3">
        <v>39.997</v>
      </c>
    </row>
    <row r="4" spans="1:8">
      <c r="A4" s="33" t="s">
        <v>29</v>
      </c>
      <c r="B4" s="34" t="s">
        <v>9</v>
      </c>
      <c r="C4" s="33" t="s">
        <v>26</v>
      </c>
      <c r="D4" s="33" t="s">
        <v>10</v>
      </c>
      <c r="F4" s="29"/>
    </row>
    <row r="5" spans="1:8">
      <c r="A5" s="5" t="s">
        <v>41</v>
      </c>
      <c r="B5" s="32" t="s">
        <v>30</v>
      </c>
      <c r="C5" s="5">
        <v>0.02</v>
      </c>
      <c r="D5" s="26">
        <v>2.9999999999999997E-4</v>
      </c>
    </row>
    <row r="6" spans="1:8">
      <c r="F6" s="79"/>
      <c r="G6" s="79"/>
      <c r="H6" s="79"/>
    </row>
    <row r="7" spans="1:8">
      <c r="F7" s="79"/>
      <c r="G7" s="79"/>
      <c r="H7" s="79"/>
    </row>
    <row r="8" spans="1:8">
      <c r="A8" s="73" t="s">
        <v>35</v>
      </c>
      <c r="B8" s="73"/>
      <c r="C8" s="73"/>
      <c r="D8" s="73"/>
      <c r="F8" s="79"/>
      <c r="G8" s="79"/>
      <c r="H8" s="79"/>
    </row>
    <row r="9" spans="1:8">
      <c r="A9" s="33" t="s">
        <v>29</v>
      </c>
      <c r="B9" s="34" t="s">
        <v>9</v>
      </c>
      <c r="C9" s="33" t="s">
        <v>26</v>
      </c>
      <c r="D9" s="33" t="s">
        <v>10</v>
      </c>
      <c r="F9" s="79"/>
      <c r="G9" s="79"/>
      <c r="H9" s="79"/>
    </row>
    <row r="10" spans="1:8">
      <c r="A10" s="5" t="s">
        <v>31</v>
      </c>
      <c r="B10" s="32" t="s">
        <v>33</v>
      </c>
      <c r="C10" s="5">
        <v>0.4</v>
      </c>
      <c r="D10" s="5">
        <v>0.05</v>
      </c>
      <c r="F10" s="79"/>
      <c r="G10" s="79"/>
      <c r="H10" s="79"/>
    </row>
    <row r="11" spans="1:8">
      <c r="A11" s="5" t="s">
        <v>40</v>
      </c>
      <c r="B11" s="32" t="s">
        <v>32</v>
      </c>
      <c r="C11" s="5">
        <v>0.1</v>
      </c>
      <c r="D11" s="26">
        <v>1E-4</v>
      </c>
    </row>
    <row r="12" spans="1:8">
      <c r="A12" s="5" t="s">
        <v>34</v>
      </c>
      <c r="B12" s="38" t="s">
        <v>28</v>
      </c>
      <c r="C12" s="5">
        <f>(C10/G3)/C11</f>
        <v>0.10000750056254219</v>
      </c>
      <c r="D12" s="26">
        <f>C12*SQRT((D10/C10)^2+(D11/C11)^2)</f>
        <v>1.250133759391975E-2</v>
      </c>
    </row>
    <row r="14" spans="1:8" ht="15" customHeight="1">
      <c r="A14" s="74" t="s">
        <v>58</v>
      </c>
      <c r="B14" s="74"/>
      <c r="C14" s="74"/>
      <c r="D14" s="74"/>
    </row>
    <row r="15" spans="1:8">
      <c r="A15" s="33" t="s">
        <v>29</v>
      </c>
      <c r="B15" s="34" t="s">
        <v>9</v>
      </c>
      <c r="C15" s="33" t="s">
        <v>26</v>
      </c>
      <c r="D15" s="33" t="s">
        <v>10</v>
      </c>
    </row>
    <row r="16" spans="1:8">
      <c r="A16" s="40" t="s">
        <v>42</v>
      </c>
      <c r="B16" s="5" t="s">
        <v>38</v>
      </c>
      <c r="C16" s="26">
        <v>0.02</v>
      </c>
      <c r="D16" s="26">
        <v>3.0000000000000001E-5</v>
      </c>
    </row>
    <row r="17" spans="1:12">
      <c r="A17" s="40" t="s">
        <v>36</v>
      </c>
      <c r="B17" s="5"/>
      <c r="C17" s="5">
        <f>C12</f>
        <v>0.10000750056254219</v>
      </c>
      <c r="D17" s="26">
        <f>D12</f>
        <v>1.250133759391975E-2</v>
      </c>
    </row>
    <row r="18" spans="1:12">
      <c r="A18" s="40" t="s">
        <v>43</v>
      </c>
      <c r="B18" s="5" t="s">
        <v>39</v>
      </c>
      <c r="C18" s="5">
        <v>0.1</v>
      </c>
      <c r="D18" s="26">
        <v>1E-4</v>
      </c>
    </row>
    <row r="19" spans="1:12">
      <c r="A19" s="40" t="s">
        <v>37</v>
      </c>
      <c r="B19" s="5"/>
      <c r="C19" s="5">
        <f>C16*C17/C18</f>
        <v>2.0001500112508439E-2</v>
      </c>
      <c r="D19" s="41">
        <f>C19*SQRT((D18/C18)^2+(D17/C17)^2+(D16/C16)^2)</f>
        <v>2.5005275164468772E-3</v>
      </c>
    </row>
    <row r="22" spans="1:12">
      <c r="A22" s="47"/>
      <c r="B22" s="47"/>
      <c r="C22" s="47"/>
      <c r="D22" s="47"/>
    </row>
    <row r="23" spans="1:12">
      <c r="A23" s="44" t="s">
        <v>47</v>
      </c>
      <c r="B23" s="42"/>
      <c r="C23" s="42"/>
      <c r="D23" s="46"/>
      <c r="E23" s="65" t="s">
        <v>60</v>
      </c>
    </row>
    <row r="24" spans="1:12">
      <c r="A24" s="45" t="s">
        <v>29</v>
      </c>
      <c r="B24" s="31" t="s">
        <v>9</v>
      </c>
      <c r="C24" s="5" t="s">
        <v>26</v>
      </c>
      <c r="D24" s="43" t="s">
        <v>10</v>
      </c>
    </row>
    <row r="25" spans="1:12">
      <c r="A25" s="45" t="s">
        <v>44</v>
      </c>
      <c r="B25" s="32" t="s">
        <v>11</v>
      </c>
      <c r="C25" s="59">
        <v>1.4999999999999999E-2</v>
      </c>
      <c r="D25" s="63">
        <v>5.0000000000000002E-5</v>
      </c>
    </row>
    <row r="26" spans="1:12">
      <c r="A26" s="48" t="s">
        <v>50</v>
      </c>
      <c r="B26" s="48"/>
      <c r="C26" s="48">
        <f>(C19*C25)/C5</f>
        <v>1.5001125084381327E-2</v>
      </c>
      <c r="D26" s="49">
        <f>C26*SQRT( (D19/C19)^2 + (D25/C25)^2+(D5/C5)^2 )</f>
        <v>1.8895083398022662E-3</v>
      </c>
      <c r="L26" t="s">
        <v>77</v>
      </c>
    </row>
    <row r="28" spans="1:12">
      <c r="A28" s="50" t="s">
        <v>48</v>
      </c>
      <c r="B28" s="50"/>
      <c r="C28" s="50"/>
      <c r="D28" s="51"/>
      <c r="E28" s="65" t="s">
        <v>60</v>
      </c>
    </row>
    <row r="29" spans="1:12">
      <c r="A29" s="52" t="s">
        <v>29</v>
      </c>
      <c r="B29" s="53" t="s">
        <v>9</v>
      </c>
      <c r="C29" s="52" t="s">
        <v>26</v>
      </c>
      <c r="D29" s="54" t="s">
        <v>10</v>
      </c>
    </row>
    <row r="30" spans="1:12">
      <c r="A30" s="52" t="s">
        <v>44</v>
      </c>
      <c r="B30" s="52" t="s">
        <v>11</v>
      </c>
      <c r="C30" s="66">
        <v>1.7000000000000001E-2</v>
      </c>
      <c r="D30" s="64">
        <v>5.0000000000000002E-5</v>
      </c>
    </row>
    <row r="31" spans="1:12">
      <c r="A31" s="55" t="s">
        <v>51</v>
      </c>
      <c r="B31" s="55"/>
      <c r="C31" s="55">
        <f>(C19*C30)/C5</f>
        <v>1.7001275095632176E-2</v>
      </c>
      <c r="D31" s="56">
        <f>C31*SQRT( (D19/C19)^2 + (D30/C30)^2+(D5/C5)^2 )</f>
        <v>2.141276718246995E-3</v>
      </c>
    </row>
    <row r="32" spans="1:12">
      <c r="A32" s="39"/>
      <c r="B32" s="39"/>
      <c r="C32" s="39"/>
      <c r="D32" s="39"/>
    </row>
    <row r="33" spans="1:8">
      <c r="A33" s="50" t="s">
        <v>46</v>
      </c>
      <c r="B33" s="50"/>
      <c r="C33" s="50"/>
      <c r="D33" s="51"/>
      <c r="E33" s="65" t="s">
        <v>59</v>
      </c>
    </row>
    <row r="34" spans="1:8">
      <c r="A34" s="52" t="s">
        <v>29</v>
      </c>
      <c r="B34" s="53" t="s">
        <v>9</v>
      </c>
      <c r="C34" s="52" t="s">
        <v>26</v>
      </c>
      <c r="D34" s="54" t="s">
        <v>10</v>
      </c>
    </row>
    <row r="35" spans="1:8">
      <c r="A35" s="52" t="s">
        <v>44</v>
      </c>
      <c r="B35" s="52" t="s">
        <v>11</v>
      </c>
      <c r="C35" s="66">
        <v>4.4999999999999997E-3</v>
      </c>
      <c r="D35" s="64">
        <v>5.0000000000000002E-5</v>
      </c>
    </row>
    <row r="36" spans="1:8">
      <c r="A36" s="55" t="s">
        <v>52</v>
      </c>
      <c r="B36" s="55"/>
      <c r="C36" s="55">
        <f>(C12*C35)/C5</f>
        <v>2.2501687626571992E-2</v>
      </c>
      <c r="D36" s="56">
        <f>C36*SQRT((D12/C12)^2+(D35/C35)^2+(D5/C5)^2)</f>
        <v>2.8439904969594105E-3</v>
      </c>
    </row>
    <row r="38" spans="1:8">
      <c r="A38" s="50" t="s">
        <v>49</v>
      </c>
      <c r="B38" s="50"/>
      <c r="C38" s="50"/>
      <c r="D38" s="51"/>
      <c r="E38" s="65" t="s">
        <v>59</v>
      </c>
    </row>
    <row r="39" spans="1:8">
      <c r="A39" s="52" t="s">
        <v>29</v>
      </c>
      <c r="B39" s="53" t="s">
        <v>9</v>
      </c>
      <c r="C39" s="52" t="s">
        <v>26</v>
      </c>
      <c r="D39" s="54" t="s">
        <v>10</v>
      </c>
    </row>
    <row r="40" spans="1:8">
      <c r="A40" s="52" t="s">
        <v>44</v>
      </c>
      <c r="B40" s="52" t="s">
        <v>11</v>
      </c>
      <c r="C40" s="66">
        <v>6.0000000000000001E-3</v>
      </c>
      <c r="D40" s="64">
        <v>5.0000000000000002E-5</v>
      </c>
    </row>
    <row r="41" spans="1:8">
      <c r="A41" s="55" t="s">
        <v>53</v>
      </c>
      <c r="B41" s="55"/>
      <c r="C41" s="55">
        <f>(C12*C40)/C5</f>
        <v>3.0002250168762661E-2</v>
      </c>
      <c r="D41" s="56">
        <f>C41*SQRT( (D12/C12)^2 + (D40/C40)^2+(D5/C5)^2 )</f>
        <v>3.7855712252995496E-3</v>
      </c>
    </row>
    <row r="44" spans="1:8" ht="15" thickBot="1"/>
    <row r="45" spans="1:8" ht="16" thickTop="1" thickBot="1">
      <c r="B45" s="15" t="s">
        <v>15</v>
      </c>
      <c r="C45" s="16" t="s">
        <v>12</v>
      </c>
      <c r="D45" s="17" t="s">
        <v>10</v>
      </c>
      <c r="F45" s="12" t="s">
        <v>13</v>
      </c>
      <c r="G45" s="8" t="s">
        <v>14</v>
      </c>
      <c r="H45" s="9" t="s">
        <v>16</v>
      </c>
    </row>
    <row r="46" spans="1:8" ht="15" thickTop="1">
      <c r="A46" s="60" t="s">
        <v>54</v>
      </c>
      <c r="B46" s="18">
        <v>273</v>
      </c>
      <c r="C46" s="19">
        <f>C26</f>
        <v>1.5001125084381327E-2</v>
      </c>
      <c r="D46" s="20">
        <f>D26</f>
        <v>1.8895083398022662E-3</v>
      </c>
      <c r="F46" s="13">
        <f>LN(C46)</f>
        <v>-4.1996300750672866</v>
      </c>
      <c r="G46" s="7">
        <f>1/B46</f>
        <v>3.663003663003663E-3</v>
      </c>
      <c r="H46" s="10">
        <f>D46/C46</f>
        <v>0.12595777511178541</v>
      </c>
    </row>
    <row r="47" spans="1:8">
      <c r="A47" s="61" t="s">
        <v>55</v>
      </c>
      <c r="B47" s="18">
        <v>283</v>
      </c>
      <c r="C47" s="19">
        <f>C31</f>
        <v>1.7001275095632176E-2</v>
      </c>
      <c r="D47" s="57">
        <f>D31</f>
        <v>2.141276718246995E-3</v>
      </c>
      <c r="E47" t="s">
        <v>61</v>
      </c>
      <c r="F47" s="13">
        <f t="shared" ref="F47:F49" si="0">LN(C47)</f>
        <v>-4.07446693211328</v>
      </c>
      <c r="G47" s="7">
        <f t="shared" ref="G47:G49" si="1">1/B47</f>
        <v>3.5335689045936395E-3</v>
      </c>
      <c r="H47" s="10">
        <f t="shared" ref="H47:H49" si="2">D47/C47</f>
        <v>0.125948007205478</v>
      </c>
    </row>
    <row r="48" spans="1:8">
      <c r="A48" s="61" t="s">
        <v>56</v>
      </c>
      <c r="B48" s="18">
        <v>297</v>
      </c>
      <c r="C48" s="21">
        <f>C36</f>
        <v>2.2501687626571992E-2</v>
      </c>
      <c r="D48" s="57">
        <f>D36</f>
        <v>2.8439904969594105E-3</v>
      </c>
      <c r="F48" s="13">
        <f t="shared" si="0"/>
        <v>-3.794164966959122</v>
      </c>
      <c r="G48" s="7">
        <f t="shared" si="1"/>
        <v>3.3670033670033669E-3</v>
      </c>
      <c r="H48" s="10">
        <f t="shared" si="2"/>
        <v>0.12639009767431728</v>
      </c>
    </row>
    <row r="49" spans="1:8" ht="15" thickBot="1">
      <c r="A49" s="62" t="s">
        <v>57</v>
      </c>
      <c r="B49" s="22">
        <v>323</v>
      </c>
      <c r="C49" s="23">
        <f>C41</f>
        <v>3.0002250168762661E-2</v>
      </c>
      <c r="D49" s="58">
        <f>D41</f>
        <v>3.7855712252995496E-3</v>
      </c>
      <c r="F49" s="14">
        <f t="shared" si="0"/>
        <v>-3.5064828945073407</v>
      </c>
      <c r="G49" s="11">
        <f t="shared" si="1"/>
        <v>3.0959752321981426E-3</v>
      </c>
      <c r="H49" s="10">
        <f t="shared" si="2"/>
        <v>0.12617624358192173</v>
      </c>
    </row>
    <row r="50" spans="1:8" ht="15" thickTop="1"/>
  </sheetData>
  <mergeCells count="4">
    <mergeCell ref="A8:D8"/>
    <mergeCell ref="A14:D14"/>
    <mergeCell ref="F6:H10"/>
    <mergeCell ref="A3: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 1 = Pile Daniell </vt:lpstr>
      <vt:lpstr>Exp 2 = Ks acide benzoïque  (2)</vt:lpstr>
      <vt:lpstr>Ka de l'acide benzoïque conduct</vt:lpstr>
      <vt:lpstr>Exp 2 = Ks acide benzoïque 25°C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matthis chapon</cp:lastModifiedBy>
  <dcterms:created xsi:type="dcterms:W3CDTF">2015-06-05T18:19:34Z</dcterms:created>
  <dcterms:modified xsi:type="dcterms:W3CDTF">2020-06-22T20:35:32Z</dcterms:modified>
</cp:coreProperties>
</file>