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924" windowHeight="9696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2" l="1"/>
  <c r="G92" i="2"/>
  <c r="I109" i="2" l="1"/>
  <c r="R49" i="2"/>
  <c r="L49" i="2"/>
  <c r="M49" i="2" s="1"/>
  <c r="J49" i="2"/>
  <c r="I49" i="2"/>
  <c r="H49" i="2"/>
  <c r="P49" i="2" s="1"/>
  <c r="R48" i="2"/>
  <c r="L48" i="2"/>
  <c r="M48" i="2" s="1"/>
  <c r="J48" i="2"/>
  <c r="I48" i="2"/>
  <c r="H48" i="2"/>
  <c r="P48" i="2" s="1"/>
  <c r="R47" i="2"/>
  <c r="L47" i="2"/>
  <c r="M47" i="2" s="1"/>
  <c r="J47" i="2"/>
  <c r="I47" i="2"/>
  <c r="H47" i="2"/>
  <c r="K47" i="2" s="1"/>
  <c r="R46" i="2"/>
  <c r="L46" i="2"/>
  <c r="M46" i="2" s="1"/>
  <c r="J46" i="2"/>
  <c r="I46" i="2"/>
  <c r="H46" i="2"/>
  <c r="P46" i="2" s="1"/>
  <c r="R45" i="2"/>
  <c r="L45" i="2"/>
  <c r="M45" i="2" s="1"/>
  <c r="J45" i="2"/>
  <c r="I45" i="2"/>
  <c r="H45" i="2"/>
  <c r="P45" i="2" s="1"/>
  <c r="R44" i="2"/>
  <c r="L44" i="2"/>
  <c r="M44" i="2" s="1"/>
  <c r="J44" i="2"/>
  <c r="I44" i="2"/>
  <c r="H44" i="2"/>
  <c r="K44" i="2" s="1"/>
  <c r="P44" i="2" l="1"/>
  <c r="K49" i="2"/>
  <c r="K48" i="2"/>
  <c r="P47" i="2"/>
  <c r="K46" i="2"/>
  <c r="K45" i="2"/>
  <c r="R50" i="2"/>
  <c r="L50" i="2"/>
  <c r="M50" i="2" s="1"/>
  <c r="J50" i="2"/>
  <c r="I50" i="2"/>
  <c r="H50" i="2"/>
  <c r="K50" i="2" s="1"/>
  <c r="R43" i="2"/>
  <c r="L43" i="2"/>
  <c r="M43" i="2" s="1"/>
  <c r="J43" i="2"/>
  <c r="I43" i="2"/>
  <c r="H43" i="2"/>
  <c r="P43" i="2" s="1"/>
  <c r="R42" i="2"/>
  <c r="L42" i="2"/>
  <c r="M42" i="2" s="1"/>
  <c r="J42" i="2"/>
  <c r="I42" i="2"/>
  <c r="H42" i="2"/>
  <c r="P42" i="2" s="1"/>
  <c r="R41" i="2"/>
  <c r="L41" i="2"/>
  <c r="M41" i="2" s="1"/>
  <c r="J41" i="2"/>
  <c r="I41" i="2"/>
  <c r="H41" i="2"/>
  <c r="K41" i="2" s="1"/>
  <c r="K42" i="2" l="1"/>
  <c r="K43" i="2"/>
  <c r="P41" i="2"/>
  <c r="P50" i="2"/>
  <c r="D84" i="2"/>
  <c r="R77" i="2" l="1"/>
  <c r="L77" i="2"/>
  <c r="M77" i="2" s="1"/>
  <c r="J77" i="2"/>
  <c r="I77" i="2"/>
  <c r="H77" i="2"/>
  <c r="P77" i="2" s="1"/>
  <c r="R76" i="2"/>
  <c r="L76" i="2"/>
  <c r="M76" i="2" s="1"/>
  <c r="J76" i="2"/>
  <c r="I76" i="2"/>
  <c r="H76" i="2"/>
  <c r="P76" i="2" s="1"/>
  <c r="R75" i="2"/>
  <c r="L75" i="2"/>
  <c r="M75" i="2" s="1"/>
  <c r="J75" i="2"/>
  <c r="I75" i="2"/>
  <c r="H75" i="2"/>
  <c r="P75" i="2" s="1"/>
  <c r="R74" i="2"/>
  <c r="L74" i="2"/>
  <c r="M74" i="2" s="1"/>
  <c r="J74" i="2"/>
  <c r="I74" i="2"/>
  <c r="H74" i="2"/>
  <c r="P74" i="2" s="1"/>
  <c r="R73" i="2"/>
  <c r="L73" i="2"/>
  <c r="M73" i="2" s="1"/>
  <c r="J73" i="2"/>
  <c r="I73" i="2"/>
  <c r="H73" i="2"/>
  <c r="P73" i="2" s="1"/>
  <c r="R72" i="2"/>
  <c r="L72" i="2"/>
  <c r="M72" i="2" s="1"/>
  <c r="J72" i="2"/>
  <c r="I72" i="2"/>
  <c r="H72" i="2"/>
  <c r="P72" i="2" s="1"/>
  <c r="R71" i="2"/>
  <c r="L71" i="2"/>
  <c r="M71" i="2" s="1"/>
  <c r="J71" i="2"/>
  <c r="I71" i="2"/>
  <c r="H71" i="2"/>
  <c r="P71" i="2" s="1"/>
  <c r="R70" i="2"/>
  <c r="L70" i="2"/>
  <c r="M70" i="2" s="1"/>
  <c r="J70" i="2"/>
  <c r="I70" i="2"/>
  <c r="H70" i="2"/>
  <c r="P70" i="2" s="1"/>
  <c r="R69" i="2"/>
  <c r="L69" i="2"/>
  <c r="M69" i="2" s="1"/>
  <c r="J69" i="2"/>
  <c r="I69" i="2"/>
  <c r="H69" i="2"/>
  <c r="P69" i="2" s="1"/>
  <c r="R51" i="2"/>
  <c r="L51" i="2"/>
  <c r="M51" i="2" s="1"/>
  <c r="J51" i="2"/>
  <c r="I51" i="2"/>
  <c r="H51" i="2"/>
  <c r="P51" i="2" s="1"/>
  <c r="R40" i="2"/>
  <c r="L40" i="2"/>
  <c r="M40" i="2" s="1"/>
  <c r="J40" i="2"/>
  <c r="I40" i="2"/>
  <c r="H40" i="2"/>
  <c r="P40" i="2" s="1"/>
  <c r="R39" i="2"/>
  <c r="L39" i="2"/>
  <c r="M39" i="2" s="1"/>
  <c r="J39" i="2"/>
  <c r="I39" i="2"/>
  <c r="H39" i="2"/>
  <c r="P39" i="2" s="1"/>
  <c r="R38" i="2"/>
  <c r="L38" i="2"/>
  <c r="M38" i="2" s="1"/>
  <c r="J38" i="2"/>
  <c r="I38" i="2"/>
  <c r="H38" i="2"/>
  <c r="P38" i="2" s="1"/>
  <c r="R37" i="2"/>
  <c r="L37" i="2"/>
  <c r="M37" i="2" s="1"/>
  <c r="J37" i="2"/>
  <c r="I37" i="2"/>
  <c r="H37" i="2"/>
  <c r="P37" i="2" s="1"/>
  <c r="R36" i="2"/>
  <c r="L36" i="2"/>
  <c r="M36" i="2" s="1"/>
  <c r="J36" i="2"/>
  <c r="I36" i="2"/>
  <c r="H36" i="2"/>
  <c r="P36" i="2" s="1"/>
  <c r="R35" i="2"/>
  <c r="L35" i="2"/>
  <c r="M35" i="2" s="1"/>
  <c r="J35" i="2"/>
  <c r="I35" i="2"/>
  <c r="H35" i="2"/>
  <c r="P35" i="2" s="1"/>
  <c r="K73" i="2" l="1"/>
  <c r="K76" i="2"/>
  <c r="K72" i="2"/>
  <c r="K75" i="2"/>
  <c r="K74" i="2"/>
  <c r="K77" i="2"/>
  <c r="K70" i="2"/>
  <c r="K71" i="2"/>
  <c r="K69" i="2"/>
  <c r="K51" i="2"/>
  <c r="K39" i="2"/>
  <c r="K40" i="2"/>
  <c r="K38" i="2"/>
  <c r="K36" i="2"/>
  <c r="K37" i="2"/>
  <c r="K35" i="2"/>
  <c r="R65" i="2"/>
  <c r="R33" i="2" l="1"/>
  <c r="M65" i="2"/>
  <c r="L65" i="2"/>
  <c r="P33" i="2"/>
  <c r="F33" i="2" l="1"/>
  <c r="I33" i="2" s="1"/>
  <c r="I65" i="2"/>
  <c r="J65" i="2"/>
  <c r="H65" i="2"/>
  <c r="K65" i="2"/>
  <c r="J33" i="2"/>
  <c r="H33" i="2"/>
  <c r="K33" i="2"/>
  <c r="I113" i="2"/>
  <c r="H113" i="2"/>
  <c r="L33" i="2" l="1"/>
  <c r="M33" i="2" s="1"/>
  <c r="P61" i="2" l="1"/>
  <c r="R62" i="2"/>
  <c r="M62" i="2"/>
  <c r="L62" i="2"/>
  <c r="J62" i="2"/>
  <c r="I62" i="2"/>
  <c r="H62" i="2"/>
  <c r="K62" i="2" l="1"/>
  <c r="D101" i="2"/>
  <c r="F98" i="2"/>
  <c r="R64" i="2"/>
  <c r="L64" i="2"/>
  <c r="M64" i="2" s="1"/>
  <c r="J64" i="2"/>
  <c r="I64" i="2"/>
  <c r="H64" i="2"/>
  <c r="P64" i="2" s="1"/>
  <c r="K64" i="2" l="1"/>
  <c r="J95" i="2"/>
  <c r="F99" i="2"/>
  <c r="M89" i="2"/>
  <c r="D113" i="2"/>
  <c r="R32" i="2"/>
  <c r="L32" i="2"/>
  <c r="M32" i="2" s="1"/>
  <c r="J32" i="2"/>
  <c r="I32" i="2"/>
  <c r="H32" i="2"/>
  <c r="P32" i="2" s="1"/>
  <c r="R31" i="2"/>
  <c r="L31" i="2"/>
  <c r="M31" i="2" s="1"/>
  <c r="J31" i="2"/>
  <c r="I31" i="2"/>
  <c r="H31" i="2"/>
  <c r="P31" i="2" s="1"/>
  <c r="R30" i="2"/>
  <c r="L30" i="2"/>
  <c r="M30" i="2" s="1"/>
  <c r="J30" i="2"/>
  <c r="I30" i="2"/>
  <c r="H30" i="2"/>
  <c r="P30" i="2" s="1"/>
  <c r="R29" i="2"/>
  <c r="L29" i="2"/>
  <c r="M29" i="2" s="1"/>
  <c r="J29" i="2"/>
  <c r="I29" i="2"/>
  <c r="H29" i="2"/>
  <c r="P29" i="2" s="1"/>
  <c r="R28" i="2"/>
  <c r="L28" i="2"/>
  <c r="M28" i="2" s="1"/>
  <c r="J28" i="2"/>
  <c r="I28" i="2"/>
  <c r="H28" i="2"/>
  <c r="P28" i="2" s="1"/>
  <c r="R27" i="2"/>
  <c r="L27" i="2"/>
  <c r="M27" i="2" s="1"/>
  <c r="J27" i="2"/>
  <c r="I27" i="2"/>
  <c r="H27" i="2"/>
  <c r="P27" i="2" s="1"/>
  <c r="R26" i="2"/>
  <c r="L26" i="2"/>
  <c r="M26" i="2" s="1"/>
  <c r="J26" i="2"/>
  <c r="I26" i="2"/>
  <c r="H26" i="2"/>
  <c r="P26" i="2" s="1"/>
  <c r="R63" i="2"/>
  <c r="L63" i="2"/>
  <c r="M63" i="2" s="1"/>
  <c r="J63" i="2"/>
  <c r="I63" i="2"/>
  <c r="H63" i="2"/>
  <c r="P63" i="2" s="1"/>
  <c r="R25" i="2"/>
  <c r="L25" i="2"/>
  <c r="M25" i="2" s="1"/>
  <c r="J25" i="2"/>
  <c r="I25" i="2"/>
  <c r="H25" i="2"/>
  <c r="P25" i="2" s="1"/>
  <c r="R61" i="2"/>
  <c r="L61" i="2"/>
  <c r="M61" i="2" s="1"/>
  <c r="J61" i="2"/>
  <c r="I61" i="2"/>
  <c r="H61" i="2"/>
  <c r="K30" i="2" l="1"/>
  <c r="K31" i="2"/>
  <c r="K32" i="2"/>
  <c r="K29" i="2"/>
  <c r="K27" i="2"/>
  <c r="K28" i="2"/>
  <c r="K26" i="2"/>
  <c r="K63" i="2"/>
  <c r="K25" i="2"/>
  <c r="K61" i="2"/>
  <c r="W21" i="2"/>
  <c r="D89" i="2" l="1"/>
  <c r="D91" i="2"/>
  <c r="I103" i="2"/>
  <c r="G83" i="2" l="1"/>
  <c r="K15" i="3" l="1"/>
  <c r="K13" i="3"/>
  <c r="K12" i="3"/>
  <c r="K11" i="3"/>
  <c r="K10" i="3"/>
  <c r="H15" i="3" l="1"/>
  <c r="H13" i="3"/>
  <c r="H12" i="3"/>
  <c r="H11" i="3"/>
  <c r="H10" i="3"/>
  <c r="F89" i="2"/>
  <c r="H97" i="2"/>
  <c r="F1" i="2"/>
  <c r="H1" i="2"/>
  <c r="I83" i="2" l="1"/>
  <c r="J57" i="2"/>
  <c r="J56" i="2"/>
  <c r="R78" i="2"/>
  <c r="L78" i="2"/>
  <c r="M78" i="2" s="1"/>
  <c r="J78" i="2"/>
  <c r="I78" i="2"/>
  <c r="H78" i="2"/>
  <c r="K78" i="2" s="1"/>
  <c r="R68" i="2"/>
  <c r="L68" i="2"/>
  <c r="M68" i="2" s="1"/>
  <c r="J68" i="2"/>
  <c r="I68" i="2"/>
  <c r="H68" i="2"/>
  <c r="K68" i="2" s="1"/>
  <c r="R67" i="2"/>
  <c r="L67" i="2"/>
  <c r="M67" i="2" s="1"/>
  <c r="J67" i="2"/>
  <c r="I67" i="2"/>
  <c r="H67" i="2"/>
  <c r="K67" i="2" s="1"/>
  <c r="R66" i="2"/>
  <c r="L66" i="2"/>
  <c r="M66" i="2" s="1"/>
  <c r="J66" i="2"/>
  <c r="I66" i="2"/>
  <c r="H66" i="2"/>
  <c r="K66" i="2" s="1"/>
  <c r="R60" i="2"/>
  <c r="L60" i="2"/>
  <c r="M60" i="2" s="1"/>
  <c r="J60" i="2"/>
  <c r="I60" i="2"/>
  <c r="H60" i="2"/>
  <c r="K60" i="2" s="1"/>
  <c r="R59" i="2"/>
  <c r="L59" i="2"/>
  <c r="M59" i="2" s="1"/>
  <c r="J59" i="2"/>
  <c r="I59" i="2"/>
  <c r="H59" i="2"/>
  <c r="K59" i="2" s="1"/>
  <c r="R58" i="2"/>
  <c r="L58" i="2"/>
  <c r="M58" i="2" s="1"/>
  <c r="J58" i="2"/>
  <c r="I58" i="2"/>
  <c r="H58" i="2"/>
  <c r="K58" i="2" s="1"/>
  <c r="R57" i="2"/>
  <c r="L57" i="2"/>
  <c r="M57" i="2" s="1"/>
  <c r="I57" i="2"/>
  <c r="H57" i="2"/>
  <c r="P57" i="2" s="1"/>
  <c r="R52" i="2"/>
  <c r="L52" i="2"/>
  <c r="M52" i="2" s="1"/>
  <c r="J52" i="2"/>
  <c r="I52" i="2"/>
  <c r="H52" i="2"/>
  <c r="P52" i="2" s="1"/>
  <c r="R34" i="2"/>
  <c r="L34" i="2"/>
  <c r="M34" i="2" s="1"/>
  <c r="J34" i="2"/>
  <c r="I34" i="2"/>
  <c r="H34" i="2"/>
  <c r="P34" i="2" s="1"/>
  <c r="R24" i="2"/>
  <c r="L24" i="2"/>
  <c r="M24" i="2" s="1"/>
  <c r="J24" i="2"/>
  <c r="I24" i="2"/>
  <c r="H24" i="2"/>
  <c r="P24" i="2" s="1"/>
  <c r="R23" i="2"/>
  <c r="L23" i="2"/>
  <c r="M23" i="2" s="1"/>
  <c r="J23" i="2"/>
  <c r="I23" i="2"/>
  <c r="H23" i="2"/>
  <c r="P23" i="2" s="1"/>
  <c r="R22" i="2"/>
  <c r="L22" i="2"/>
  <c r="M22" i="2" s="1"/>
  <c r="J22" i="2"/>
  <c r="I22" i="2"/>
  <c r="H22" i="2"/>
  <c r="P22" i="2" s="1"/>
  <c r="R21" i="2"/>
  <c r="L21" i="2"/>
  <c r="M21" i="2" s="1"/>
  <c r="J21" i="2"/>
  <c r="I21" i="2"/>
  <c r="H21" i="2"/>
  <c r="P21" i="2" s="1"/>
  <c r="R20" i="2"/>
  <c r="L20" i="2"/>
  <c r="M20" i="2" s="1"/>
  <c r="J20" i="2"/>
  <c r="I20" i="2"/>
  <c r="H20" i="2"/>
  <c r="P20" i="2" s="1"/>
  <c r="R19" i="2"/>
  <c r="L19" i="2"/>
  <c r="M19" i="2" s="1"/>
  <c r="J19" i="2"/>
  <c r="I19" i="2"/>
  <c r="H19" i="2"/>
  <c r="P19" i="2" s="1"/>
  <c r="R18" i="2"/>
  <c r="L18" i="2"/>
  <c r="M18" i="2" s="1"/>
  <c r="J18" i="2"/>
  <c r="I18" i="2"/>
  <c r="H18" i="2"/>
  <c r="P18" i="2" s="1"/>
  <c r="R17" i="2"/>
  <c r="L17" i="2"/>
  <c r="M17" i="2" s="1"/>
  <c r="J17" i="2"/>
  <c r="I17" i="2"/>
  <c r="H17" i="2"/>
  <c r="P17" i="2" s="1"/>
  <c r="R16" i="2"/>
  <c r="L16" i="2"/>
  <c r="M16" i="2" s="1"/>
  <c r="J16" i="2"/>
  <c r="I16" i="2"/>
  <c r="H16" i="2"/>
  <c r="P16" i="2" s="1"/>
  <c r="R15" i="2"/>
  <c r="L15" i="2"/>
  <c r="M15" i="2" s="1"/>
  <c r="I15" i="2"/>
  <c r="H15" i="2"/>
  <c r="P15" i="2" s="1"/>
  <c r="R14" i="2"/>
  <c r="L14" i="2"/>
  <c r="M14" i="2" s="1"/>
  <c r="J14" i="2"/>
  <c r="I14" i="2"/>
  <c r="H14" i="2"/>
  <c r="P14" i="2" s="1"/>
  <c r="R13" i="2"/>
  <c r="L13" i="2"/>
  <c r="M13" i="2" s="1"/>
  <c r="J13" i="2"/>
  <c r="I13" i="2"/>
  <c r="H13" i="2"/>
  <c r="P13" i="2" s="1"/>
  <c r="R12" i="2"/>
  <c r="L12" i="2"/>
  <c r="M12" i="2" s="1"/>
  <c r="J12" i="2"/>
  <c r="I12" i="2"/>
  <c r="H12" i="2"/>
  <c r="P12" i="2" s="1"/>
  <c r="R11" i="2"/>
  <c r="L11" i="2"/>
  <c r="M11" i="2" s="1"/>
  <c r="I11" i="2"/>
  <c r="H11" i="2"/>
  <c r="P11" i="2" s="1"/>
  <c r="R10" i="2"/>
  <c r="L10" i="2"/>
  <c r="M10" i="2" s="1"/>
  <c r="I10" i="2"/>
  <c r="H10" i="2"/>
  <c r="P10" i="2" s="1"/>
  <c r="R9" i="2"/>
  <c r="L9" i="2"/>
  <c r="M9" i="2" s="1"/>
  <c r="I9" i="2"/>
  <c r="H9" i="2"/>
  <c r="P9" i="2" s="1"/>
  <c r="R8" i="2"/>
  <c r="L8" i="2"/>
  <c r="M8" i="2" s="1"/>
  <c r="I8" i="2"/>
  <c r="H8" i="2"/>
  <c r="P8" i="2" s="1"/>
  <c r="R7" i="2"/>
  <c r="L7" i="2"/>
  <c r="M7" i="2" s="1"/>
  <c r="I7" i="2"/>
  <c r="H7" i="2"/>
  <c r="P7" i="2" s="1"/>
  <c r="P59" i="2" l="1"/>
  <c r="P67" i="2"/>
  <c r="P58" i="2"/>
  <c r="P68" i="2"/>
  <c r="K9" i="2"/>
  <c r="K10" i="2"/>
  <c r="P66" i="2"/>
  <c r="P60" i="2"/>
  <c r="P78" i="2"/>
  <c r="K8" i="2"/>
  <c r="K57" i="2"/>
  <c r="K7" i="2"/>
  <c r="K11" i="2"/>
  <c r="K20" i="2"/>
  <c r="K21" i="2"/>
  <c r="K22" i="2"/>
  <c r="K23" i="2"/>
  <c r="K24" i="2"/>
  <c r="K34" i="2"/>
  <c r="K52" i="2"/>
  <c r="K19" i="2"/>
  <c r="K15" i="2"/>
  <c r="K17" i="2"/>
  <c r="K16" i="2"/>
  <c r="K18" i="2"/>
  <c r="K12" i="2"/>
  <c r="K13" i="2"/>
  <c r="K14" i="2"/>
  <c r="R6" i="2"/>
  <c r="L6" i="2"/>
  <c r="M6" i="2" s="1"/>
  <c r="J6" i="2"/>
  <c r="I6" i="2"/>
  <c r="H6" i="2"/>
  <c r="K6" i="2" s="1"/>
  <c r="R5" i="2"/>
  <c r="L5" i="2"/>
  <c r="M5" i="2" s="1"/>
  <c r="J5" i="2"/>
  <c r="I5" i="2"/>
  <c r="H5" i="2"/>
  <c r="P5" i="2" l="1"/>
  <c r="K5" i="2"/>
  <c r="R4" i="2"/>
  <c r="L4" i="2"/>
  <c r="M4" i="2" s="1"/>
  <c r="J4" i="2"/>
  <c r="I4" i="2"/>
  <c r="H4" i="2"/>
  <c r="K4" i="2" s="1"/>
  <c r="L56" i="2"/>
  <c r="M56" i="2" s="1"/>
  <c r="L55" i="2"/>
  <c r="R56" i="2"/>
  <c r="I56" i="2"/>
  <c r="H56" i="2"/>
  <c r="P56" i="2" s="1"/>
  <c r="K56" i="2" l="1"/>
  <c r="P4" i="2"/>
  <c r="M55" i="2"/>
  <c r="M3" i="2"/>
  <c r="R55" i="2"/>
  <c r="J55" i="2"/>
  <c r="I55" i="2"/>
  <c r="H55" i="2"/>
  <c r="K55" i="2" s="1"/>
  <c r="P55" i="2" l="1"/>
  <c r="R3" i="2"/>
  <c r="J3" i="2"/>
  <c r="I3" i="2"/>
  <c r="H3" i="2"/>
  <c r="P3" i="2" l="1"/>
  <c r="K3" i="2"/>
  <c r="P13" i="1"/>
  <c r="P11" i="1"/>
  <c r="P12" i="1"/>
  <c r="P10" i="1"/>
  <c r="K29" i="1" l="1"/>
  <c r="K28" i="1"/>
  <c r="K21" i="1"/>
  <c r="K6" i="1"/>
  <c r="K5" i="1"/>
  <c r="K11" i="1"/>
  <c r="P5" i="1" l="1"/>
  <c r="P6" i="1"/>
  <c r="P4" i="1"/>
  <c r="K17" i="1"/>
  <c r="K16" i="1"/>
  <c r="K15" i="1"/>
  <c r="H17" i="1"/>
  <c r="G17" i="1"/>
  <c r="F17" i="1"/>
  <c r="H16" i="1"/>
  <c r="G16" i="1"/>
  <c r="F16" i="1"/>
  <c r="H15" i="1"/>
  <c r="G15" i="1"/>
  <c r="F15" i="1"/>
  <c r="K10" i="1"/>
  <c r="K9" i="1"/>
  <c r="H11" i="1"/>
  <c r="G11" i="1"/>
  <c r="F11" i="1"/>
  <c r="H10" i="1"/>
  <c r="G10" i="1"/>
  <c r="F10" i="1"/>
  <c r="H9" i="1"/>
  <c r="G9" i="1"/>
  <c r="F9" i="1"/>
  <c r="F5" i="1"/>
  <c r="I5" i="1" s="1"/>
  <c r="F6" i="1"/>
  <c r="I6" i="1" s="1"/>
  <c r="F4" i="1"/>
  <c r="I4" i="1" s="1"/>
  <c r="H29" i="1"/>
  <c r="G29" i="1"/>
  <c r="F29" i="1"/>
  <c r="H28" i="1"/>
  <c r="G28" i="1"/>
  <c r="F28" i="1"/>
  <c r="K23" i="1"/>
  <c r="K22" i="1"/>
  <c r="F23" i="1"/>
  <c r="F22" i="1"/>
  <c r="F21" i="1"/>
  <c r="H23" i="1"/>
  <c r="G23" i="1"/>
  <c r="H22" i="1"/>
  <c r="G22" i="1"/>
  <c r="H21" i="1"/>
  <c r="G21" i="1"/>
  <c r="K7" i="1"/>
  <c r="H4" i="1"/>
  <c r="H5" i="1"/>
  <c r="G6" i="1"/>
  <c r="G4" i="1"/>
  <c r="G5" i="1"/>
  <c r="P7" i="1" l="1"/>
  <c r="N4" i="1"/>
  <c r="N6" i="1"/>
  <c r="N5" i="1"/>
  <c r="K30" i="1"/>
  <c r="K18" i="1"/>
  <c r="K12" i="1"/>
  <c r="K24" i="1"/>
</calcChain>
</file>

<file path=xl/comments1.xml><?xml version="1.0" encoding="utf-8"?>
<comments xmlns="http://schemas.openxmlformats.org/spreadsheetml/2006/main">
  <authors>
    <author>SKCC</author>
  </authors>
  <commentList>
    <comment ref="D22" authorId="0" shapeId="0">
      <text>
        <r>
          <rPr>
            <b/>
            <sz val="9"/>
            <color indexed="81"/>
            <rFont val="돋움"/>
            <family val="3"/>
            <charset val="129"/>
          </rPr>
          <t>환매청구권</t>
        </r>
        <r>
          <rPr>
            <b/>
            <sz val="9"/>
            <color indexed="81"/>
            <rFont val="Tahoma"/>
            <family val="2"/>
          </rPr>
          <t xml:space="preserve"> 6</t>
        </r>
        <r>
          <rPr>
            <b/>
            <sz val="9"/>
            <color indexed="81"/>
            <rFont val="돋움"/>
            <family val="3"/>
            <charset val="129"/>
          </rPr>
          <t>개월</t>
        </r>
      </text>
    </comment>
    <comment ref="D56" authorId="0" shapeId="0">
      <text>
        <r>
          <rPr>
            <b/>
            <sz val="9"/>
            <color indexed="81"/>
            <rFont val="돋움"/>
            <family val="3"/>
            <charset val="129"/>
          </rPr>
          <t>환매청구권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개월</t>
        </r>
      </text>
    </comment>
    <comment ref="D61" authorId="0" shapeId="0">
      <text>
        <r>
          <rPr>
            <b/>
            <sz val="9"/>
            <color indexed="81"/>
            <rFont val="돋움"/>
            <family val="3"/>
            <charset val="129"/>
          </rPr>
          <t>환매청구가능</t>
        </r>
        <r>
          <rPr>
            <b/>
            <sz val="9"/>
            <color indexed="81"/>
            <rFont val="Tahoma"/>
            <family val="2"/>
          </rPr>
          <t>(6</t>
        </r>
        <r>
          <rPr>
            <b/>
            <sz val="9"/>
            <color indexed="81"/>
            <rFont val="돋움"/>
            <family val="3"/>
            <charset val="129"/>
          </rPr>
          <t>개월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62" authorId="0" shapeId="0">
      <text>
        <r>
          <rPr>
            <b/>
            <sz val="9"/>
            <color indexed="81"/>
            <rFont val="돋움"/>
            <family val="3"/>
            <charset val="129"/>
          </rPr>
          <t>환매청구가능</t>
        </r>
        <r>
          <rPr>
            <b/>
            <sz val="9"/>
            <color indexed="81"/>
            <rFont val="Tahoma"/>
            <family val="2"/>
          </rPr>
          <t>(6</t>
        </r>
        <r>
          <rPr>
            <b/>
            <sz val="9"/>
            <color indexed="81"/>
            <rFont val="돋움"/>
            <family val="3"/>
            <charset val="129"/>
          </rPr>
          <t>개월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<sst xmlns="http://schemas.openxmlformats.org/spreadsheetml/2006/main" count="370" uniqueCount="171">
  <si>
    <t>지놈</t>
    <phoneticPr fontId="3" type="noConversion"/>
  </si>
  <si>
    <t>프리시젼</t>
    <phoneticPr fontId="3" type="noConversion"/>
  </si>
  <si>
    <t>석경</t>
    <phoneticPr fontId="3" type="noConversion"/>
  </si>
  <si>
    <t>공모가</t>
    <phoneticPr fontId="3" type="noConversion"/>
  </si>
  <si>
    <t>예상경쟁률</t>
    <phoneticPr fontId="3" type="noConversion"/>
  </si>
  <si>
    <t>청약주수</t>
    <phoneticPr fontId="3" type="noConversion"/>
  </si>
  <si>
    <t>투입금액</t>
    <phoneticPr fontId="3" type="noConversion"/>
  </si>
  <si>
    <t>예상획득주수</t>
    <phoneticPr fontId="3" type="noConversion"/>
  </si>
  <si>
    <t>실제획득주수</t>
    <phoneticPr fontId="3" type="noConversion"/>
  </si>
  <si>
    <t>예상획득주수(정수)</t>
    <phoneticPr fontId="3" type="noConversion"/>
  </si>
  <si>
    <t>수익금액</t>
    <phoneticPr fontId="3" type="noConversion"/>
  </si>
  <si>
    <t>예상환불금액</t>
    <phoneticPr fontId="3" type="noConversion"/>
  </si>
  <si>
    <t>시초100% 가격</t>
    <phoneticPr fontId="3" type="noConversion"/>
  </si>
  <si>
    <t>실제환불금액</t>
    <phoneticPr fontId="3" type="noConversion"/>
  </si>
  <si>
    <t>매도가격</t>
    <phoneticPr fontId="3" type="noConversion"/>
  </si>
  <si>
    <t>1751.58</t>
  </si>
  <si>
    <t>1751.58</t>
    <phoneticPr fontId="3" type="noConversion"/>
  </si>
  <si>
    <t>1175.10</t>
  </si>
  <si>
    <t>1175.10</t>
    <phoneticPr fontId="3" type="noConversion"/>
  </si>
  <si>
    <t>1557.29</t>
  </si>
  <si>
    <t>1557.29</t>
    <phoneticPr fontId="3" type="noConversion"/>
  </si>
  <si>
    <t>엔비티</t>
    <phoneticPr fontId="3" type="noConversion"/>
  </si>
  <si>
    <t>예상수익금액</t>
    <phoneticPr fontId="3" type="noConversion"/>
  </si>
  <si>
    <t>4397.67</t>
  </si>
  <si>
    <t>4397.67</t>
    <phoneticPr fontId="3" type="noConversion"/>
  </si>
  <si>
    <t>상장일</t>
    <phoneticPr fontId="3" type="noConversion"/>
  </si>
  <si>
    <t>권지영</t>
    <phoneticPr fontId="3" type="noConversion"/>
  </si>
  <si>
    <t>권지현</t>
    <phoneticPr fontId="3" type="noConversion"/>
  </si>
  <si>
    <t>씨앤투스성진</t>
    <phoneticPr fontId="3" type="noConversion"/>
  </si>
  <si>
    <t>미래에셋대우</t>
    <phoneticPr fontId="3" type="noConversion"/>
  </si>
  <si>
    <t>모비릭스</t>
    <phoneticPr fontId="3" type="noConversion"/>
  </si>
  <si>
    <t>900</t>
    <phoneticPr fontId="3" type="noConversion"/>
  </si>
  <si>
    <t>1120</t>
    <phoneticPr fontId="3" type="noConversion"/>
  </si>
  <si>
    <t>1660</t>
    <phoneticPr fontId="3" type="noConversion"/>
  </si>
  <si>
    <t>674</t>
    <phoneticPr fontId="3" type="noConversion"/>
  </si>
  <si>
    <t>솔루엠</t>
    <phoneticPr fontId="3" type="noConversion"/>
  </si>
  <si>
    <t>핑거</t>
    <phoneticPr fontId="3" type="noConversion"/>
  </si>
  <si>
    <t>815</t>
    <phoneticPr fontId="3" type="noConversion"/>
  </si>
  <si>
    <t>858</t>
    <phoneticPr fontId="3" type="noConversion"/>
  </si>
  <si>
    <t>대우(대우계좌)</t>
    <phoneticPr fontId="3" type="noConversion"/>
  </si>
  <si>
    <t>2620</t>
    <phoneticPr fontId="3" type="noConversion"/>
  </si>
  <si>
    <t>1310</t>
    <phoneticPr fontId="3" type="noConversion"/>
  </si>
  <si>
    <t>1855</t>
    <phoneticPr fontId="3" type="noConversion"/>
  </si>
  <si>
    <t>1879</t>
    <phoneticPr fontId="3" type="noConversion"/>
  </si>
  <si>
    <t>프레스티지바이오파마</t>
    <phoneticPr fontId="3" type="noConversion"/>
  </si>
  <si>
    <t>레인보우로보틱스</t>
    <phoneticPr fontId="3" type="noConversion"/>
  </si>
  <si>
    <t>2/2 화 - 신</t>
    <phoneticPr fontId="3" type="noConversion"/>
  </si>
  <si>
    <t>1/29 금 - 신</t>
    <phoneticPr fontId="3" type="noConversion"/>
  </si>
  <si>
    <t>2/5 금 - 구</t>
    <phoneticPr fontId="3" type="noConversion"/>
  </si>
  <si>
    <t>2/3 수 - 신</t>
    <phoneticPr fontId="3" type="noConversion"/>
  </si>
  <si>
    <t>1/21 목 - 구</t>
    <phoneticPr fontId="3" type="noConversion"/>
  </si>
  <si>
    <t>1/28 목 - 구</t>
    <phoneticPr fontId="3" type="noConversion"/>
  </si>
  <si>
    <t>1/28 목 - 신</t>
    <phoneticPr fontId="3" type="noConversion"/>
  </si>
  <si>
    <t>10</t>
    <phoneticPr fontId="3" type="noConversion"/>
  </si>
  <si>
    <t>2000</t>
    <phoneticPr fontId="3" type="noConversion"/>
  </si>
  <si>
    <t>236.82</t>
    <phoneticPr fontId="3" type="noConversion"/>
  </si>
  <si>
    <t>아이퀘스트</t>
    <phoneticPr fontId="3" type="noConversion"/>
  </si>
  <si>
    <t>2/5 금 - 신</t>
    <phoneticPr fontId="3" type="noConversion"/>
  </si>
  <si>
    <t>6000</t>
    <phoneticPr fontId="3" type="noConversion"/>
  </si>
  <si>
    <t>15000에 760주</t>
    <phoneticPr fontId="3" type="noConversion"/>
  </si>
  <si>
    <t>14000에 1000주</t>
    <phoneticPr fontId="3" type="noConversion"/>
  </si>
  <si>
    <t>13000에 1000주</t>
    <phoneticPr fontId="3" type="noConversion"/>
  </si>
  <si>
    <t>12000에 1000주</t>
    <phoneticPr fontId="3" type="noConversion"/>
  </si>
  <si>
    <t>5600</t>
    <phoneticPr fontId="3" type="noConversion"/>
  </si>
  <si>
    <t>14000에 760주</t>
    <phoneticPr fontId="3" type="noConversion"/>
  </si>
  <si>
    <t>11000에 1000주</t>
    <phoneticPr fontId="3" type="noConversion"/>
  </si>
  <si>
    <t>EXIT PLAN A</t>
    <phoneticPr fontId="3" type="noConversion"/>
  </si>
  <si>
    <t>EXIT PLAN B</t>
    <phoneticPr fontId="3" type="noConversion"/>
  </si>
  <si>
    <t>피엔에이치테크</t>
    <phoneticPr fontId="3" type="noConversion"/>
  </si>
  <si>
    <t>2/16 화 - 신</t>
    <phoneticPr fontId="3" type="noConversion"/>
  </si>
  <si>
    <t>3057</t>
    <phoneticPr fontId="3" type="noConversion"/>
  </si>
  <si>
    <t>오로스테크놀로지</t>
    <phoneticPr fontId="3" type="noConversion"/>
  </si>
  <si>
    <t>2/24 수 - 신</t>
    <phoneticPr fontId="3" type="noConversion"/>
  </si>
  <si>
    <t>유일에너테크</t>
    <phoneticPr fontId="3" type="noConversion"/>
  </si>
  <si>
    <t>신영</t>
    <phoneticPr fontId="3" type="noConversion"/>
  </si>
  <si>
    <t>2/25 목 - 신</t>
    <phoneticPr fontId="3" type="noConversion"/>
  </si>
  <si>
    <t>1200</t>
    <phoneticPr fontId="3" type="noConversion"/>
  </si>
  <si>
    <t>씨이랩</t>
    <phoneticPr fontId="3" type="noConversion"/>
  </si>
  <si>
    <t>2/26 금 - 신</t>
    <phoneticPr fontId="3" type="noConversion"/>
  </si>
  <si>
    <t>뷰노</t>
    <phoneticPr fontId="3" type="noConversion"/>
  </si>
  <si>
    <t>2068</t>
    <phoneticPr fontId="3" type="noConversion"/>
  </si>
  <si>
    <t>3904</t>
    <phoneticPr fontId="3" type="noConversion"/>
  </si>
  <si>
    <t>391</t>
    <phoneticPr fontId="3" type="noConversion"/>
  </si>
  <si>
    <t>신영</t>
    <phoneticPr fontId="3" type="noConversion"/>
  </si>
  <si>
    <t>2205</t>
    <phoneticPr fontId="3" type="noConversion"/>
  </si>
  <si>
    <t>3/9 화</t>
    <phoneticPr fontId="3" type="noConversion"/>
  </si>
  <si>
    <t>나노씨엠에스</t>
    <phoneticPr fontId="3" type="noConversion"/>
  </si>
  <si>
    <t>2000</t>
    <phoneticPr fontId="3" type="noConversion"/>
  </si>
  <si>
    <t xml:space="preserve">대신(대신계좌) - 이체500,청약3000 </t>
    <phoneticPr fontId="3" type="noConversion"/>
  </si>
  <si>
    <t xml:space="preserve">KB(KB증권)  - 이체수수료500 </t>
    <phoneticPr fontId="3" type="noConversion"/>
  </si>
  <si>
    <t>KB</t>
    <phoneticPr fontId="3" type="noConversion"/>
  </si>
  <si>
    <t>키움</t>
    <phoneticPr fontId="3" type="noConversion"/>
  </si>
  <si>
    <t>청약일자</t>
    <phoneticPr fontId="3" type="noConversion"/>
  </si>
  <si>
    <t>2/26 금</t>
    <phoneticPr fontId="3" type="noConversion"/>
  </si>
  <si>
    <t>3/3 수</t>
    <phoneticPr fontId="3" type="noConversion"/>
  </si>
  <si>
    <t>프레스티지바이오로직스</t>
    <phoneticPr fontId="3" type="noConversion"/>
  </si>
  <si>
    <t>싸이버원</t>
    <phoneticPr fontId="3" type="noConversion"/>
  </si>
  <si>
    <t>1500</t>
    <phoneticPr fontId="3" type="noConversion"/>
  </si>
  <si>
    <t>3/11 목</t>
    <phoneticPr fontId="3" type="noConversion"/>
  </si>
  <si>
    <t>네오이뮨텍</t>
    <phoneticPr fontId="3" type="noConversion"/>
  </si>
  <si>
    <t>3/5 금</t>
    <phoneticPr fontId="3" type="noConversion"/>
  </si>
  <si>
    <t>4000</t>
    <phoneticPr fontId="3" type="noConversion"/>
  </si>
  <si>
    <t>200</t>
    <phoneticPr fontId="3" type="noConversion"/>
  </si>
  <si>
    <t>3/16 화</t>
    <phoneticPr fontId="3" type="noConversion"/>
  </si>
  <si>
    <t>1728</t>
    <phoneticPr fontId="3" type="noConversion"/>
  </si>
  <si>
    <t>2240</t>
    <phoneticPr fontId="3" type="noConversion"/>
  </si>
  <si>
    <t>에스케이바이오사이언스</t>
    <phoneticPr fontId="3" type="noConversion"/>
  </si>
  <si>
    <t>한투 - 이체수수료X</t>
    <phoneticPr fontId="3" type="noConversion"/>
  </si>
  <si>
    <t>미래에셋대우</t>
    <phoneticPr fontId="3" type="noConversion"/>
  </si>
  <si>
    <t>3/10 수</t>
    <phoneticPr fontId="3" type="noConversion"/>
  </si>
  <si>
    <t>3/18 목</t>
    <phoneticPr fontId="3" type="noConversion"/>
  </si>
  <si>
    <t>라이프시맨틱스</t>
    <phoneticPr fontId="3" type="noConversion"/>
  </si>
  <si>
    <t>3/12 금</t>
    <phoneticPr fontId="3" type="noConversion"/>
  </si>
  <si>
    <t>3/23 화</t>
    <phoneticPr fontId="3" type="noConversion"/>
  </si>
  <si>
    <t>한투 - 이체수수료X (이체 완료)</t>
    <phoneticPr fontId="3" type="noConversion"/>
  </si>
  <si>
    <t>하나(카카오계좌) - 이체수수료X (이체 완료)</t>
    <phoneticPr fontId="3" type="noConversion"/>
  </si>
  <si>
    <t>신한(신한계좌) - 이체수수료X (이체 완료)</t>
    <phoneticPr fontId="3" type="noConversion"/>
  </si>
  <si>
    <t>하나잔액</t>
    <phoneticPr fontId="3" type="noConversion"/>
  </si>
  <si>
    <t>필요 금액</t>
    <phoneticPr fontId="3" type="noConversion"/>
  </si>
  <si>
    <t>현재 대우</t>
    <phoneticPr fontId="3" type="noConversion"/>
  </si>
  <si>
    <t>합계</t>
    <phoneticPr fontId="3" type="noConversion"/>
  </si>
  <si>
    <t>1000</t>
    <phoneticPr fontId="3" type="noConversion"/>
  </si>
  <si>
    <t>652</t>
    <phoneticPr fontId="3" type="noConversion"/>
  </si>
  <si>
    <r>
      <t>대신(대신계좌) - 이체500,청약3000</t>
    </r>
    <r>
      <rPr>
        <b/>
        <sz val="11"/>
        <color rgb="FFFF0000"/>
        <rFont val="맑은 고딕"/>
        <family val="3"/>
        <charset val="129"/>
        <scheme val="minor"/>
      </rPr>
      <t xml:space="preserve"> (돈있다)</t>
    </r>
    <phoneticPr fontId="3" type="noConversion"/>
  </si>
  <si>
    <t>NH투자증권- 수수료 면제</t>
    <phoneticPr fontId="3" type="noConversion"/>
  </si>
  <si>
    <t>한투 - 수수료 면제</t>
    <phoneticPr fontId="3" type="noConversion"/>
  </si>
  <si>
    <t>미래에셋대우  - 수수료 면제</t>
    <phoneticPr fontId="3" type="noConversion"/>
  </si>
  <si>
    <t>SK증권  - 수수료 면제</t>
    <phoneticPr fontId="3" type="noConversion"/>
  </si>
  <si>
    <t>하나금융투자  - 수수료 면제</t>
    <phoneticPr fontId="3" type="noConversion"/>
  </si>
  <si>
    <t>하나(카카오계좌) - 이체수수료X</t>
    <phoneticPr fontId="3" type="noConversion"/>
  </si>
  <si>
    <t>3548</t>
    <phoneticPr fontId="3" type="noConversion"/>
  </si>
  <si>
    <t>자이언트스텝</t>
    <phoneticPr fontId="3" type="noConversion"/>
  </si>
  <si>
    <t>3/16 화</t>
    <phoneticPr fontId="3" type="noConversion"/>
  </si>
  <si>
    <t>3/24 수</t>
    <phoneticPr fontId="3" type="noConversion"/>
  </si>
  <si>
    <t>4684</t>
    <phoneticPr fontId="3" type="noConversion"/>
  </si>
  <si>
    <t>엔시스</t>
    <phoneticPr fontId="3" type="noConversion"/>
  </si>
  <si>
    <t>3/23 화</t>
    <phoneticPr fontId="3" type="noConversion"/>
  </si>
  <si>
    <t>4/1 목</t>
    <phoneticPr fontId="3" type="noConversion"/>
  </si>
  <si>
    <t>미래에셋대우</t>
    <phoneticPr fontId="3" type="noConversion"/>
  </si>
  <si>
    <t>IBK</t>
    <phoneticPr fontId="3" type="noConversion"/>
  </si>
  <si>
    <t>4/21 수</t>
    <phoneticPr fontId="3" type="noConversion"/>
  </si>
  <si>
    <t>4/13 화</t>
    <phoneticPr fontId="3" type="noConversion"/>
  </si>
  <si>
    <t>이삭엔지니어링</t>
    <phoneticPr fontId="3" type="noConversion"/>
  </si>
  <si>
    <t>해성티피씨</t>
    <phoneticPr fontId="3" type="noConversion"/>
  </si>
  <si>
    <t>5000</t>
    <phoneticPr fontId="3" type="noConversion"/>
  </si>
  <si>
    <t>4460</t>
    <phoneticPr fontId="3" type="noConversion"/>
  </si>
  <si>
    <t>4/28 수</t>
    <phoneticPr fontId="3" type="noConversion"/>
  </si>
  <si>
    <t>4/20 화</t>
    <phoneticPr fontId="3" type="noConversion"/>
  </si>
  <si>
    <t>쿠콘</t>
    <phoneticPr fontId="3" type="noConversion"/>
  </si>
  <si>
    <t>5300</t>
    <phoneticPr fontId="3" type="noConversion"/>
  </si>
  <si>
    <t>5/11 화</t>
    <phoneticPr fontId="3" type="noConversion"/>
  </si>
  <si>
    <t>4/29 목</t>
    <phoneticPr fontId="3" type="noConversion"/>
  </si>
  <si>
    <t>한국투자증권</t>
    <phoneticPr fontId="3" type="noConversion"/>
  </si>
  <si>
    <t>SK아이이테크놀로지</t>
    <phoneticPr fontId="3" type="noConversion"/>
  </si>
  <si>
    <t>561</t>
    <phoneticPr fontId="3" type="noConversion"/>
  </si>
  <si>
    <t>563</t>
    <phoneticPr fontId="3" type="noConversion"/>
  </si>
  <si>
    <t>900</t>
    <phoneticPr fontId="3" type="noConversion"/>
  </si>
  <si>
    <t>382</t>
    <phoneticPr fontId="3" type="noConversion"/>
  </si>
  <si>
    <t>5/4 화</t>
    <phoneticPr fontId="3" type="noConversion"/>
  </si>
  <si>
    <t>5/14 금</t>
    <phoneticPr fontId="3" type="noConversion"/>
  </si>
  <si>
    <t>대신(대신계좌) - 이체500,청약3000</t>
    <phoneticPr fontId="3" type="noConversion"/>
  </si>
  <si>
    <t>에이치피오</t>
    <phoneticPr fontId="3" type="noConversion"/>
  </si>
  <si>
    <t>194</t>
    <phoneticPr fontId="3" type="noConversion"/>
  </si>
  <si>
    <t>280</t>
    <phoneticPr fontId="3" type="noConversion"/>
  </si>
  <si>
    <t>5/7 금</t>
    <phoneticPr fontId="3" type="noConversion"/>
  </si>
  <si>
    <t>5/17 월</t>
    <phoneticPr fontId="3" type="noConversion"/>
  </si>
  <si>
    <t>씨앤씨인터네셔널</t>
  </si>
  <si>
    <t xml:space="preserve">신한(신한계좌) - 이체수수료X </t>
    <phoneticPr fontId="3" type="noConversion"/>
  </si>
  <si>
    <t>현재대신증권</t>
    <phoneticPr fontId="3" type="noConversion"/>
  </si>
  <si>
    <t>3300주때 대신금액</t>
    <phoneticPr fontId="3" type="noConversion"/>
  </si>
  <si>
    <t>차액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</si>
</sst>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.0_);[Red]\(0.0\)"/>
    <numFmt numFmtId="177" formatCode="0_ "/>
    <numFmt numFmtId="178" formatCode="0_);[Red]\(0\)"/>
    <numFmt numFmtId="179" formatCode="0.00_);[Red]\(0.0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6" tint="0.59999389629810485"/>
      <name val="맑은 고딕"/>
      <family val="3"/>
      <charset val="129"/>
      <scheme val="minor"/>
    </font>
    <font>
      <sz val="11"/>
      <color theme="6" tint="0.59999389629810485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1" fontId="0" fillId="0" borderId="0" xfId="1" applyFont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41" fontId="0" fillId="2" borderId="0" xfId="1" applyFont="1" applyFill="1">
      <alignment vertical="center"/>
    </xf>
    <xf numFmtId="0" fontId="0" fillId="2" borderId="0" xfId="0" applyFill="1">
      <alignment vertical="center"/>
    </xf>
    <xf numFmtId="178" fontId="0" fillId="3" borderId="0" xfId="0" applyNumberFormat="1" applyFill="1">
      <alignment vertical="center"/>
    </xf>
    <xf numFmtId="41" fontId="0" fillId="3" borderId="0" xfId="1" applyFont="1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41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5" fillId="0" borderId="0" xfId="0" applyNumberFormat="1" applyFont="1">
      <alignment vertical="center"/>
    </xf>
    <xf numFmtId="179" fontId="0" fillId="2" borderId="0" xfId="0" applyNumberFormat="1" applyFill="1">
      <alignment vertical="center"/>
    </xf>
    <xf numFmtId="0" fontId="6" fillId="0" borderId="0" xfId="0" applyFont="1">
      <alignment vertical="center"/>
    </xf>
    <xf numFmtId="178" fontId="6" fillId="3" borderId="0" xfId="0" applyNumberFormat="1" applyFont="1" applyFill="1">
      <alignment vertical="center"/>
    </xf>
    <xf numFmtId="41" fontId="6" fillId="3" borderId="0" xfId="1" applyFont="1" applyFill="1">
      <alignment vertical="center"/>
    </xf>
    <xf numFmtId="0" fontId="4" fillId="3" borderId="0" xfId="0" applyFont="1" applyFill="1">
      <alignment vertical="center"/>
    </xf>
    <xf numFmtId="0" fontId="6" fillId="3" borderId="0" xfId="0" applyFont="1" applyFill="1">
      <alignment vertical="center"/>
    </xf>
    <xf numFmtId="49" fontId="6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49" fontId="7" fillId="0" borderId="0" xfId="0" applyNumberFormat="1" applyFont="1">
      <alignment vertical="center"/>
    </xf>
    <xf numFmtId="41" fontId="6" fillId="2" borderId="0" xfId="1" applyFont="1" applyFill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8" fillId="2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49" fontId="6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3" fillId="5" borderId="0" xfId="0" applyFont="1" applyFill="1">
      <alignment vertical="center"/>
    </xf>
    <xf numFmtId="0" fontId="0" fillId="5" borderId="0" xfId="0" applyFill="1">
      <alignment vertical="center"/>
    </xf>
    <xf numFmtId="49" fontId="14" fillId="0" borderId="0" xfId="0" applyNumberFormat="1" applyFont="1">
      <alignment vertical="center"/>
    </xf>
    <xf numFmtId="49" fontId="8" fillId="6" borderId="0" xfId="0" applyNumberFormat="1" applyFont="1" applyFill="1">
      <alignment vertical="center"/>
    </xf>
    <xf numFmtId="0" fontId="13" fillId="0" borderId="0" xfId="0" applyFont="1">
      <alignment vertical="center"/>
    </xf>
    <xf numFmtId="41" fontId="13" fillId="0" borderId="0" xfId="1" applyFont="1">
      <alignment vertical="center"/>
    </xf>
    <xf numFmtId="179" fontId="13" fillId="2" borderId="0" xfId="0" applyNumberFormat="1" applyFont="1" applyFill="1">
      <alignment vertical="center"/>
    </xf>
    <xf numFmtId="177" fontId="13" fillId="2" borderId="0" xfId="0" applyNumberFormat="1" applyFont="1" applyFill="1">
      <alignment vertical="center"/>
    </xf>
    <xf numFmtId="41" fontId="13" fillId="2" borderId="0" xfId="1" applyFont="1" applyFill="1">
      <alignment vertical="center"/>
    </xf>
    <xf numFmtId="0" fontId="13" fillId="2" borderId="0" xfId="0" applyFont="1" applyFill="1">
      <alignment vertical="center"/>
    </xf>
    <xf numFmtId="178" fontId="8" fillId="3" borderId="0" xfId="0" applyNumberFormat="1" applyFont="1" applyFill="1">
      <alignment vertical="center"/>
    </xf>
    <xf numFmtId="41" fontId="8" fillId="3" borderId="0" xfId="1" applyFont="1" applyFill="1">
      <alignment vertical="center"/>
    </xf>
    <xf numFmtId="0" fontId="8" fillId="3" borderId="0" xfId="0" applyFont="1" applyFill="1">
      <alignment vertical="center"/>
    </xf>
    <xf numFmtId="178" fontId="0" fillId="2" borderId="0" xfId="0" applyNumberFormat="1" applyFill="1">
      <alignment vertical="center"/>
    </xf>
    <xf numFmtId="178" fontId="2" fillId="2" borderId="0" xfId="0" applyNumberFormat="1" applyFont="1" applyFill="1">
      <alignment vertical="center"/>
    </xf>
    <xf numFmtId="178" fontId="13" fillId="2" borderId="0" xfId="0" applyNumberFormat="1" applyFon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0"/>
  <sheetViews>
    <sheetView workbookViewId="0">
      <selection activeCell="D16" sqref="D16"/>
    </sheetView>
  </sheetViews>
  <sheetFormatPr defaultRowHeight="17.399999999999999"/>
  <cols>
    <col min="4" max="4" width="12.59765625" customWidth="1"/>
    <col min="6" max="6" width="14.296875" customWidth="1"/>
    <col min="7" max="7" width="13.3984375" customWidth="1"/>
    <col min="8" max="9" width="16.3984375" customWidth="1"/>
    <col min="10" max="10" width="14" bestFit="1" customWidth="1"/>
    <col min="11" max="11" width="12.5" customWidth="1"/>
    <col min="13" max="13" width="18.3984375" customWidth="1"/>
    <col min="14" max="14" width="21.3984375" customWidth="1"/>
    <col min="15" max="15" width="13.296875" customWidth="1"/>
  </cols>
  <sheetData>
    <row r="3" spans="2:16"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9</v>
      </c>
      <c r="I3" t="s">
        <v>11</v>
      </c>
      <c r="J3" t="s">
        <v>12</v>
      </c>
      <c r="K3" t="s">
        <v>10</v>
      </c>
      <c r="M3" t="s">
        <v>8</v>
      </c>
      <c r="N3" t="s">
        <v>13</v>
      </c>
      <c r="O3" t="s">
        <v>14</v>
      </c>
      <c r="P3" t="s">
        <v>10</v>
      </c>
    </row>
    <row r="4" spans="2:16">
      <c r="B4" t="s">
        <v>0</v>
      </c>
      <c r="C4">
        <v>40000</v>
      </c>
      <c r="D4" s="4" t="s">
        <v>18</v>
      </c>
      <c r="E4" s="3">
        <v>1000</v>
      </c>
      <c r="F4" s="3">
        <f>C4*E4/2</f>
        <v>20000000</v>
      </c>
      <c r="G4" s="5">
        <f>E4/D4</f>
        <v>0.8509914049868097</v>
      </c>
      <c r="H4" s="6">
        <f>E4/D4</f>
        <v>0.8509914049868097</v>
      </c>
      <c r="I4" s="7">
        <f>F4-C4</f>
        <v>19960000</v>
      </c>
      <c r="J4" s="12">
        <v>80000</v>
      </c>
      <c r="K4" s="8">
        <v>40000</v>
      </c>
      <c r="M4" s="9">
        <v>1</v>
      </c>
      <c r="N4" s="10">
        <f>F4-M4*C4</f>
        <v>19960000</v>
      </c>
      <c r="O4" s="13">
        <v>80000</v>
      </c>
      <c r="P4" s="11">
        <f>(O4-C4)*M4</f>
        <v>40000</v>
      </c>
    </row>
    <row r="5" spans="2:16">
      <c r="B5" t="s">
        <v>1</v>
      </c>
      <c r="C5">
        <v>12500</v>
      </c>
      <c r="D5" s="4" t="s">
        <v>20</v>
      </c>
      <c r="E5" s="3">
        <v>10000</v>
      </c>
      <c r="F5" s="3">
        <f t="shared" ref="F5:F6" si="0">C5*E5/2</f>
        <v>62500000</v>
      </c>
      <c r="G5" s="5">
        <f>E5/D5</f>
        <v>6.4214115546879516</v>
      </c>
      <c r="H5" s="6">
        <f t="shared" ref="H5" si="1">E5/D5</f>
        <v>6.4214115546879516</v>
      </c>
      <c r="I5" s="7">
        <f>F5-C5*7</f>
        <v>62412500</v>
      </c>
      <c r="J5" s="12">
        <v>25000</v>
      </c>
      <c r="K5" s="8">
        <f>12500*6</f>
        <v>75000</v>
      </c>
      <c r="M5" s="9">
        <v>6</v>
      </c>
      <c r="N5" s="10">
        <f t="shared" ref="N5:N6" si="2">F5-M5*C5</f>
        <v>62425000</v>
      </c>
      <c r="O5" s="13">
        <v>25000</v>
      </c>
      <c r="P5" s="11">
        <f t="shared" ref="P5:P6" si="3">(O5-C5)*M5</f>
        <v>75000</v>
      </c>
    </row>
    <row r="6" spans="2:16">
      <c r="B6" t="s">
        <v>2</v>
      </c>
      <c r="C6">
        <v>10000</v>
      </c>
      <c r="D6" s="4" t="s">
        <v>16</v>
      </c>
      <c r="E6" s="3">
        <v>12000</v>
      </c>
      <c r="F6" s="3">
        <f t="shared" si="0"/>
        <v>60000000</v>
      </c>
      <c r="G6" s="5">
        <f>E6/D6</f>
        <v>6.8509574212996265</v>
      </c>
      <c r="H6" s="6">
        <v>7</v>
      </c>
      <c r="I6" s="7">
        <f>F6-C6*8</f>
        <v>59920000</v>
      </c>
      <c r="J6" s="12">
        <v>20000</v>
      </c>
      <c r="K6" s="8">
        <f>10000*7</f>
        <v>70000</v>
      </c>
      <c r="M6" s="9">
        <v>7</v>
      </c>
      <c r="N6" s="10">
        <f t="shared" si="2"/>
        <v>59930000</v>
      </c>
      <c r="O6" s="13">
        <v>20000</v>
      </c>
      <c r="P6" s="11">
        <f t="shared" si="3"/>
        <v>70000</v>
      </c>
    </row>
    <row r="7" spans="2:16">
      <c r="E7" s="3"/>
      <c r="K7" s="3">
        <f>SUM(K4:K6)</f>
        <v>185000</v>
      </c>
      <c r="P7">
        <f>SUM(P4:P6)</f>
        <v>185000</v>
      </c>
    </row>
    <row r="8" spans="2:16">
      <c r="C8" t="s">
        <v>3</v>
      </c>
      <c r="D8" t="s">
        <v>4</v>
      </c>
      <c r="E8" s="3" t="s">
        <v>5</v>
      </c>
      <c r="F8" t="s">
        <v>6</v>
      </c>
      <c r="G8" t="s">
        <v>7</v>
      </c>
      <c r="H8" t="s">
        <v>9</v>
      </c>
      <c r="J8" t="s">
        <v>12</v>
      </c>
      <c r="K8" t="s">
        <v>10</v>
      </c>
      <c r="N8" s="14"/>
    </row>
    <row r="9" spans="2:16">
      <c r="B9" t="s">
        <v>0</v>
      </c>
      <c r="C9">
        <v>40000</v>
      </c>
      <c r="D9" s="4" t="s">
        <v>17</v>
      </c>
      <c r="E9" s="3">
        <v>2000</v>
      </c>
      <c r="F9" s="3">
        <f>E9*C9/2</f>
        <v>40000000</v>
      </c>
      <c r="G9" s="1">
        <f>E9/D9</f>
        <v>1.7019828099736194</v>
      </c>
      <c r="H9" s="2">
        <f>E9/D9</f>
        <v>1.7019828099736194</v>
      </c>
      <c r="I9" s="2"/>
      <c r="J9">
        <v>80000</v>
      </c>
      <c r="K9">
        <f>J9/2*2</f>
        <v>80000</v>
      </c>
    </row>
    <row r="10" spans="2:16">
      <c r="B10" t="s">
        <v>1</v>
      </c>
      <c r="C10">
        <v>12500</v>
      </c>
      <c r="D10" s="4" t="s">
        <v>19</v>
      </c>
      <c r="E10" s="3">
        <v>7500</v>
      </c>
      <c r="F10" s="3">
        <f>E10*C10/2</f>
        <v>46875000</v>
      </c>
      <c r="G10" s="1">
        <f>E10/D10</f>
        <v>4.8160586660159641</v>
      </c>
      <c r="H10" s="2">
        <f t="shared" ref="H10:H11" si="4">E10/D10</f>
        <v>4.8160586660159641</v>
      </c>
      <c r="I10" s="2"/>
      <c r="J10">
        <v>25000</v>
      </c>
      <c r="K10">
        <f>J10/2*5</f>
        <v>62500</v>
      </c>
      <c r="O10">
        <v>40000</v>
      </c>
      <c r="P10">
        <f>O10*M11</f>
        <v>120000</v>
      </c>
    </row>
    <row r="11" spans="2:16">
      <c r="B11" t="s">
        <v>2</v>
      </c>
      <c r="C11">
        <v>10000</v>
      </c>
      <c r="D11" s="4" t="s">
        <v>15</v>
      </c>
      <c r="E11" s="3">
        <v>9000</v>
      </c>
      <c r="F11" s="3">
        <f>E11*C11/2</f>
        <v>45000000</v>
      </c>
      <c r="G11" s="1">
        <f>E11/D11</f>
        <v>5.1382180659747201</v>
      </c>
      <c r="H11" s="2">
        <f t="shared" si="4"/>
        <v>5.1382180659747201</v>
      </c>
      <c r="I11" s="2"/>
      <c r="J11">
        <v>20000</v>
      </c>
      <c r="K11">
        <f>J11/2*5</f>
        <v>50000</v>
      </c>
      <c r="M11">
        <v>3</v>
      </c>
      <c r="O11">
        <v>12500</v>
      </c>
      <c r="P11">
        <f t="shared" ref="P11:P12" si="5">O11*M12</f>
        <v>37500</v>
      </c>
    </row>
    <row r="12" spans="2:16">
      <c r="E12" s="3"/>
      <c r="F12" s="3"/>
      <c r="K12" s="3">
        <f>SUM(K9:K11)</f>
        <v>192500</v>
      </c>
      <c r="M12">
        <v>3</v>
      </c>
      <c r="O12">
        <v>10000</v>
      </c>
      <c r="P12">
        <f t="shared" si="5"/>
        <v>20000</v>
      </c>
    </row>
    <row r="13" spans="2:16">
      <c r="E13" s="3"/>
      <c r="F13" s="3"/>
      <c r="K13" s="3"/>
      <c r="M13">
        <v>2</v>
      </c>
      <c r="P13">
        <f>SUM(P10:P12)</f>
        <v>177500</v>
      </c>
    </row>
    <row r="14" spans="2:16">
      <c r="C14" t="s">
        <v>3</v>
      </c>
      <c r="D14" t="s">
        <v>4</v>
      </c>
      <c r="E14" s="3" t="s">
        <v>5</v>
      </c>
      <c r="F14" t="s">
        <v>6</v>
      </c>
      <c r="G14" t="s">
        <v>7</v>
      </c>
      <c r="H14" t="s">
        <v>9</v>
      </c>
      <c r="J14" t="s">
        <v>12</v>
      </c>
      <c r="K14" t="s">
        <v>10</v>
      </c>
    </row>
    <row r="15" spans="2:16">
      <c r="B15" t="s">
        <v>0</v>
      </c>
      <c r="C15">
        <v>40000</v>
      </c>
      <c r="D15" s="4" t="s">
        <v>17</v>
      </c>
      <c r="E15" s="3">
        <v>3000</v>
      </c>
      <c r="F15" s="3">
        <f>E15*C15/2</f>
        <v>60000000</v>
      </c>
      <c r="G15" s="1">
        <f>E15/D15</f>
        <v>2.5529742149604293</v>
      </c>
      <c r="H15" s="2">
        <f>E15/D15</f>
        <v>2.5529742149604293</v>
      </c>
      <c r="I15" s="2"/>
      <c r="J15">
        <v>80000</v>
      </c>
      <c r="K15">
        <f>J15/2*3</f>
        <v>120000</v>
      </c>
    </row>
    <row r="16" spans="2:16">
      <c r="B16" t="s">
        <v>1</v>
      </c>
      <c r="C16">
        <v>12500</v>
      </c>
      <c r="D16" s="4" t="s">
        <v>19</v>
      </c>
      <c r="E16" s="3">
        <v>4000</v>
      </c>
      <c r="F16" s="3">
        <f>E16*C16/2</f>
        <v>25000000</v>
      </c>
      <c r="G16" s="1">
        <f>E16/D16</f>
        <v>2.5685646218751805</v>
      </c>
      <c r="H16" s="2">
        <f t="shared" ref="H16:H17" si="6">E16/D16</f>
        <v>2.5685646218751805</v>
      </c>
      <c r="I16" s="2"/>
      <c r="J16">
        <v>25000</v>
      </c>
      <c r="K16">
        <f>J16/2*3</f>
        <v>37500</v>
      </c>
    </row>
    <row r="17" spans="2:11">
      <c r="B17" t="s">
        <v>2</v>
      </c>
      <c r="C17">
        <v>10000</v>
      </c>
      <c r="D17" s="4" t="s">
        <v>15</v>
      </c>
      <c r="E17" s="3">
        <v>5000</v>
      </c>
      <c r="F17" s="3">
        <f>E17*C17/2</f>
        <v>25000000</v>
      </c>
      <c r="G17" s="1">
        <f>E17/D17</f>
        <v>2.8545655922081781</v>
      </c>
      <c r="H17" s="2">
        <f t="shared" si="6"/>
        <v>2.8545655922081781</v>
      </c>
      <c r="I17" s="2"/>
      <c r="J17">
        <v>20000</v>
      </c>
      <c r="K17">
        <f>J17/2*3</f>
        <v>30000</v>
      </c>
    </row>
    <row r="18" spans="2:11">
      <c r="E18" s="3"/>
      <c r="F18" s="3"/>
      <c r="K18" s="3">
        <f>SUM(K15:K17)</f>
        <v>187500</v>
      </c>
    </row>
    <row r="19" spans="2:11">
      <c r="E19" s="3"/>
      <c r="F19" s="3"/>
    </row>
    <row r="20" spans="2:11">
      <c r="C20" t="s">
        <v>3</v>
      </c>
      <c r="D20" t="s">
        <v>4</v>
      </c>
      <c r="E20" s="3" t="s">
        <v>5</v>
      </c>
      <c r="F20" s="3" t="s">
        <v>6</v>
      </c>
      <c r="G20" t="s">
        <v>7</v>
      </c>
      <c r="H20" t="s">
        <v>9</v>
      </c>
      <c r="J20" t="s">
        <v>12</v>
      </c>
      <c r="K20" t="s">
        <v>10</v>
      </c>
    </row>
    <row r="21" spans="2:11">
      <c r="B21" t="s">
        <v>0</v>
      </c>
      <c r="C21">
        <v>40000</v>
      </c>
      <c r="D21" s="4" t="s">
        <v>17</v>
      </c>
      <c r="E21" s="3">
        <v>4000</v>
      </c>
      <c r="F21" s="3">
        <f>E21*C21/2</f>
        <v>80000000</v>
      </c>
      <c r="G21" s="1">
        <f>E21/D21</f>
        <v>3.4039656199472388</v>
      </c>
      <c r="H21" s="2">
        <f>E21/D21</f>
        <v>3.4039656199472388</v>
      </c>
      <c r="I21" s="2"/>
      <c r="J21">
        <v>80000</v>
      </c>
      <c r="K21">
        <f>J21/2*3</f>
        <v>120000</v>
      </c>
    </row>
    <row r="22" spans="2:11">
      <c r="B22" t="s">
        <v>1</v>
      </c>
      <c r="C22">
        <v>12500</v>
      </c>
      <c r="D22" s="4" t="s">
        <v>19</v>
      </c>
      <c r="E22" s="3">
        <v>1000</v>
      </c>
      <c r="F22" s="3">
        <f>E22*C22/2</f>
        <v>6250000</v>
      </c>
      <c r="G22" s="1">
        <f>E22/D22</f>
        <v>0.64214115546879513</v>
      </c>
      <c r="H22" s="2">
        <f t="shared" ref="H22:H23" si="7">E22/D22</f>
        <v>0.64214115546879513</v>
      </c>
      <c r="I22" s="2"/>
      <c r="J22">
        <v>25000</v>
      </c>
      <c r="K22">
        <f>J22/2*1</f>
        <v>12500</v>
      </c>
    </row>
    <row r="23" spans="2:11">
      <c r="B23" t="s">
        <v>2</v>
      </c>
      <c r="C23">
        <v>10000</v>
      </c>
      <c r="D23" s="4" t="s">
        <v>15</v>
      </c>
      <c r="E23" s="3">
        <v>1000</v>
      </c>
      <c r="F23" s="3">
        <f>E23*C23/2</f>
        <v>5000000</v>
      </c>
      <c r="G23" s="1">
        <f>E23/D23</f>
        <v>0.57091311844163561</v>
      </c>
      <c r="H23" s="2">
        <f t="shared" si="7"/>
        <v>0.57091311844163561</v>
      </c>
      <c r="I23" s="2"/>
      <c r="J23">
        <v>20000</v>
      </c>
      <c r="K23">
        <f>J23/2*1</f>
        <v>10000</v>
      </c>
    </row>
    <row r="24" spans="2:11">
      <c r="E24" s="3"/>
      <c r="F24" s="3"/>
      <c r="K24" s="3">
        <f>SUM(K21:K23)</f>
        <v>142500</v>
      </c>
    </row>
    <row r="25" spans="2:11">
      <c r="E25" s="3"/>
      <c r="F25" s="3"/>
    </row>
    <row r="26" spans="2:11">
      <c r="C26" t="s">
        <v>3</v>
      </c>
      <c r="D26" t="s">
        <v>4</v>
      </c>
      <c r="E26" s="3" t="s">
        <v>5</v>
      </c>
      <c r="F26" s="3" t="s">
        <v>6</v>
      </c>
      <c r="G26" t="s">
        <v>7</v>
      </c>
      <c r="H26" t="s">
        <v>9</v>
      </c>
      <c r="J26" t="s">
        <v>12</v>
      </c>
      <c r="K26" t="s">
        <v>10</v>
      </c>
    </row>
    <row r="27" spans="2:11">
      <c r="B27" t="s">
        <v>0</v>
      </c>
      <c r="C27">
        <v>40000</v>
      </c>
      <c r="D27" s="4" t="s">
        <v>17</v>
      </c>
      <c r="E27" s="3"/>
      <c r="F27" s="3"/>
      <c r="G27" s="1"/>
      <c r="H27" s="2"/>
      <c r="I27" s="2"/>
    </row>
    <row r="28" spans="2:11">
      <c r="B28" t="s">
        <v>1</v>
      </c>
      <c r="C28">
        <v>12500</v>
      </c>
      <c r="D28" s="4" t="s">
        <v>19</v>
      </c>
      <c r="E28" s="3">
        <v>13000</v>
      </c>
      <c r="F28" s="3">
        <f>E28*C28/2</f>
        <v>81250000</v>
      </c>
      <c r="G28" s="1">
        <f>E28/D28</f>
        <v>8.3478350210943368</v>
      </c>
      <c r="H28" s="2">
        <f t="shared" ref="H28:H29" si="8">E28/D28</f>
        <v>8.3478350210943368</v>
      </c>
      <c r="I28" s="2"/>
      <c r="J28">
        <v>25000</v>
      </c>
      <c r="K28">
        <f>J28/2*8</f>
        <v>100000</v>
      </c>
    </row>
    <row r="29" spans="2:11">
      <c r="B29" t="s">
        <v>2</v>
      </c>
      <c r="C29">
        <v>10000</v>
      </c>
      <c r="D29" s="4" t="s">
        <v>15</v>
      </c>
      <c r="E29" s="3">
        <v>12000</v>
      </c>
      <c r="F29" s="3">
        <f>E29*C29/2</f>
        <v>60000000</v>
      </c>
      <c r="G29" s="1">
        <f>E29/D29</f>
        <v>6.8509574212996265</v>
      </c>
      <c r="H29" s="2">
        <f t="shared" si="8"/>
        <v>6.8509574212996265</v>
      </c>
      <c r="I29" s="2"/>
      <c r="J29">
        <v>20000</v>
      </c>
      <c r="K29">
        <f>J29/2*7</f>
        <v>70000</v>
      </c>
    </row>
    <row r="30" spans="2:11">
      <c r="K30" s="3">
        <f>SUM(K27:K29)</f>
        <v>170000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3"/>
  <sheetViews>
    <sheetView tabSelected="1" topLeftCell="A25" workbookViewId="0">
      <selection activeCell="I44" sqref="I44"/>
    </sheetView>
  </sheetViews>
  <sheetFormatPr defaultRowHeight="17.399999999999999"/>
  <cols>
    <col min="1" max="1" width="12.19921875" style="15" customWidth="1"/>
    <col min="2" max="2" width="10.69921875" style="42" customWidth="1"/>
    <col min="3" max="3" width="37.796875" style="15" customWidth="1"/>
    <col min="4" max="4" width="23.796875" customWidth="1"/>
    <col min="5" max="5" width="9.19921875" customWidth="1"/>
    <col min="6" max="6" width="11.296875" customWidth="1"/>
    <col min="7" max="7" width="8.796875" customWidth="1"/>
    <col min="8" max="8" width="13.19921875" customWidth="1"/>
    <col min="9" max="9" width="12.3984375" customWidth="1"/>
    <col min="10" max="10" width="17.3984375" customWidth="1"/>
    <col min="11" max="11" width="12.796875" customWidth="1"/>
    <col min="12" max="12" width="11.09765625" customWidth="1"/>
    <col min="13" max="13" width="12.19921875" customWidth="1"/>
    <col min="14" max="14" width="8.796875" customWidth="1"/>
    <col min="15" max="15" width="12.3984375" style="19" bestFit="1" customWidth="1"/>
    <col min="16" max="16" width="13" style="19" bestFit="1" customWidth="1"/>
    <col min="17" max="17" width="11.09765625" style="19" customWidth="1"/>
    <col min="18" max="18" width="8.59765625" style="19" bestFit="1" customWidth="1"/>
  </cols>
  <sheetData>
    <row r="1" spans="1:18" ht="25.2">
      <c r="A1" s="26" t="s">
        <v>27</v>
      </c>
      <c r="B1" s="26"/>
      <c r="C1" s="28"/>
      <c r="D1" s="29"/>
      <c r="E1" s="29"/>
      <c r="F1" s="29" t="e">
        <f>5000/#REF!</f>
        <v>#REF!</v>
      </c>
      <c r="G1" s="29"/>
      <c r="H1" s="29">
        <f>2500/190</f>
        <v>13.157894736842104</v>
      </c>
      <c r="I1" s="29"/>
    </row>
    <row r="2" spans="1:18" s="19" customFormat="1">
      <c r="A2" s="24" t="s">
        <v>25</v>
      </c>
      <c r="B2" s="24" t="s">
        <v>92</v>
      </c>
      <c r="C2" s="24"/>
      <c r="D2" s="25"/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9</v>
      </c>
      <c r="K2" s="25" t="s">
        <v>11</v>
      </c>
      <c r="L2" s="25" t="s">
        <v>12</v>
      </c>
      <c r="M2" s="25" t="s">
        <v>22</v>
      </c>
      <c r="N2" s="25"/>
      <c r="O2" s="25" t="s">
        <v>8</v>
      </c>
      <c r="P2" s="25" t="s">
        <v>13</v>
      </c>
      <c r="Q2" s="25" t="s">
        <v>14</v>
      </c>
      <c r="R2" s="25" t="s">
        <v>10</v>
      </c>
    </row>
    <row r="3" spans="1:18">
      <c r="A3" s="36" t="s">
        <v>50</v>
      </c>
      <c r="B3" s="36"/>
      <c r="C3" s="30" t="s">
        <v>29</v>
      </c>
      <c r="D3" t="s">
        <v>21</v>
      </c>
      <c r="E3">
        <v>19000</v>
      </c>
      <c r="F3" s="53" t="s">
        <v>24</v>
      </c>
      <c r="G3" s="3">
        <v>6400</v>
      </c>
      <c r="H3" s="3">
        <f t="shared" ref="H3:H52" si="0">E3*G3/2</f>
        <v>60800000</v>
      </c>
      <c r="I3" s="5">
        <f t="shared" ref="I3:I52" si="1">G3/F3</f>
        <v>1.4553161105767372</v>
      </c>
      <c r="J3" s="6">
        <f>G3/F3</f>
        <v>1.4553161105767372</v>
      </c>
      <c r="K3" s="7">
        <f>H3-E3</f>
        <v>60781000</v>
      </c>
      <c r="L3" s="12">
        <v>38000</v>
      </c>
      <c r="M3" s="8">
        <f>L3-E3</f>
        <v>19000</v>
      </c>
      <c r="O3" s="20">
        <v>1</v>
      </c>
      <c r="P3" s="21">
        <f>H3-O3*E3</f>
        <v>60781000</v>
      </c>
      <c r="Q3" s="22">
        <v>32000</v>
      </c>
      <c r="R3" s="23">
        <f t="shared" ref="R3:R52" si="2">(Q3-E3)*O3</f>
        <v>13000</v>
      </c>
    </row>
    <row r="4" spans="1:18">
      <c r="A4" s="30" t="s">
        <v>51</v>
      </c>
      <c r="B4" s="36"/>
      <c r="C4" s="30" t="s">
        <v>114</v>
      </c>
      <c r="D4" t="s">
        <v>30</v>
      </c>
      <c r="E4">
        <v>14000</v>
      </c>
      <c r="F4" s="53" t="s">
        <v>33</v>
      </c>
      <c r="G4" s="3">
        <v>4500</v>
      </c>
      <c r="H4" s="3">
        <f t="shared" si="0"/>
        <v>31500000</v>
      </c>
      <c r="I4" s="18">
        <f t="shared" si="1"/>
        <v>2.7108433734939759</v>
      </c>
      <c r="J4" s="6">
        <f>G4/F4</f>
        <v>2.7108433734939759</v>
      </c>
      <c r="K4" s="7">
        <f>H4-E4*3</f>
        <v>31458000</v>
      </c>
      <c r="L4" s="12">
        <f t="shared" ref="L4:L52" si="3">E4*2</f>
        <v>28000</v>
      </c>
      <c r="M4" s="8">
        <f>(L4-E4)*3</f>
        <v>42000</v>
      </c>
      <c r="O4" s="31">
        <v>3</v>
      </c>
      <c r="P4" s="21">
        <f>H4-O4*E4</f>
        <v>31458000</v>
      </c>
      <c r="Q4" s="22">
        <v>32800</v>
      </c>
      <c r="R4" s="23">
        <f t="shared" si="2"/>
        <v>56400</v>
      </c>
    </row>
    <row r="5" spans="1:18">
      <c r="A5" s="30" t="s">
        <v>51</v>
      </c>
      <c r="B5" s="36"/>
      <c r="C5" s="30" t="s">
        <v>90</v>
      </c>
      <c r="D5" t="s">
        <v>30</v>
      </c>
      <c r="E5">
        <v>14000</v>
      </c>
      <c r="F5" s="53" t="s">
        <v>32</v>
      </c>
      <c r="G5" s="3">
        <v>2000</v>
      </c>
      <c r="H5" s="3">
        <f t="shared" si="0"/>
        <v>14000000</v>
      </c>
      <c r="I5" s="18">
        <f t="shared" si="1"/>
        <v>1.7857142857142858</v>
      </c>
      <c r="J5" s="6">
        <f>G5/F5</f>
        <v>1.7857142857142858</v>
      </c>
      <c r="K5" s="7">
        <f>H5-E5*2</f>
        <v>13972000</v>
      </c>
      <c r="L5" s="12">
        <f t="shared" si="3"/>
        <v>28000</v>
      </c>
      <c r="M5" s="8">
        <f>(L5-E5)*2</f>
        <v>28000</v>
      </c>
      <c r="O5" s="31">
        <v>2</v>
      </c>
      <c r="P5" s="21">
        <f>H5-O5*E5</f>
        <v>13972000</v>
      </c>
      <c r="Q5" s="22">
        <v>33050</v>
      </c>
      <c r="R5" s="23">
        <f t="shared" si="2"/>
        <v>38100</v>
      </c>
    </row>
    <row r="6" spans="1:18">
      <c r="A6" s="30" t="s">
        <v>51</v>
      </c>
      <c r="B6" s="36"/>
      <c r="C6" s="30" t="s">
        <v>83</v>
      </c>
      <c r="D6" t="s">
        <v>30</v>
      </c>
      <c r="E6">
        <v>14000</v>
      </c>
      <c r="F6" s="53" t="s">
        <v>31</v>
      </c>
      <c r="G6" s="3">
        <v>1800</v>
      </c>
      <c r="H6" s="3">
        <f t="shared" si="0"/>
        <v>12600000</v>
      </c>
      <c r="I6" s="18">
        <f t="shared" si="1"/>
        <v>2</v>
      </c>
      <c r="J6" s="6">
        <f>G6/F6</f>
        <v>2</v>
      </c>
      <c r="K6" s="7">
        <f>H6-E6*2</f>
        <v>12572000</v>
      </c>
      <c r="L6" s="12">
        <f t="shared" si="3"/>
        <v>28000</v>
      </c>
      <c r="M6" s="8">
        <f>(L6-E6)*2</f>
        <v>28000</v>
      </c>
      <c r="O6" s="31">
        <v>2</v>
      </c>
      <c r="P6" s="21">
        <v>12570000</v>
      </c>
      <c r="Q6" s="22">
        <v>32000</v>
      </c>
      <c r="R6" s="23">
        <f t="shared" si="2"/>
        <v>36000</v>
      </c>
    </row>
    <row r="7" spans="1:18">
      <c r="A7" s="30" t="s">
        <v>46</v>
      </c>
      <c r="B7" s="36"/>
      <c r="C7" s="30" t="s">
        <v>89</v>
      </c>
      <c r="D7" t="s">
        <v>35</v>
      </c>
      <c r="E7">
        <v>17000</v>
      </c>
      <c r="F7" s="54" t="s">
        <v>42</v>
      </c>
      <c r="G7" s="3">
        <v>5000</v>
      </c>
      <c r="H7" s="3">
        <f t="shared" si="0"/>
        <v>42500000</v>
      </c>
      <c r="I7" s="18">
        <f t="shared" si="1"/>
        <v>2.6954177897574123</v>
      </c>
      <c r="J7" s="6">
        <v>4</v>
      </c>
      <c r="K7" s="7">
        <f>H7-E7</f>
        <v>42483000</v>
      </c>
      <c r="L7" s="12">
        <f t="shared" si="3"/>
        <v>34000</v>
      </c>
      <c r="M7" s="8">
        <f>(L7-E7)*4</f>
        <v>68000</v>
      </c>
      <c r="O7" s="20">
        <v>4</v>
      </c>
      <c r="P7" s="27">
        <f t="shared" ref="P7:P52" si="4">H7-O7*E7</f>
        <v>42432000</v>
      </c>
      <c r="Q7" s="22">
        <v>37150</v>
      </c>
      <c r="R7" s="23">
        <f t="shared" si="2"/>
        <v>80600</v>
      </c>
    </row>
    <row r="8" spans="1:18">
      <c r="A8" s="30" t="s">
        <v>46</v>
      </c>
      <c r="B8" s="36"/>
      <c r="C8" s="30" t="s">
        <v>115</v>
      </c>
      <c r="D8" t="s">
        <v>35</v>
      </c>
      <c r="E8">
        <v>17000</v>
      </c>
      <c r="F8" s="53" t="s">
        <v>37</v>
      </c>
      <c r="G8" s="3">
        <v>10</v>
      </c>
      <c r="H8" s="3">
        <f t="shared" si="0"/>
        <v>85000</v>
      </c>
      <c r="I8" s="18">
        <f t="shared" si="1"/>
        <v>1.2269938650306749E-2</v>
      </c>
      <c r="J8" s="6">
        <v>1</v>
      </c>
      <c r="K8" s="7">
        <f t="shared" ref="K8:K10" si="5">H8-E8</f>
        <v>68000</v>
      </c>
      <c r="L8" s="12">
        <f t="shared" si="3"/>
        <v>34000</v>
      </c>
      <c r="M8" s="8">
        <f>(L8-E8)</f>
        <v>17000</v>
      </c>
      <c r="O8" s="20">
        <v>3</v>
      </c>
      <c r="P8" s="21">
        <f t="shared" si="4"/>
        <v>34000</v>
      </c>
      <c r="Q8" s="22">
        <v>35000</v>
      </c>
      <c r="R8" s="23">
        <f t="shared" si="2"/>
        <v>54000</v>
      </c>
    </row>
    <row r="9" spans="1:18">
      <c r="A9" s="30" t="s">
        <v>46</v>
      </c>
      <c r="B9" s="36"/>
      <c r="C9" s="30" t="s">
        <v>116</v>
      </c>
      <c r="D9" t="s">
        <v>35</v>
      </c>
      <c r="E9">
        <v>17000</v>
      </c>
      <c r="F9" s="53" t="s">
        <v>38</v>
      </c>
      <c r="G9" s="3">
        <v>10</v>
      </c>
      <c r="H9" s="3">
        <f t="shared" si="0"/>
        <v>85000</v>
      </c>
      <c r="I9" s="18">
        <f t="shared" si="1"/>
        <v>1.1655011655011656E-2</v>
      </c>
      <c r="J9" s="6">
        <v>1</v>
      </c>
      <c r="K9" s="7">
        <f t="shared" si="5"/>
        <v>68000</v>
      </c>
      <c r="L9" s="12">
        <f t="shared" si="3"/>
        <v>34000</v>
      </c>
      <c r="M9" s="8">
        <f>(L9-E9)</f>
        <v>17000</v>
      </c>
      <c r="O9" s="20">
        <v>3</v>
      </c>
      <c r="P9" s="21">
        <f t="shared" si="4"/>
        <v>34000</v>
      </c>
      <c r="Q9" s="22">
        <v>35000</v>
      </c>
      <c r="R9" s="23">
        <f t="shared" si="2"/>
        <v>54000</v>
      </c>
    </row>
    <row r="10" spans="1:18">
      <c r="A10" s="30" t="s">
        <v>46</v>
      </c>
      <c r="B10" s="36"/>
      <c r="C10" s="30" t="s">
        <v>39</v>
      </c>
      <c r="D10" s="39" t="s">
        <v>35</v>
      </c>
      <c r="E10">
        <v>17000</v>
      </c>
      <c r="F10" s="53" t="s">
        <v>41</v>
      </c>
      <c r="G10" s="3">
        <v>10</v>
      </c>
      <c r="H10" s="3">
        <f t="shared" si="0"/>
        <v>85000</v>
      </c>
      <c r="I10" s="18">
        <f t="shared" si="1"/>
        <v>7.6335877862595417E-3</v>
      </c>
      <c r="J10" s="6">
        <v>1</v>
      </c>
      <c r="K10" s="7">
        <f t="shared" si="5"/>
        <v>68000</v>
      </c>
      <c r="L10" s="12">
        <f t="shared" si="3"/>
        <v>34000</v>
      </c>
      <c r="M10" s="8">
        <f>(L10-E10)</f>
        <v>17000</v>
      </c>
      <c r="O10" s="20">
        <v>5</v>
      </c>
      <c r="P10" s="21">
        <f t="shared" si="4"/>
        <v>0</v>
      </c>
      <c r="Q10" s="22">
        <v>39350</v>
      </c>
      <c r="R10" s="23">
        <f t="shared" si="2"/>
        <v>111750</v>
      </c>
    </row>
    <row r="11" spans="1:18">
      <c r="A11" s="36" t="s">
        <v>47</v>
      </c>
      <c r="B11" s="36"/>
      <c r="C11" s="30" t="s">
        <v>88</v>
      </c>
      <c r="D11" s="40" t="s">
        <v>36</v>
      </c>
      <c r="E11">
        <v>16000</v>
      </c>
      <c r="F11" s="54" t="s">
        <v>43</v>
      </c>
      <c r="G11" s="3">
        <v>5000</v>
      </c>
      <c r="H11" s="3">
        <f t="shared" si="0"/>
        <v>40000000</v>
      </c>
      <c r="I11" s="18">
        <f t="shared" si="1"/>
        <v>2.6609898882384249</v>
      </c>
      <c r="J11" s="6">
        <v>4</v>
      </c>
      <c r="K11" s="7">
        <f>H11-E11</f>
        <v>39984000</v>
      </c>
      <c r="L11" s="12">
        <f t="shared" si="3"/>
        <v>32000</v>
      </c>
      <c r="M11" s="8">
        <f>(L11-E11)*4</f>
        <v>64000</v>
      </c>
      <c r="O11" s="31">
        <v>7</v>
      </c>
      <c r="P11" s="27">
        <f t="shared" si="4"/>
        <v>39888000</v>
      </c>
      <c r="Q11" s="22">
        <v>40200</v>
      </c>
      <c r="R11" s="23">
        <f t="shared" si="2"/>
        <v>169400</v>
      </c>
    </row>
    <row r="12" spans="1:18">
      <c r="A12" s="30" t="s">
        <v>48</v>
      </c>
      <c r="B12" s="36"/>
      <c r="C12" s="30" t="s">
        <v>90</v>
      </c>
      <c r="D12" s="40" t="s">
        <v>44</v>
      </c>
      <c r="E12">
        <v>32000</v>
      </c>
      <c r="F12" s="53" t="s">
        <v>55</v>
      </c>
      <c r="G12" s="3">
        <v>5000</v>
      </c>
      <c r="H12" s="3">
        <f t="shared" si="0"/>
        <v>80000000</v>
      </c>
      <c r="I12" s="18">
        <f t="shared" si="1"/>
        <v>21.113081665399882</v>
      </c>
      <c r="J12" s="6">
        <f t="shared" ref="J12:J52" si="6">G12/F12</f>
        <v>21.113081665399882</v>
      </c>
      <c r="K12" s="7">
        <f>H12-E12</f>
        <v>79968000</v>
      </c>
      <c r="L12" s="12">
        <f t="shared" si="3"/>
        <v>64000</v>
      </c>
      <c r="M12" s="8">
        <f t="shared" ref="M12:M52" si="7">(L12-E12)</f>
        <v>32000</v>
      </c>
      <c r="O12" s="20">
        <v>21</v>
      </c>
      <c r="P12" s="21">
        <f t="shared" si="4"/>
        <v>79328000</v>
      </c>
      <c r="Q12" s="22">
        <v>27150</v>
      </c>
      <c r="R12" s="23">
        <f t="shared" si="2"/>
        <v>-101850</v>
      </c>
    </row>
    <row r="13" spans="1:18">
      <c r="A13" s="30" t="s">
        <v>49</v>
      </c>
      <c r="B13" s="36"/>
      <c r="C13" s="30" t="s">
        <v>29</v>
      </c>
      <c r="D13" s="40" t="s">
        <v>45</v>
      </c>
      <c r="E13">
        <v>10000</v>
      </c>
      <c r="F13" s="53" t="s">
        <v>53</v>
      </c>
      <c r="G13" s="3">
        <v>10</v>
      </c>
      <c r="H13" s="3">
        <f t="shared" si="0"/>
        <v>50000</v>
      </c>
      <c r="I13" s="18">
        <f t="shared" si="1"/>
        <v>1</v>
      </c>
      <c r="J13" s="6">
        <f t="shared" si="6"/>
        <v>1</v>
      </c>
      <c r="K13" s="7">
        <f t="shared" ref="K13:K14" si="8">H13-E13</f>
        <v>40000</v>
      </c>
      <c r="L13" s="12">
        <f t="shared" si="3"/>
        <v>20000</v>
      </c>
      <c r="M13" s="8">
        <f t="shared" si="7"/>
        <v>10000</v>
      </c>
      <c r="O13" s="20">
        <v>2</v>
      </c>
      <c r="P13" s="21">
        <f t="shared" si="4"/>
        <v>30000</v>
      </c>
      <c r="Q13" s="22">
        <v>24550</v>
      </c>
      <c r="R13" s="23">
        <f t="shared" si="2"/>
        <v>29100</v>
      </c>
    </row>
    <row r="14" spans="1:18">
      <c r="A14" s="30" t="s">
        <v>49</v>
      </c>
      <c r="B14" s="36"/>
      <c r="C14" s="30" t="s">
        <v>160</v>
      </c>
      <c r="D14" s="40" t="s">
        <v>45</v>
      </c>
      <c r="E14">
        <v>10000</v>
      </c>
      <c r="F14" s="53" t="s">
        <v>53</v>
      </c>
      <c r="G14" s="3">
        <v>10</v>
      </c>
      <c r="H14" s="3">
        <f t="shared" si="0"/>
        <v>50000</v>
      </c>
      <c r="I14" s="18">
        <f t="shared" si="1"/>
        <v>1</v>
      </c>
      <c r="J14" s="6">
        <f t="shared" si="6"/>
        <v>1</v>
      </c>
      <c r="K14" s="7">
        <f t="shared" si="8"/>
        <v>40000</v>
      </c>
      <c r="L14" s="12">
        <f t="shared" si="3"/>
        <v>20000</v>
      </c>
      <c r="M14" s="8">
        <f t="shared" si="7"/>
        <v>10000</v>
      </c>
      <c r="O14" s="20">
        <v>3</v>
      </c>
      <c r="P14" s="21">
        <f t="shared" si="4"/>
        <v>20000</v>
      </c>
      <c r="Q14" s="22">
        <v>26100</v>
      </c>
      <c r="R14" s="23">
        <f t="shared" si="2"/>
        <v>48300</v>
      </c>
    </row>
    <row r="15" spans="1:18">
      <c r="A15" s="30" t="s">
        <v>57</v>
      </c>
      <c r="B15" s="36"/>
      <c r="C15" s="30" t="s">
        <v>29</v>
      </c>
      <c r="D15" s="41" t="s">
        <v>56</v>
      </c>
      <c r="E15">
        <v>11000</v>
      </c>
      <c r="F15" s="53" t="s">
        <v>58</v>
      </c>
      <c r="G15" s="3">
        <v>10</v>
      </c>
      <c r="H15" s="3">
        <f t="shared" si="0"/>
        <v>55000</v>
      </c>
      <c r="I15" s="18">
        <f t="shared" si="1"/>
        <v>1.6666666666666668E-3</v>
      </c>
      <c r="J15" s="6">
        <v>1</v>
      </c>
      <c r="K15" s="7">
        <f>H15-E15</f>
        <v>44000</v>
      </c>
      <c r="L15" s="12">
        <f t="shared" si="3"/>
        <v>22000</v>
      </c>
      <c r="M15" s="8">
        <f t="shared" si="7"/>
        <v>11000</v>
      </c>
      <c r="O15" s="20">
        <v>3</v>
      </c>
      <c r="P15" s="21">
        <f t="shared" si="4"/>
        <v>22000</v>
      </c>
      <c r="Q15" s="22">
        <v>23900</v>
      </c>
      <c r="R15" s="23">
        <f t="shared" si="2"/>
        <v>38700</v>
      </c>
    </row>
    <row r="16" spans="1:18">
      <c r="A16" s="30" t="s">
        <v>69</v>
      </c>
      <c r="B16" s="36"/>
      <c r="C16" s="30" t="s">
        <v>107</v>
      </c>
      <c r="D16" t="s">
        <v>68</v>
      </c>
      <c r="E16">
        <v>18000</v>
      </c>
      <c r="F16" s="53" t="s">
        <v>70</v>
      </c>
      <c r="G16" s="3">
        <v>10</v>
      </c>
      <c r="H16" s="3">
        <f t="shared" si="0"/>
        <v>90000</v>
      </c>
      <c r="I16" s="18">
        <f t="shared" si="1"/>
        <v>3.2711808963035655E-3</v>
      </c>
      <c r="J16" s="6">
        <f t="shared" si="6"/>
        <v>3.2711808963035655E-3</v>
      </c>
      <c r="K16" s="7">
        <f t="shared" ref="K16:K18" si="9">H16-E16</f>
        <v>72000</v>
      </c>
      <c r="L16" s="12">
        <f t="shared" si="3"/>
        <v>36000</v>
      </c>
      <c r="M16" s="8">
        <f t="shared" si="7"/>
        <v>18000</v>
      </c>
      <c r="O16" s="20">
        <v>1</v>
      </c>
      <c r="P16" s="21">
        <f t="shared" si="4"/>
        <v>72000</v>
      </c>
      <c r="Q16" s="22">
        <v>25000</v>
      </c>
      <c r="R16" s="23">
        <f t="shared" si="2"/>
        <v>7000</v>
      </c>
    </row>
    <row r="17" spans="1:23">
      <c r="A17" s="30" t="s">
        <v>72</v>
      </c>
      <c r="B17" s="36"/>
      <c r="C17" s="30" t="s">
        <v>91</v>
      </c>
      <c r="D17" s="40" t="s">
        <v>71</v>
      </c>
      <c r="E17">
        <v>21000</v>
      </c>
      <c r="F17" s="53" t="s">
        <v>80</v>
      </c>
      <c r="G17" s="3">
        <v>10</v>
      </c>
      <c r="H17" s="3">
        <f t="shared" si="0"/>
        <v>105000</v>
      </c>
      <c r="I17" s="18">
        <f t="shared" si="1"/>
        <v>4.8355899419729211E-3</v>
      </c>
      <c r="J17" s="6">
        <f t="shared" si="6"/>
        <v>4.8355899419729211E-3</v>
      </c>
      <c r="K17" s="7">
        <f t="shared" si="9"/>
        <v>84000</v>
      </c>
      <c r="L17" s="12">
        <f t="shared" si="3"/>
        <v>42000</v>
      </c>
      <c r="M17" s="8">
        <f t="shared" si="7"/>
        <v>21000</v>
      </c>
      <c r="O17" s="20">
        <v>3</v>
      </c>
      <c r="P17" s="21">
        <f t="shared" si="4"/>
        <v>42000</v>
      </c>
      <c r="Q17" s="22">
        <v>51000</v>
      </c>
      <c r="R17" s="23">
        <f t="shared" si="2"/>
        <v>90000</v>
      </c>
    </row>
    <row r="18" spans="1:23">
      <c r="A18" s="30" t="s">
        <v>75</v>
      </c>
      <c r="B18" s="36"/>
      <c r="C18" s="30" t="s">
        <v>74</v>
      </c>
      <c r="D18" s="40" t="s">
        <v>73</v>
      </c>
      <c r="E18">
        <v>16000</v>
      </c>
      <c r="F18" s="53" t="s">
        <v>81</v>
      </c>
      <c r="G18" s="3">
        <v>12000</v>
      </c>
      <c r="H18" s="3">
        <f t="shared" si="0"/>
        <v>96000000</v>
      </c>
      <c r="I18" s="18">
        <f t="shared" si="1"/>
        <v>3.0737704918032787</v>
      </c>
      <c r="J18" s="6">
        <f t="shared" si="6"/>
        <v>3.0737704918032787</v>
      </c>
      <c r="K18" s="7">
        <f t="shared" si="9"/>
        <v>95984000</v>
      </c>
      <c r="L18" s="12">
        <f t="shared" si="3"/>
        <v>32000</v>
      </c>
      <c r="M18" s="8">
        <f t="shared" si="7"/>
        <v>16000</v>
      </c>
      <c r="O18" s="20">
        <v>12</v>
      </c>
      <c r="P18" s="21">
        <f t="shared" si="4"/>
        <v>95808000</v>
      </c>
      <c r="Q18" s="22">
        <v>37000</v>
      </c>
      <c r="R18" s="23">
        <f t="shared" si="2"/>
        <v>252000</v>
      </c>
    </row>
    <row r="19" spans="1:23">
      <c r="A19" s="30" t="s">
        <v>72</v>
      </c>
      <c r="B19" s="36"/>
      <c r="C19" s="30" t="s">
        <v>139</v>
      </c>
      <c r="D19" s="40" t="s">
        <v>77</v>
      </c>
      <c r="E19">
        <v>35000</v>
      </c>
      <c r="F19" s="53" t="s">
        <v>82</v>
      </c>
      <c r="G19" s="3">
        <v>10</v>
      </c>
      <c r="H19" s="3">
        <f t="shared" si="0"/>
        <v>175000</v>
      </c>
      <c r="I19" s="18">
        <f t="shared" si="1"/>
        <v>2.557544757033248E-2</v>
      </c>
      <c r="J19" s="6">
        <f t="shared" si="6"/>
        <v>2.557544757033248E-2</v>
      </c>
      <c r="K19" s="7">
        <f>H19-E19</f>
        <v>140000</v>
      </c>
      <c r="L19" s="12">
        <f t="shared" si="3"/>
        <v>70000</v>
      </c>
      <c r="M19" s="8">
        <f t="shared" si="7"/>
        <v>35000</v>
      </c>
      <c r="O19" s="20">
        <v>2</v>
      </c>
      <c r="P19" s="21">
        <f t="shared" si="4"/>
        <v>105000</v>
      </c>
      <c r="Q19" s="22">
        <v>47250</v>
      </c>
      <c r="R19" s="23">
        <f t="shared" si="2"/>
        <v>24500</v>
      </c>
      <c r="W19">
        <v>102730</v>
      </c>
    </row>
    <row r="20" spans="1:23">
      <c r="A20" s="30" t="s">
        <v>78</v>
      </c>
      <c r="B20" s="36"/>
      <c r="C20" s="30" t="s">
        <v>29</v>
      </c>
      <c r="D20" s="40" t="s">
        <v>79</v>
      </c>
      <c r="E20">
        <v>21000</v>
      </c>
      <c r="F20" s="53" t="s">
        <v>76</v>
      </c>
      <c r="G20" s="3">
        <v>10</v>
      </c>
      <c r="H20" s="3">
        <f t="shared" si="0"/>
        <v>105000</v>
      </c>
      <c r="I20" s="18">
        <f t="shared" si="1"/>
        <v>8.3333333333333332E-3</v>
      </c>
      <c r="J20" s="6">
        <f t="shared" si="6"/>
        <v>8.3333333333333332E-3</v>
      </c>
      <c r="K20" s="7">
        <f t="shared" ref="K20:K22" si="10">H20-E20</f>
        <v>84000</v>
      </c>
      <c r="L20" s="12">
        <f t="shared" si="3"/>
        <v>42000</v>
      </c>
      <c r="M20" s="8">
        <f t="shared" si="7"/>
        <v>21000</v>
      </c>
      <c r="O20" s="20">
        <v>1</v>
      </c>
      <c r="P20" s="21">
        <f t="shared" si="4"/>
        <v>84000</v>
      </c>
      <c r="Q20" s="22">
        <v>35500</v>
      </c>
      <c r="R20" s="23">
        <f t="shared" si="2"/>
        <v>14500</v>
      </c>
      <c r="W20">
        <v>212590</v>
      </c>
    </row>
    <row r="21" spans="1:23" s="44" customFormat="1">
      <c r="A21" s="30" t="s">
        <v>85</v>
      </c>
      <c r="B21" s="30" t="s">
        <v>93</v>
      </c>
      <c r="C21" s="30" t="s">
        <v>91</v>
      </c>
      <c r="D21" s="40" t="s">
        <v>86</v>
      </c>
      <c r="E21" s="44">
        <v>20000</v>
      </c>
      <c r="F21" s="55" t="s">
        <v>87</v>
      </c>
      <c r="G21" s="45">
        <v>10</v>
      </c>
      <c r="H21" s="45">
        <f t="shared" si="0"/>
        <v>100000</v>
      </c>
      <c r="I21" s="46">
        <f t="shared" si="1"/>
        <v>5.0000000000000001E-3</v>
      </c>
      <c r="J21" s="47">
        <f t="shared" si="6"/>
        <v>5.0000000000000001E-3</v>
      </c>
      <c r="K21" s="48">
        <f t="shared" si="10"/>
        <v>80000</v>
      </c>
      <c r="L21" s="49">
        <f t="shared" si="3"/>
        <v>40000</v>
      </c>
      <c r="M21" s="49">
        <f t="shared" si="7"/>
        <v>20000</v>
      </c>
      <c r="O21" s="50">
        <v>2</v>
      </c>
      <c r="P21" s="51">
        <f t="shared" si="4"/>
        <v>60000</v>
      </c>
      <c r="Q21" s="52">
        <v>30250</v>
      </c>
      <c r="R21" s="52">
        <f t="shared" si="2"/>
        <v>20500</v>
      </c>
      <c r="W21" s="44">
        <f>SUM(W19:W20)</f>
        <v>315320</v>
      </c>
    </row>
    <row r="22" spans="1:23" s="44" customFormat="1">
      <c r="A22" s="30" t="s">
        <v>98</v>
      </c>
      <c r="B22" s="30" t="s">
        <v>94</v>
      </c>
      <c r="C22" s="30" t="s">
        <v>29</v>
      </c>
      <c r="D22" s="40" t="s">
        <v>95</v>
      </c>
      <c r="E22" s="44">
        <v>12400</v>
      </c>
      <c r="F22" s="55" t="s">
        <v>102</v>
      </c>
      <c r="G22" s="45">
        <v>10</v>
      </c>
      <c r="H22" s="45">
        <f t="shared" si="0"/>
        <v>62000</v>
      </c>
      <c r="I22" s="46">
        <f t="shared" si="1"/>
        <v>0.05</v>
      </c>
      <c r="J22" s="47">
        <f t="shared" si="6"/>
        <v>0.05</v>
      </c>
      <c r="K22" s="48">
        <f t="shared" si="10"/>
        <v>49600</v>
      </c>
      <c r="L22" s="49">
        <f t="shared" si="3"/>
        <v>24800</v>
      </c>
      <c r="M22" s="49">
        <f t="shared" si="7"/>
        <v>12400</v>
      </c>
      <c r="O22" s="50">
        <v>10</v>
      </c>
      <c r="P22" s="51">
        <f t="shared" si="4"/>
        <v>-62000</v>
      </c>
      <c r="Q22" s="52">
        <v>12700</v>
      </c>
      <c r="R22" s="52">
        <f t="shared" si="2"/>
        <v>3000</v>
      </c>
    </row>
    <row r="23" spans="1:23" s="44" customFormat="1">
      <c r="A23" s="30" t="s">
        <v>98</v>
      </c>
      <c r="B23" s="30" t="s">
        <v>94</v>
      </c>
      <c r="C23" s="30" t="s">
        <v>91</v>
      </c>
      <c r="D23" s="40" t="s">
        <v>96</v>
      </c>
      <c r="E23" s="44">
        <v>9500</v>
      </c>
      <c r="F23" s="55" t="s">
        <v>101</v>
      </c>
      <c r="G23" s="45">
        <v>10</v>
      </c>
      <c r="H23" s="45">
        <f t="shared" si="0"/>
        <v>47500</v>
      </c>
      <c r="I23" s="46">
        <f t="shared" si="1"/>
        <v>2.5000000000000001E-3</v>
      </c>
      <c r="J23" s="47">
        <f t="shared" si="6"/>
        <v>2.5000000000000001E-3</v>
      </c>
      <c r="K23" s="48">
        <f>H23-E23</f>
        <v>38000</v>
      </c>
      <c r="L23" s="49">
        <f t="shared" si="3"/>
        <v>19000</v>
      </c>
      <c r="M23" s="49">
        <f t="shared" si="7"/>
        <v>9500</v>
      </c>
      <c r="O23" s="50">
        <v>1</v>
      </c>
      <c r="P23" s="51">
        <f t="shared" si="4"/>
        <v>38000</v>
      </c>
      <c r="Q23" s="52">
        <v>18000</v>
      </c>
      <c r="R23" s="52">
        <f t="shared" si="2"/>
        <v>8500</v>
      </c>
    </row>
    <row r="24" spans="1:23">
      <c r="A24" s="30" t="s">
        <v>103</v>
      </c>
      <c r="B24" s="30" t="s">
        <v>100</v>
      </c>
      <c r="C24" s="30" t="s">
        <v>29</v>
      </c>
      <c r="D24" s="40" t="s">
        <v>99</v>
      </c>
      <c r="E24">
        <v>7500</v>
      </c>
      <c r="F24" s="53" t="s">
        <v>104</v>
      </c>
      <c r="G24" s="3">
        <v>20000</v>
      </c>
      <c r="H24" s="3">
        <f t="shared" si="0"/>
        <v>75000000</v>
      </c>
      <c r="I24" s="18">
        <f t="shared" si="1"/>
        <v>11.574074074074074</v>
      </c>
      <c r="J24" s="6">
        <f t="shared" si="6"/>
        <v>11.574074074074074</v>
      </c>
      <c r="K24" s="7">
        <f t="shared" ref="K24:K52" si="11">H24-E24</f>
        <v>74992500</v>
      </c>
      <c r="L24" s="12">
        <f t="shared" si="3"/>
        <v>15000</v>
      </c>
      <c r="M24" s="8">
        <f t="shared" si="7"/>
        <v>7500</v>
      </c>
      <c r="O24" s="20">
        <v>16</v>
      </c>
      <c r="P24" s="21">
        <f t="shared" si="4"/>
        <v>74880000</v>
      </c>
      <c r="Q24" s="22">
        <v>15900</v>
      </c>
      <c r="R24" s="23">
        <f t="shared" si="2"/>
        <v>134400</v>
      </c>
    </row>
    <row r="25" spans="1:23">
      <c r="A25" s="30" t="s">
        <v>103</v>
      </c>
      <c r="B25" s="30" t="s">
        <v>100</v>
      </c>
      <c r="C25" s="30" t="s">
        <v>129</v>
      </c>
      <c r="D25" s="40" t="s">
        <v>99</v>
      </c>
      <c r="E25">
        <v>7500</v>
      </c>
      <c r="F25" s="53" t="s">
        <v>105</v>
      </c>
      <c r="G25" s="3">
        <v>40</v>
      </c>
      <c r="H25" s="3">
        <f t="shared" ref="H25:H26" si="12">E25*G25/2</f>
        <v>150000</v>
      </c>
      <c r="I25" s="18">
        <f t="shared" ref="I25:I26" si="13">G25/F25</f>
        <v>1.7857142857142856E-2</v>
      </c>
      <c r="J25" s="6">
        <f t="shared" ref="J25:J26" si="14">G25/F25</f>
        <v>1.7857142857142856E-2</v>
      </c>
      <c r="K25" s="7">
        <f t="shared" ref="K25:K26" si="15">H25-E25</f>
        <v>142500</v>
      </c>
      <c r="L25" s="12">
        <f t="shared" ref="L25:L26" si="16">E25*2</f>
        <v>15000</v>
      </c>
      <c r="M25" s="8">
        <f t="shared" ref="M25:M26" si="17">(L25-E25)</f>
        <v>7500</v>
      </c>
      <c r="O25" s="20">
        <v>20</v>
      </c>
      <c r="P25" s="21">
        <f t="shared" ref="P25:P26" si="18">H25-O25*E25</f>
        <v>0</v>
      </c>
      <c r="Q25" s="22">
        <v>16400</v>
      </c>
      <c r="R25" s="23">
        <f t="shared" ref="R25:R26" si="19">(Q25-E25)*O25</f>
        <v>178000</v>
      </c>
    </row>
    <row r="26" spans="1:23">
      <c r="A26" s="30" t="s">
        <v>110</v>
      </c>
      <c r="B26" s="30" t="s">
        <v>109</v>
      </c>
      <c r="C26" s="30" t="s">
        <v>124</v>
      </c>
      <c r="D26" s="40" t="s">
        <v>106</v>
      </c>
      <c r="E26">
        <v>65000</v>
      </c>
      <c r="F26" s="53" t="s">
        <v>121</v>
      </c>
      <c r="G26" s="3">
        <v>10</v>
      </c>
      <c r="H26" s="3">
        <f t="shared" si="12"/>
        <v>325000</v>
      </c>
      <c r="I26" s="18">
        <f t="shared" si="13"/>
        <v>0.01</v>
      </c>
      <c r="J26" s="6">
        <f t="shared" si="14"/>
        <v>0.01</v>
      </c>
      <c r="K26" s="7">
        <f t="shared" si="15"/>
        <v>260000</v>
      </c>
      <c r="L26" s="12">
        <f t="shared" si="16"/>
        <v>130000</v>
      </c>
      <c r="M26" s="8">
        <f t="shared" si="17"/>
        <v>65000</v>
      </c>
      <c r="O26" s="20">
        <v>1</v>
      </c>
      <c r="P26" s="21">
        <f t="shared" si="18"/>
        <v>260000</v>
      </c>
      <c r="Q26" s="22">
        <v>185500</v>
      </c>
      <c r="R26" s="23">
        <f t="shared" si="19"/>
        <v>120500</v>
      </c>
    </row>
    <row r="27" spans="1:23">
      <c r="A27" s="30" t="s">
        <v>110</v>
      </c>
      <c r="B27" s="30" t="s">
        <v>109</v>
      </c>
      <c r="C27" s="30" t="s">
        <v>125</v>
      </c>
      <c r="D27" s="40" t="s">
        <v>106</v>
      </c>
      <c r="E27">
        <v>65000</v>
      </c>
      <c r="F27" s="53" t="s">
        <v>121</v>
      </c>
      <c r="G27" s="3">
        <v>10</v>
      </c>
      <c r="H27" s="3">
        <f t="shared" ref="H27:H28" si="20">E27*G27/2</f>
        <v>325000</v>
      </c>
      <c r="I27" s="18">
        <f t="shared" ref="I27:I28" si="21">G27/F27</f>
        <v>0.01</v>
      </c>
      <c r="J27" s="6">
        <f t="shared" ref="J27:J28" si="22">G27/F27</f>
        <v>0.01</v>
      </c>
      <c r="K27" s="7">
        <f t="shared" ref="K27:K28" si="23">H27-E27</f>
        <v>260000</v>
      </c>
      <c r="L27" s="12">
        <f t="shared" ref="L27:L28" si="24">E27*2</f>
        <v>130000</v>
      </c>
      <c r="M27" s="8">
        <f t="shared" ref="M27:M28" si="25">(L27-E27)</f>
        <v>65000</v>
      </c>
      <c r="O27" s="20">
        <v>1</v>
      </c>
      <c r="P27" s="21">
        <f t="shared" ref="P27:P28" si="26">H27-O27*E27</f>
        <v>260000</v>
      </c>
      <c r="Q27" s="22">
        <v>179500</v>
      </c>
      <c r="R27" s="23">
        <f t="shared" ref="R27:R28" si="27">(Q27-E27)*O27</f>
        <v>114500</v>
      </c>
    </row>
    <row r="28" spans="1:23">
      <c r="A28" s="30" t="s">
        <v>110</v>
      </c>
      <c r="B28" s="30" t="s">
        <v>109</v>
      </c>
      <c r="C28" s="30" t="s">
        <v>126</v>
      </c>
      <c r="D28" s="40" t="s">
        <v>106</v>
      </c>
      <c r="E28">
        <v>65000</v>
      </c>
      <c r="F28" s="53" t="s">
        <v>122</v>
      </c>
      <c r="G28" s="3">
        <v>3500</v>
      </c>
      <c r="H28" s="3">
        <f t="shared" si="20"/>
        <v>113750000</v>
      </c>
      <c r="I28" s="18">
        <f t="shared" si="21"/>
        <v>5.3680981595092021</v>
      </c>
      <c r="J28" s="6">
        <f t="shared" si="22"/>
        <v>5.3680981595092021</v>
      </c>
      <c r="K28" s="7">
        <f t="shared" si="23"/>
        <v>113685000</v>
      </c>
      <c r="L28" s="12">
        <f t="shared" si="24"/>
        <v>130000</v>
      </c>
      <c r="M28" s="8">
        <f t="shared" si="25"/>
        <v>65000</v>
      </c>
      <c r="O28" s="20">
        <v>6</v>
      </c>
      <c r="P28" s="21">
        <f t="shared" si="26"/>
        <v>113360000</v>
      </c>
      <c r="Q28" s="22">
        <v>178000</v>
      </c>
      <c r="R28" s="23">
        <f t="shared" si="27"/>
        <v>678000</v>
      </c>
    </row>
    <row r="29" spans="1:23">
      <c r="A29" s="30" t="s">
        <v>110</v>
      </c>
      <c r="B29" s="30" t="s">
        <v>109</v>
      </c>
      <c r="C29" s="30" t="s">
        <v>127</v>
      </c>
      <c r="D29" s="40" t="s">
        <v>106</v>
      </c>
      <c r="E29">
        <v>65000</v>
      </c>
      <c r="F29" s="53" t="s">
        <v>121</v>
      </c>
      <c r="G29" s="3">
        <v>10</v>
      </c>
      <c r="H29" s="3">
        <f t="shared" ref="H29:H31" si="28">E29*G29/2</f>
        <v>325000</v>
      </c>
      <c r="I29" s="18">
        <f t="shared" ref="I29:I31" si="29">G29/F29</f>
        <v>0.01</v>
      </c>
      <c r="J29" s="6">
        <f t="shared" ref="J29:J31" si="30">G29/F29</f>
        <v>0.01</v>
      </c>
      <c r="K29" s="7">
        <f t="shared" ref="K29:K31" si="31">H29-E29</f>
        <v>260000</v>
      </c>
      <c r="L29" s="12">
        <f t="shared" ref="L29:L31" si="32">E29*2</f>
        <v>130000</v>
      </c>
      <c r="M29" s="8">
        <f t="shared" ref="M29:M31" si="33">(L29-E29)</f>
        <v>65000</v>
      </c>
      <c r="O29" s="20">
        <v>2</v>
      </c>
      <c r="P29" s="21">
        <f t="shared" ref="P29:P31" si="34">H29-O29*E29</f>
        <v>195000</v>
      </c>
      <c r="Q29" s="22">
        <v>187500</v>
      </c>
      <c r="R29" s="23">
        <f t="shared" ref="R29:R31" si="35">(Q29-E29)*O29</f>
        <v>245000</v>
      </c>
    </row>
    <row r="30" spans="1:23">
      <c r="A30" s="30" t="s">
        <v>110</v>
      </c>
      <c r="B30" s="30" t="s">
        <v>109</v>
      </c>
      <c r="C30" s="30" t="s">
        <v>128</v>
      </c>
      <c r="D30" s="40" t="s">
        <v>106</v>
      </c>
      <c r="E30">
        <v>65000</v>
      </c>
      <c r="F30" s="53" t="s">
        <v>121</v>
      </c>
      <c r="G30" s="3">
        <v>10</v>
      </c>
      <c r="H30" s="3">
        <f t="shared" si="28"/>
        <v>325000</v>
      </c>
      <c r="I30" s="18">
        <f t="shared" si="29"/>
        <v>0.01</v>
      </c>
      <c r="J30" s="6">
        <f t="shared" si="30"/>
        <v>0.01</v>
      </c>
      <c r="K30" s="7">
        <f t="shared" si="31"/>
        <v>260000</v>
      </c>
      <c r="L30" s="12">
        <f t="shared" si="32"/>
        <v>130000</v>
      </c>
      <c r="M30" s="8">
        <f t="shared" si="33"/>
        <v>65000</v>
      </c>
      <c r="O30" s="20">
        <v>1</v>
      </c>
      <c r="P30" s="21">
        <f t="shared" si="34"/>
        <v>260000</v>
      </c>
      <c r="Q30" s="22">
        <v>186500</v>
      </c>
      <c r="R30" s="23">
        <f t="shared" si="35"/>
        <v>121500</v>
      </c>
    </row>
    <row r="31" spans="1:23">
      <c r="A31" s="30" t="s">
        <v>113</v>
      </c>
      <c r="B31" s="30" t="s">
        <v>112</v>
      </c>
      <c r="C31" s="30" t="s">
        <v>107</v>
      </c>
      <c r="D31" s="40" t="s">
        <v>111</v>
      </c>
      <c r="E31">
        <v>12500</v>
      </c>
      <c r="F31" s="53" t="s">
        <v>130</v>
      </c>
      <c r="G31" s="3">
        <v>12000</v>
      </c>
      <c r="H31" s="3">
        <f t="shared" si="28"/>
        <v>75000000</v>
      </c>
      <c r="I31" s="18">
        <f t="shared" si="29"/>
        <v>3.382187147688839</v>
      </c>
      <c r="J31" s="6">
        <f t="shared" si="30"/>
        <v>3.382187147688839</v>
      </c>
      <c r="K31" s="7">
        <f t="shared" si="31"/>
        <v>74987500</v>
      </c>
      <c r="L31" s="12">
        <f t="shared" si="32"/>
        <v>25000</v>
      </c>
      <c r="M31" s="8">
        <f t="shared" si="33"/>
        <v>12500</v>
      </c>
      <c r="O31" s="20">
        <v>4</v>
      </c>
      <c r="P31" s="21">
        <f t="shared" si="34"/>
        <v>74950000</v>
      </c>
      <c r="Q31" s="22">
        <v>22050</v>
      </c>
      <c r="R31" s="23">
        <f t="shared" si="35"/>
        <v>38200</v>
      </c>
    </row>
    <row r="32" spans="1:23">
      <c r="A32" s="30" t="s">
        <v>133</v>
      </c>
      <c r="B32" s="30" t="s">
        <v>132</v>
      </c>
      <c r="C32" s="30" t="s">
        <v>107</v>
      </c>
      <c r="D32" s="40" t="s">
        <v>131</v>
      </c>
      <c r="E32">
        <v>11000</v>
      </c>
      <c r="F32" s="53" t="s">
        <v>134</v>
      </c>
      <c r="G32" s="3">
        <v>13000</v>
      </c>
      <c r="H32" s="3">
        <f t="shared" ref="H32:H33" si="36">E32*G32/2</f>
        <v>71500000</v>
      </c>
      <c r="I32" s="18">
        <f t="shared" ref="I32:I33" si="37">G32/F32</f>
        <v>2.7754056362083688</v>
      </c>
      <c r="J32" s="6">
        <f t="shared" ref="J32:J33" si="38">G32/F32</f>
        <v>2.7754056362083688</v>
      </c>
      <c r="K32" s="7">
        <f t="shared" ref="K32:K33" si="39">H32-E32</f>
        <v>71489000</v>
      </c>
      <c r="L32" s="12">
        <f t="shared" ref="L32:L33" si="40">E32*2</f>
        <v>22000</v>
      </c>
      <c r="M32" s="8">
        <f t="shared" ref="M32:M33" si="41">(L32-E32)</f>
        <v>11000</v>
      </c>
      <c r="O32" s="20">
        <v>4</v>
      </c>
      <c r="P32" s="21">
        <f t="shared" ref="P32:P33" si="42">H32-O32*E32</f>
        <v>71456000</v>
      </c>
      <c r="Q32" s="22">
        <v>28600</v>
      </c>
      <c r="R32" s="23">
        <f t="shared" ref="R32:R33" si="43">(Q32-E32)*O32</f>
        <v>70400</v>
      </c>
    </row>
    <row r="33" spans="1:18">
      <c r="A33" s="30" t="s">
        <v>137</v>
      </c>
      <c r="B33" s="30" t="s">
        <v>136</v>
      </c>
      <c r="C33" s="30" t="s">
        <v>138</v>
      </c>
      <c r="D33" s="40" t="s">
        <v>135</v>
      </c>
      <c r="E33">
        <v>19000</v>
      </c>
      <c r="F33" s="53">
        <f>2573.6*2</f>
        <v>5147.2</v>
      </c>
      <c r="G33" s="3">
        <v>13000</v>
      </c>
      <c r="H33" s="3">
        <f t="shared" si="36"/>
        <v>123500000</v>
      </c>
      <c r="I33" s="18">
        <f t="shared" si="37"/>
        <v>2.5256450108797015</v>
      </c>
      <c r="J33" s="6">
        <f t="shared" si="38"/>
        <v>2.5256450108797015</v>
      </c>
      <c r="K33" s="7">
        <f t="shared" si="39"/>
        <v>123481000</v>
      </c>
      <c r="L33" s="12">
        <f t="shared" si="40"/>
        <v>38000</v>
      </c>
      <c r="M33" s="8">
        <f t="shared" si="41"/>
        <v>19000</v>
      </c>
      <c r="O33" s="20">
        <v>4</v>
      </c>
      <c r="P33" s="21">
        <f t="shared" si="42"/>
        <v>123424000</v>
      </c>
      <c r="Q33" s="22">
        <v>41050</v>
      </c>
      <c r="R33" s="23">
        <f t="shared" si="43"/>
        <v>88200</v>
      </c>
    </row>
    <row r="34" spans="1:18">
      <c r="A34" s="30" t="s">
        <v>140</v>
      </c>
      <c r="B34" s="30" t="s">
        <v>141</v>
      </c>
      <c r="C34" s="30" t="s">
        <v>167</v>
      </c>
      <c r="D34" s="40" t="s">
        <v>142</v>
      </c>
      <c r="E34">
        <v>11500</v>
      </c>
      <c r="F34" s="53" t="s">
        <v>145</v>
      </c>
      <c r="G34" s="3">
        <v>20000</v>
      </c>
      <c r="H34" s="3">
        <f t="shared" si="0"/>
        <v>115000000</v>
      </c>
      <c r="I34" s="18">
        <f t="shared" si="1"/>
        <v>4.4843049327354256</v>
      </c>
      <c r="J34" s="6">
        <f t="shared" si="6"/>
        <v>4.4843049327354256</v>
      </c>
      <c r="K34" s="7">
        <f t="shared" si="11"/>
        <v>114988500</v>
      </c>
      <c r="L34" s="12">
        <f t="shared" si="3"/>
        <v>23000</v>
      </c>
      <c r="M34" s="8">
        <f t="shared" si="7"/>
        <v>11500</v>
      </c>
      <c r="O34" s="20">
        <v>6</v>
      </c>
      <c r="P34" s="21">
        <f t="shared" si="4"/>
        <v>114931000</v>
      </c>
      <c r="Q34" s="22">
        <v>26950</v>
      </c>
      <c r="R34" s="23">
        <f t="shared" si="2"/>
        <v>92700</v>
      </c>
    </row>
    <row r="35" spans="1:18">
      <c r="A35" s="30" t="s">
        <v>140</v>
      </c>
      <c r="B35" s="30" t="s">
        <v>141</v>
      </c>
      <c r="C35" s="30" t="s">
        <v>107</v>
      </c>
      <c r="D35" s="40" t="s">
        <v>143</v>
      </c>
      <c r="E35">
        <v>13000</v>
      </c>
      <c r="F35" s="53" t="s">
        <v>144</v>
      </c>
      <c r="G35" s="3">
        <v>10</v>
      </c>
      <c r="H35" s="3">
        <f t="shared" ref="H35:H36" si="44">E35*G35/2</f>
        <v>65000</v>
      </c>
      <c r="I35" s="18">
        <f t="shared" ref="I35:I36" si="45">G35/F35</f>
        <v>2E-3</v>
      </c>
      <c r="J35" s="6">
        <f t="shared" ref="J35:J36" si="46">G35/F35</f>
        <v>2E-3</v>
      </c>
      <c r="K35" s="7">
        <f t="shared" ref="K35:K36" si="47">H35-E35</f>
        <v>52000</v>
      </c>
      <c r="L35" s="12">
        <f t="shared" ref="L35:L36" si="48">E35*2</f>
        <v>26000</v>
      </c>
      <c r="M35" s="8">
        <f t="shared" ref="M35:M36" si="49">(L35-E35)</f>
        <v>13000</v>
      </c>
      <c r="O35" s="20">
        <v>1</v>
      </c>
      <c r="P35" s="21">
        <f t="shared" ref="P35:P36" si="50">H35-O35*E35</f>
        <v>52000</v>
      </c>
      <c r="Q35" s="22">
        <v>28300</v>
      </c>
      <c r="R35" s="23">
        <f t="shared" ref="R35:R36" si="51">(Q35-E35)*O35</f>
        <v>15300</v>
      </c>
    </row>
    <row r="36" spans="1:18">
      <c r="A36" s="30" t="s">
        <v>146</v>
      </c>
      <c r="B36" s="30" t="s">
        <v>147</v>
      </c>
      <c r="C36" s="30" t="s">
        <v>128</v>
      </c>
      <c r="D36" s="40" t="s">
        <v>148</v>
      </c>
      <c r="E36">
        <v>45000</v>
      </c>
      <c r="F36" s="53" t="s">
        <v>149</v>
      </c>
      <c r="G36" s="3">
        <v>20</v>
      </c>
      <c r="H36" s="3">
        <f t="shared" si="44"/>
        <v>450000</v>
      </c>
      <c r="I36" s="18">
        <f t="shared" si="45"/>
        <v>3.7735849056603774E-3</v>
      </c>
      <c r="J36" s="6">
        <f t="shared" si="46"/>
        <v>3.7735849056603774E-3</v>
      </c>
      <c r="K36" s="7">
        <f t="shared" si="47"/>
        <v>405000</v>
      </c>
      <c r="L36" s="12">
        <f t="shared" si="48"/>
        <v>90000</v>
      </c>
      <c r="M36" s="8">
        <f t="shared" si="49"/>
        <v>45000</v>
      </c>
      <c r="O36" s="20">
        <v>1</v>
      </c>
      <c r="P36" s="21">
        <f t="shared" si="50"/>
        <v>405000</v>
      </c>
      <c r="Q36" s="22">
        <v>85900</v>
      </c>
      <c r="R36" s="23">
        <f t="shared" si="51"/>
        <v>40900</v>
      </c>
    </row>
    <row r="37" spans="1:18">
      <c r="A37" s="30" t="s">
        <v>150</v>
      </c>
      <c r="B37" s="30" t="s">
        <v>151</v>
      </c>
      <c r="C37" s="30" t="s">
        <v>29</v>
      </c>
      <c r="D37" s="40" t="s">
        <v>153</v>
      </c>
      <c r="E37">
        <v>105000</v>
      </c>
      <c r="F37" s="53" t="s">
        <v>154</v>
      </c>
      <c r="G37" s="3">
        <v>10</v>
      </c>
      <c r="H37" s="3">
        <f t="shared" ref="H37:H40" si="52">E37*G37/2</f>
        <v>525000</v>
      </c>
      <c r="I37" s="18">
        <f t="shared" ref="I37:I40" si="53">G37/F37</f>
        <v>1.7825311942959002E-2</v>
      </c>
      <c r="J37" s="6">
        <f t="shared" ref="J37:J40" si="54">G37/F37</f>
        <v>1.7825311942959002E-2</v>
      </c>
      <c r="K37" s="7">
        <f t="shared" ref="K37:K40" si="55">H37-E37</f>
        <v>420000</v>
      </c>
      <c r="L37" s="12">
        <f t="shared" ref="L37:L40" si="56">E37*2</f>
        <v>210000</v>
      </c>
      <c r="M37" s="8">
        <f t="shared" ref="M37:M40" si="57">(L37-E37)</f>
        <v>105000</v>
      </c>
      <c r="O37" s="20">
        <v>1</v>
      </c>
      <c r="P37" s="21">
        <f t="shared" ref="P37:P40" si="58">H37-O37*E37</f>
        <v>420000</v>
      </c>
      <c r="Q37" s="22"/>
      <c r="R37" s="23">
        <f t="shared" ref="R37:R40" si="59">(Q37-E37)*O37</f>
        <v>-105000</v>
      </c>
    </row>
    <row r="38" spans="1:18">
      <c r="A38" s="30" t="s">
        <v>150</v>
      </c>
      <c r="B38" s="30" t="s">
        <v>151</v>
      </c>
      <c r="C38" s="30" t="s">
        <v>152</v>
      </c>
      <c r="D38" s="40" t="s">
        <v>153</v>
      </c>
      <c r="E38">
        <v>105000</v>
      </c>
      <c r="F38" s="53" t="s">
        <v>155</v>
      </c>
      <c r="G38" s="3">
        <v>2000</v>
      </c>
      <c r="H38" s="3">
        <f t="shared" si="52"/>
        <v>105000000</v>
      </c>
      <c r="I38" s="18">
        <f t="shared" si="53"/>
        <v>3.5523978685612789</v>
      </c>
      <c r="J38" s="6">
        <f t="shared" si="54"/>
        <v>3.5523978685612789</v>
      </c>
      <c r="K38" s="7">
        <f t="shared" si="55"/>
        <v>104895000</v>
      </c>
      <c r="L38" s="12">
        <f t="shared" si="56"/>
        <v>210000</v>
      </c>
      <c r="M38" s="8">
        <f t="shared" si="57"/>
        <v>105000</v>
      </c>
      <c r="O38" s="20">
        <v>5</v>
      </c>
      <c r="P38" s="21">
        <f t="shared" si="58"/>
        <v>104475000</v>
      </c>
      <c r="Q38" s="22"/>
      <c r="R38" s="23">
        <f t="shared" si="59"/>
        <v>-525000</v>
      </c>
    </row>
    <row r="39" spans="1:18">
      <c r="A39" s="30" t="s">
        <v>150</v>
      </c>
      <c r="B39" s="30" t="s">
        <v>151</v>
      </c>
      <c r="C39" s="30" t="s">
        <v>127</v>
      </c>
      <c r="D39" s="40" t="s">
        <v>153</v>
      </c>
      <c r="E39">
        <v>105000</v>
      </c>
      <c r="F39" s="53" t="s">
        <v>156</v>
      </c>
      <c r="G39" s="3">
        <v>10</v>
      </c>
      <c r="H39" s="3">
        <f t="shared" si="52"/>
        <v>525000</v>
      </c>
      <c r="I39" s="18">
        <f t="shared" si="53"/>
        <v>1.1111111111111112E-2</v>
      </c>
      <c r="J39" s="6">
        <f t="shared" si="54"/>
        <v>1.1111111111111112E-2</v>
      </c>
      <c r="K39" s="7">
        <f t="shared" si="55"/>
        <v>420000</v>
      </c>
      <c r="L39" s="12">
        <f t="shared" si="56"/>
        <v>210000</v>
      </c>
      <c r="M39" s="8">
        <f t="shared" si="57"/>
        <v>105000</v>
      </c>
      <c r="O39" s="20">
        <v>2</v>
      </c>
      <c r="P39" s="21">
        <f t="shared" si="58"/>
        <v>315000</v>
      </c>
      <c r="Q39" s="22"/>
      <c r="R39" s="23">
        <f t="shared" si="59"/>
        <v>-210000</v>
      </c>
    </row>
    <row r="40" spans="1:18">
      <c r="A40" s="30" t="s">
        <v>150</v>
      </c>
      <c r="B40" s="30" t="s">
        <v>151</v>
      </c>
      <c r="C40" s="30" t="s">
        <v>124</v>
      </c>
      <c r="D40" s="40" t="s">
        <v>153</v>
      </c>
      <c r="E40">
        <v>105000</v>
      </c>
      <c r="F40" s="53" t="s">
        <v>157</v>
      </c>
      <c r="G40" s="3">
        <v>10</v>
      </c>
      <c r="H40" s="3">
        <f t="shared" si="52"/>
        <v>525000</v>
      </c>
      <c r="I40" s="18">
        <f t="shared" si="53"/>
        <v>2.6178010471204188E-2</v>
      </c>
      <c r="J40" s="6">
        <f t="shared" si="54"/>
        <v>2.6178010471204188E-2</v>
      </c>
      <c r="K40" s="7">
        <f t="shared" si="55"/>
        <v>420000</v>
      </c>
      <c r="L40" s="12">
        <f t="shared" si="56"/>
        <v>210000</v>
      </c>
      <c r="M40" s="8">
        <f t="shared" si="57"/>
        <v>105000</v>
      </c>
      <c r="O40" s="20">
        <v>0</v>
      </c>
      <c r="P40" s="21">
        <f t="shared" si="58"/>
        <v>525000</v>
      </c>
      <c r="Q40" s="22"/>
      <c r="R40" s="23">
        <f t="shared" si="59"/>
        <v>0</v>
      </c>
    </row>
    <row r="41" spans="1:18">
      <c r="A41" s="30" t="s">
        <v>159</v>
      </c>
      <c r="B41" s="36" t="s">
        <v>158</v>
      </c>
      <c r="C41" s="30" t="s">
        <v>160</v>
      </c>
      <c r="D41" s="40" t="s">
        <v>161</v>
      </c>
      <c r="E41">
        <v>22200</v>
      </c>
      <c r="F41" s="53" t="s">
        <v>162</v>
      </c>
      <c r="G41" s="3">
        <v>2000</v>
      </c>
      <c r="H41" s="3">
        <f t="shared" ref="H41:H50" si="60">E41*G41/2</f>
        <v>22200000</v>
      </c>
      <c r="I41" s="18">
        <f t="shared" ref="I41:I50" si="61">G41/F41</f>
        <v>10.309278350515465</v>
      </c>
      <c r="J41" s="6">
        <f t="shared" ref="J41:J50" si="62">G41/F41</f>
        <v>10.309278350515465</v>
      </c>
      <c r="K41" s="7">
        <f t="shared" ref="K41:K50" si="63">H41-E41</f>
        <v>22177800</v>
      </c>
      <c r="L41" s="12">
        <f t="shared" ref="L41:L50" si="64">E41*2</f>
        <v>44400</v>
      </c>
      <c r="M41" s="8">
        <f t="shared" ref="M41:M50" si="65">(L41-E41)</f>
        <v>22200</v>
      </c>
      <c r="O41" s="20">
        <v>20</v>
      </c>
      <c r="P41" s="21">
        <f t="shared" ref="P41:P50" si="66">H41-O41*E41</f>
        <v>21756000</v>
      </c>
      <c r="Q41" s="22"/>
      <c r="R41" s="23">
        <f t="shared" ref="R41:R50" si="67">(Q41-E41)*O41</f>
        <v>-444000</v>
      </c>
    </row>
    <row r="42" spans="1:18">
      <c r="A42" s="30" t="s">
        <v>159</v>
      </c>
      <c r="B42" s="36" t="s">
        <v>158</v>
      </c>
      <c r="C42" s="43" t="s">
        <v>91</v>
      </c>
      <c r="D42" s="40" t="s">
        <v>161</v>
      </c>
      <c r="E42">
        <v>22200</v>
      </c>
      <c r="F42" s="53" t="s">
        <v>163</v>
      </c>
      <c r="G42" s="3">
        <v>10</v>
      </c>
      <c r="H42" s="3">
        <f t="shared" si="60"/>
        <v>111000</v>
      </c>
      <c r="I42" s="18">
        <f t="shared" si="61"/>
        <v>3.5714285714285712E-2</v>
      </c>
      <c r="J42" s="6">
        <f t="shared" si="62"/>
        <v>3.5714285714285712E-2</v>
      </c>
      <c r="K42" s="7">
        <f t="shared" si="63"/>
        <v>88800</v>
      </c>
      <c r="L42" s="12">
        <f t="shared" si="64"/>
        <v>44400</v>
      </c>
      <c r="M42" s="8">
        <f t="shared" si="65"/>
        <v>22200</v>
      </c>
      <c r="O42" s="20">
        <v>1</v>
      </c>
      <c r="P42" s="21">
        <f t="shared" si="66"/>
        <v>88800</v>
      </c>
      <c r="Q42" s="22"/>
      <c r="R42" s="23">
        <f t="shared" si="67"/>
        <v>-22200</v>
      </c>
    </row>
    <row r="43" spans="1:18">
      <c r="A43" s="30" t="s">
        <v>165</v>
      </c>
      <c r="B43" s="36" t="s">
        <v>164</v>
      </c>
      <c r="C43" s="43" t="s">
        <v>124</v>
      </c>
      <c r="D43" t="s">
        <v>166</v>
      </c>
      <c r="E43">
        <v>47500</v>
      </c>
      <c r="F43" s="53">
        <v>1818.55</v>
      </c>
      <c r="G43" s="3">
        <v>3000</v>
      </c>
      <c r="H43" s="3">
        <f t="shared" si="60"/>
        <v>71250000</v>
      </c>
      <c r="I43" s="18">
        <f t="shared" si="61"/>
        <v>1.649665942646614</v>
      </c>
      <c r="J43" s="6">
        <f t="shared" si="62"/>
        <v>1.649665942646614</v>
      </c>
      <c r="K43" s="7">
        <f t="shared" si="63"/>
        <v>71202500</v>
      </c>
      <c r="L43" s="12">
        <f t="shared" si="64"/>
        <v>95000</v>
      </c>
      <c r="M43" s="8">
        <f t="shared" si="65"/>
        <v>47500</v>
      </c>
      <c r="O43" s="20"/>
      <c r="P43" s="21">
        <f t="shared" si="66"/>
        <v>71250000</v>
      </c>
      <c r="Q43" s="22"/>
      <c r="R43" s="23">
        <f t="shared" si="67"/>
        <v>0</v>
      </c>
    </row>
    <row r="44" spans="1:18">
      <c r="A44" s="30" t="s">
        <v>165</v>
      </c>
      <c r="B44" s="36" t="s">
        <v>164</v>
      </c>
      <c r="C44" s="43" t="s">
        <v>123</v>
      </c>
      <c r="D44" t="s">
        <v>166</v>
      </c>
      <c r="E44">
        <v>47500</v>
      </c>
      <c r="F44" s="53">
        <v>1741.46</v>
      </c>
      <c r="G44" s="3">
        <v>2900</v>
      </c>
      <c r="H44" s="3">
        <f t="shared" ref="H44:H49" si="68">E44*G44/2</f>
        <v>68875000</v>
      </c>
      <c r="I44" s="18">
        <f t="shared" ref="I44:I49" si="69">G44/F44</f>
        <v>1.6652693716766391</v>
      </c>
      <c r="J44" s="6">
        <f t="shared" ref="J44:J49" si="70">G44/F44</f>
        <v>1.6652693716766391</v>
      </c>
      <c r="K44" s="7">
        <f t="shared" ref="K44:K49" si="71">H44-E44</f>
        <v>68827500</v>
      </c>
      <c r="L44" s="12">
        <f t="shared" ref="L44:L49" si="72">E44*2</f>
        <v>95000</v>
      </c>
      <c r="M44" s="8">
        <f t="shared" ref="M44:M49" si="73">(L44-E44)</f>
        <v>47500</v>
      </c>
      <c r="O44" s="20"/>
      <c r="P44" s="21">
        <f t="shared" ref="P44:P49" si="74">H44-O44*E44</f>
        <v>68875000</v>
      </c>
      <c r="Q44" s="22"/>
      <c r="R44" s="23">
        <f t="shared" ref="R44:R49" si="75">(Q44-E44)*O44</f>
        <v>0</v>
      </c>
    </row>
    <row r="45" spans="1:18">
      <c r="A45" s="16"/>
      <c r="B45" s="36" t="s">
        <v>164</v>
      </c>
      <c r="C45" s="16"/>
      <c r="F45" s="53"/>
      <c r="G45" s="3"/>
      <c r="H45" s="3">
        <f t="shared" si="68"/>
        <v>0</v>
      </c>
      <c r="I45" s="18" t="e">
        <f t="shared" si="69"/>
        <v>#DIV/0!</v>
      </c>
      <c r="J45" s="6" t="e">
        <f t="shared" si="70"/>
        <v>#DIV/0!</v>
      </c>
      <c r="K45" s="7">
        <f t="shared" si="71"/>
        <v>0</v>
      </c>
      <c r="L45" s="12">
        <f t="shared" si="72"/>
        <v>0</v>
      </c>
      <c r="M45" s="8">
        <f t="shared" si="73"/>
        <v>0</v>
      </c>
      <c r="O45" s="20"/>
      <c r="P45" s="21">
        <f t="shared" si="74"/>
        <v>0</v>
      </c>
      <c r="Q45" s="22"/>
      <c r="R45" s="23">
        <f t="shared" si="75"/>
        <v>0</v>
      </c>
    </row>
    <row r="46" spans="1:18">
      <c r="A46" s="16"/>
      <c r="B46" s="36" t="s">
        <v>164</v>
      </c>
      <c r="C46" s="16"/>
      <c r="F46" s="53"/>
      <c r="G46" s="3"/>
      <c r="H46" s="3">
        <f t="shared" si="68"/>
        <v>0</v>
      </c>
      <c r="I46" s="18" t="e">
        <f t="shared" si="69"/>
        <v>#DIV/0!</v>
      </c>
      <c r="J46" s="6" t="e">
        <f t="shared" si="70"/>
        <v>#DIV/0!</v>
      </c>
      <c r="K46" s="7">
        <f t="shared" si="71"/>
        <v>0</v>
      </c>
      <c r="L46" s="12">
        <f t="shared" si="72"/>
        <v>0</v>
      </c>
      <c r="M46" s="8">
        <f t="shared" si="73"/>
        <v>0</v>
      </c>
      <c r="O46" s="20"/>
      <c r="P46" s="21">
        <f t="shared" si="74"/>
        <v>0</v>
      </c>
      <c r="Q46" s="22"/>
      <c r="R46" s="23">
        <f t="shared" si="75"/>
        <v>0</v>
      </c>
    </row>
    <row r="47" spans="1:18">
      <c r="A47" s="16"/>
      <c r="B47" s="36" t="s">
        <v>164</v>
      </c>
      <c r="C47" s="16"/>
      <c r="F47" s="53"/>
      <c r="G47" s="3"/>
      <c r="H47" s="3">
        <f t="shared" si="68"/>
        <v>0</v>
      </c>
      <c r="I47" s="18" t="e">
        <f t="shared" si="69"/>
        <v>#DIV/0!</v>
      </c>
      <c r="J47" s="6" t="e">
        <f t="shared" si="70"/>
        <v>#DIV/0!</v>
      </c>
      <c r="K47" s="7">
        <f t="shared" si="71"/>
        <v>0</v>
      </c>
      <c r="L47" s="12">
        <f t="shared" si="72"/>
        <v>0</v>
      </c>
      <c r="M47" s="8">
        <f t="shared" si="73"/>
        <v>0</v>
      </c>
      <c r="O47" s="20"/>
      <c r="P47" s="21">
        <f t="shared" si="74"/>
        <v>0</v>
      </c>
      <c r="Q47" s="22"/>
      <c r="R47" s="23">
        <f t="shared" si="75"/>
        <v>0</v>
      </c>
    </row>
    <row r="48" spans="1:18">
      <c r="A48" s="16"/>
      <c r="B48" s="36" t="s">
        <v>164</v>
      </c>
      <c r="C48" s="16"/>
      <c r="F48" s="53"/>
      <c r="G48" s="3"/>
      <c r="H48" s="3">
        <f t="shared" si="68"/>
        <v>0</v>
      </c>
      <c r="I48" s="18" t="e">
        <f t="shared" si="69"/>
        <v>#DIV/0!</v>
      </c>
      <c r="J48" s="6" t="e">
        <f t="shared" si="70"/>
        <v>#DIV/0!</v>
      </c>
      <c r="K48" s="7">
        <f t="shared" si="71"/>
        <v>0</v>
      </c>
      <c r="L48" s="12">
        <f t="shared" si="72"/>
        <v>0</v>
      </c>
      <c r="M48" s="8">
        <f t="shared" si="73"/>
        <v>0</v>
      </c>
      <c r="O48" s="20"/>
      <c r="P48" s="21">
        <f t="shared" si="74"/>
        <v>0</v>
      </c>
      <c r="Q48" s="22"/>
      <c r="R48" s="23">
        <f t="shared" si="75"/>
        <v>0</v>
      </c>
    </row>
    <row r="49" spans="1:18">
      <c r="A49" s="16"/>
      <c r="B49" s="36" t="s">
        <v>164</v>
      </c>
      <c r="C49" s="16"/>
      <c r="F49" s="53"/>
      <c r="G49" s="3"/>
      <c r="H49" s="3">
        <f t="shared" si="68"/>
        <v>0</v>
      </c>
      <c r="I49" s="18" t="e">
        <f t="shared" si="69"/>
        <v>#DIV/0!</v>
      </c>
      <c r="J49" s="6" t="e">
        <f t="shared" si="70"/>
        <v>#DIV/0!</v>
      </c>
      <c r="K49" s="7">
        <f t="shared" si="71"/>
        <v>0</v>
      </c>
      <c r="L49" s="12">
        <f t="shared" si="72"/>
        <v>0</v>
      </c>
      <c r="M49" s="8">
        <f t="shared" si="73"/>
        <v>0</v>
      </c>
      <c r="O49" s="20"/>
      <c r="P49" s="21">
        <f t="shared" si="74"/>
        <v>0</v>
      </c>
      <c r="Q49" s="22"/>
      <c r="R49" s="23">
        <f t="shared" si="75"/>
        <v>0</v>
      </c>
    </row>
    <row r="50" spans="1:18">
      <c r="A50" s="16"/>
      <c r="B50" s="36"/>
      <c r="C50" s="16"/>
      <c r="F50" s="53"/>
      <c r="G50" s="3"/>
      <c r="H50" s="3">
        <f t="shared" si="60"/>
        <v>0</v>
      </c>
      <c r="I50" s="18" t="e">
        <f t="shared" si="61"/>
        <v>#DIV/0!</v>
      </c>
      <c r="J50" s="6" t="e">
        <f t="shared" si="62"/>
        <v>#DIV/0!</v>
      </c>
      <c r="K50" s="7">
        <f t="shared" si="63"/>
        <v>0</v>
      </c>
      <c r="L50" s="12">
        <f t="shared" si="64"/>
        <v>0</v>
      </c>
      <c r="M50" s="8">
        <f t="shared" si="65"/>
        <v>0</v>
      </c>
      <c r="O50" s="20"/>
      <c r="P50" s="21">
        <f t="shared" si="66"/>
        <v>0</v>
      </c>
      <c r="Q50" s="22"/>
      <c r="R50" s="23">
        <f t="shared" si="67"/>
        <v>0</v>
      </c>
    </row>
    <row r="51" spans="1:18">
      <c r="A51" s="16"/>
      <c r="B51" s="36"/>
      <c r="C51" s="16"/>
      <c r="F51" s="53"/>
      <c r="G51" s="3"/>
      <c r="H51" s="3">
        <f t="shared" ref="H51" si="76">E51*G51/2</f>
        <v>0</v>
      </c>
      <c r="I51" s="18" t="e">
        <f t="shared" ref="I51" si="77">G51/F51</f>
        <v>#DIV/0!</v>
      </c>
      <c r="J51" s="6" t="e">
        <f t="shared" ref="J51" si="78">G51/F51</f>
        <v>#DIV/0!</v>
      </c>
      <c r="K51" s="7">
        <f t="shared" ref="K51" si="79">H51-E51</f>
        <v>0</v>
      </c>
      <c r="L51" s="12">
        <f t="shared" ref="L51" si="80">E51*2</f>
        <v>0</v>
      </c>
      <c r="M51" s="8">
        <f t="shared" ref="M51" si="81">(L51-E51)</f>
        <v>0</v>
      </c>
      <c r="O51" s="20"/>
      <c r="P51" s="21">
        <f t="shared" ref="P51" si="82">H51-O51*E51</f>
        <v>0</v>
      </c>
      <c r="Q51" s="22"/>
      <c r="R51" s="23">
        <f t="shared" ref="R51" si="83">(Q51-E51)*O51</f>
        <v>0</v>
      </c>
    </row>
    <row r="52" spans="1:18">
      <c r="A52" s="16"/>
      <c r="B52" s="36"/>
      <c r="C52" s="16"/>
      <c r="F52" s="53"/>
      <c r="G52" s="3"/>
      <c r="H52" s="3">
        <f t="shared" si="0"/>
        <v>0</v>
      </c>
      <c r="I52" s="18" t="e">
        <f t="shared" si="1"/>
        <v>#DIV/0!</v>
      </c>
      <c r="J52" s="6" t="e">
        <f t="shared" si="6"/>
        <v>#DIV/0!</v>
      </c>
      <c r="K52" s="7">
        <f t="shared" si="11"/>
        <v>0</v>
      </c>
      <c r="L52" s="12">
        <f t="shared" si="3"/>
        <v>0</v>
      </c>
      <c r="M52" s="8">
        <f t="shared" si="7"/>
        <v>0</v>
      </c>
      <c r="O52" s="20"/>
      <c r="P52" s="21">
        <f t="shared" si="4"/>
        <v>0</v>
      </c>
      <c r="Q52" s="22"/>
      <c r="R52" s="23">
        <f t="shared" si="2"/>
        <v>0</v>
      </c>
    </row>
    <row r="53" spans="1:18" ht="25.2">
      <c r="A53" s="26" t="s">
        <v>26</v>
      </c>
      <c r="B53" s="26"/>
      <c r="C53" s="17"/>
    </row>
    <row r="54" spans="1:18">
      <c r="A54" s="24" t="s">
        <v>25</v>
      </c>
      <c r="B54" s="24"/>
      <c r="C54" s="24"/>
      <c r="D54" s="25"/>
      <c r="E54" s="25" t="s">
        <v>3</v>
      </c>
      <c r="F54" s="25" t="s">
        <v>4</v>
      </c>
      <c r="G54" s="25" t="s">
        <v>5</v>
      </c>
      <c r="H54" s="25" t="s">
        <v>6</v>
      </c>
      <c r="I54" s="25" t="s">
        <v>7</v>
      </c>
      <c r="J54" s="25" t="s">
        <v>9</v>
      </c>
      <c r="K54" s="25" t="s">
        <v>11</v>
      </c>
      <c r="L54" s="25" t="s">
        <v>12</v>
      </c>
      <c r="M54" s="25" t="s">
        <v>22</v>
      </c>
      <c r="N54" s="25"/>
      <c r="O54" s="25" t="s">
        <v>8</v>
      </c>
      <c r="P54" s="25" t="s">
        <v>13</v>
      </c>
      <c r="Q54" s="25" t="s">
        <v>14</v>
      </c>
      <c r="R54" s="25" t="s">
        <v>10</v>
      </c>
    </row>
    <row r="55" spans="1:18">
      <c r="A55" s="30" t="s">
        <v>50</v>
      </c>
      <c r="B55" s="36"/>
      <c r="C55" s="30" t="s">
        <v>29</v>
      </c>
      <c r="D55" s="41" t="s">
        <v>21</v>
      </c>
      <c r="E55">
        <v>19000</v>
      </c>
      <c r="F55" s="4" t="s">
        <v>23</v>
      </c>
      <c r="G55" s="3">
        <v>16600</v>
      </c>
      <c r="H55" s="3">
        <f t="shared" ref="H55:H78" si="84">E55*G55/2</f>
        <v>157700000</v>
      </c>
      <c r="I55" s="18">
        <f t="shared" ref="I55:I78" si="85">G55/F55</f>
        <v>3.7747261618084123</v>
      </c>
      <c r="J55" s="6">
        <f>G55/F55</f>
        <v>3.7747261618084123</v>
      </c>
      <c r="K55" s="7">
        <f>H55-E55*4</f>
        <v>157624000</v>
      </c>
      <c r="L55" s="12">
        <f t="shared" ref="L55:L78" si="86">E55*2</f>
        <v>38000</v>
      </c>
      <c r="M55" s="8">
        <f>(L55-E55)*4</f>
        <v>76000</v>
      </c>
      <c r="O55" s="31">
        <v>4</v>
      </c>
      <c r="P55" s="21">
        <f t="shared" ref="P55:P78" si="87">H55-O55*E55</f>
        <v>157624000</v>
      </c>
      <c r="Q55" s="22">
        <v>32150</v>
      </c>
      <c r="R55" s="23">
        <f t="shared" ref="R55:R78" si="88">(Q55-E55)*O55</f>
        <v>52600</v>
      </c>
    </row>
    <row r="56" spans="1:18">
      <c r="A56" s="36" t="s">
        <v>52</v>
      </c>
      <c r="B56" s="36"/>
      <c r="C56" s="30" t="s">
        <v>29</v>
      </c>
      <c r="D56" s="41" t="s">
        <v>28</v>
      </c>
      <c r="E56">
        <v>32000</v>
      </c>
      <c r="F56" s="4" t="s">
        <v>34</v>
      </c>
      <c r="G56" s="3">
        <v>25000</v>
      </c>
      <c r="H56" s="3">
        <f t="shared" si="84"/>
        <v>400000000</v>
      </c>
      <c r="I56" s="18">
        <f t="shared" si="85"/>
        <v>37.091988130563799</v>
      </c>
      <c r="J56" s="6">
        <f>G56/F56/2</f>
        <v>18.545994065281899</v>
      </c>
      <c r="K56" s="7">
        <f>H56-E56*13</f>
        <v>399584000</v>
      </c>
      <c r="L56" s="12">
        <f t="shared" si="86"/>
        <v>64000</v>
      </c>
      <c r="M56" s="8">
        <f>(L56-E56)*19</f>
        <v>608000</v>
      </c>
      <c r="O56" s="20">
        <v>19</v>
      </c>
      <c r="P56" s="21">
        <f t="shared" si="87"/>
        <v>399392000</v>
      </c>
      <c r="Q56" s="37">
        <v>28800</v>
      </c>
      <c r="R56" s="23">
        <f t="shared" si="88"/>
        <v>-60800</v>
      </c>
    </row>
    <row r="57" spans="1:18">
      <c r="A57" s="30" t="s">
        <v>46</v>
      </c>
      <c r="B57" s="36"/>
      <c r="C57" s="30" t="s">
        <v>29</v>
      </c>
      <c r="D57" s="41" t="s">
        <v>35</v>
      </c>
      <c r="E57">
        <v>17000</v>
      </c>
      <c r="F57" s="4" t="s">
        <v>40</v>
      </c>
      <c r="G57" s="3">
        <v>53000</v>
      </c>
      <c r="H57" s="3">
        <f t="shared" si="84"/>
        <v>450500000</v>
      </c>
      <c r="I57" s="18">
        <f t="shared" si="85"/>
        <v>20.229007633587788</v>
      </c>
      <c r="J57" s="6">
        <f t="shared" ref="J57:J78" si="89">G57/F57</f>
        <v>20.229007633587788</v>
      </c>
      <c r="K57" s="7">
        <f>H57-E57</f>
        <v>450483000</v>
      </c>
      <c r="L57" s="12">
        <f t="shared" si="86"/>
        <v>34000</v>
      </c>
      <c r="M57" s="8">
        <f>(L57-E57)*27</f>
        <v>459000</v>
      </c>
      <c r="O57" s="20">
        <v>24</v>
      </c>
      <c r="P57" s="21">
        <f t="shared" si="87"/>
        <v>450092000</v>
      </c>
      <c r="Q57" s="22">
        <v>35000</v>
      </c>
      <c r="R57" s="23">
        <f t="shared" si="88"/>
        <v>432000</v>
      </c>
    </row>
    <row r="58" spans="1:18">
      <c r="A58" s="30" t="s">
        <v>49</v>
      </c>
      <c r="B58" s="36"/>
      <c r="C58" s="30" t="s">
        <v>29</v>
      </c>
      <c r="D58" s="41" t="s">
        <v>45</v>
      </c>
      <c r="E58">
        <v>10000</v>
      </c>
      <c r="F58" s="4" t="s">
        <v>54</v>
      </c>
      <c r="G58" s="3">
        <v>400</v>
      </c>
      <c r="H58" s="3">
        <f t="shared" si="84"/>
        <v>2000000</v>
      </c>
      <c r="I58" s="18">
        <f t="shared" si="85"/>
        <v>0.2</v>
      </c>
      <c r="J58" s="6">
        <f t="shared" si="89"/>
        <v>0.2</v>
      </c>
      <c r="K58" s="7">
        <f>H58-E58</f>
        <v>1990000</v>
      </c>
      <c r="L58" s="12">
        <f t="shared" si="86"/>
        <v>20000</v>
      </c>
      <c r="M58" s="8">
        <f t="shared" ref="M58:M78" si="90">(L58-E58)</f>
        <v>10000</v>
      </c>
      <c r="O58" s="20">
        <v>2</v>
      </c>
      <c r="P58" s="21">
        <f t="shared" si="87"/>
        <v>1980000</v>
      </c>
      <c r="Q58" s="22">
        <v>26000</v>
      </c>
      <c r="R58" s="23">
        <f t="shared" si="88"/>
        <v>32000</v>
      </c>
    </row>
    <row r="59" spans="1:18">
      <c r="A59" s="30" t="s">
        <v>57</v>
      </c>
      <c r="B59" s="36"/>
      <c r="C59" s="30" t="s">
        <v>29</v>
      </c>
      <c r="D59" s="41" t="s">
        <v>56</v>
      </c>
      <c r="E59">
        <v>11000</v>
      </c>
      <c r="F59" s="4" t="s">
        <v>63</v>
      </c>
      <c r="G59" s="3">
        <v>40000</v>
      </c>
      <c r="H59" s="3">
        <f t="shared" si="84"/>
        <v>220000000</v>
      </c>
      <c r="I59" s="18">
        <f t="shared" si="85"/>
        <v>7.1428571428571432</v>
      </c>
      <c r="J59" s="6">
        <f t="shared" si="89"/>
        <v>7.1428571428571432</v>
      </c>
      <c r="K59" s="7">
        <f t="shared" ref="K59:K65" si="91">H59-E59</f>
        <v>219989000</v>
      </c>
      <c r="L59" s="12">
        <f t="shared" si="86"/>
        <v>22000</v>
      </c>
      <c r="M59" s="8">
        <f t="shared" si="90"/>
        <v>11000</v>
      </c>
      <c r="O59" s="20">
        <v>8</v>
      </c>
      <c r="P59" s="21">
        <f t="shared" si="87"/>
        <v>219912000</v>
      </c>
      <c r="Q59" s="22">
        <v>26000</v>
      </c>
      <c r="R59" s="23">
        <f t="shared" si="88"/>
        <v>120000</v>
      </c>
    </row>
    <row r="60" spans="1:18">
      <c r="A60" s="30" t="s">
        <v>78</v>
      </c>
      <c r="B60" s="36"/>
      <c r="C60" s="30" t="s">
        <v>29</v>
      </c>
      <c r="D60" s="40" t="s">
        <v>79</v>
      </c>
      <c r="E60">
        <v>21000</v>
      </c>
      <c r="F60" s="4" t="s">
        <v>84</v>
      </c>
      <c r="G60" s="3">
        <v>9000</v>
      </c>
      <c r="H60" s="3">
        <f t="shared" si="84"/>
        <v>94500000</v>
      </c>
      <c r="I60" s="18">
        <f t="shared" si="85"/>
        <v>4.0816326530612246</v>
      </c>
      <c r="J60" s="6">
        <f t="shared" si="89"/>
        <v>4.0816326530612246</v>
      </c>
      <c r="K60" s="7">
        <f t="shared" si="91"/>
        <v>94479000</v>
      </c>
      <c r="L60" s="12">
        <f t="shared" si="86"/>
        <v>42000</v>
      </c>
      <c r="M60" s="8">
        <f t="shared" si="90"/>
        <v>21000</v>
      </c>
      <c r="O60" s="20">
        <v>4</v>
      </c>
      <c r="P60" s="21">
        <f t="shared" si="87"/>
        <v>94416000</v>
      </c>
      <c r="Q60" s="22">
        <v>35150</v>
      </c>
      <c r="R60" s="23">
        <f t="shared" si="88"/>
        <v>56600</v>
      </c>
    </row>
    <row r="61" spans="1:18">
      <c r="A61" s="30" t="s">
        <v>98</v>
      </c>
      <c r="B61" s="36" t="s">
        <v>94</v>
      </c>
      <c r="C61" s="30" t="s">
        <v>29</v>
      </c>
      <c r="D61" s="40" t="s">
        <v>95</v>
      </c>
      <c r="E61">
        <v>12400</v>
      </c>
      <c r="F61" s="4" t="s">
        <v>102</v>
      </c>
      <c r="G61" s="3">
        <v>71000</v>
      </c>
      <c r="H61" s="3">
        <f t="shared" si="84"/>
        <v>440200000</v>
      </c>
      <c r="I61" s="18">
        <f t="shared" si="85"/>
        <v>355</v>
      </c>
      <c r="J61" s="6">
        <f t="shared" si="89"/>
        <v>355</v>
      </c>
      <c r="K61" s="7">
        <f t="shared" si="91"/>
        <v>440187600</v>
      </c>
      <c r="L61" s="12">
        <f t="shared" si="86"/>
        <v>24800</v>
      </c>
      <c r="M61" s="8">
        <f t="shared" si="90"/>
        <v>12400</v>
      </c>
      <c r="O61" s="20">
        <v>100</v>
      </c>
      <c r="P61" s="21">
        <f>H61-256*E61</f>
        <v>437025600</v>
      </c>
      <c r="Q61" s="22">
        <v>16850</v>
      </c>
      <c r="R61" s="23">
        <f t="shared" si="88"/>
        <v>445000</v>
      </c>
    </row>
    <row r="62" spans="1:18">
      <c r="A62" s="30" t="s">
        <v>98</v>
      </c>
      <c r="B62" s="36" t="s">
        <v>94</v>
      </c>
      <c r="C62" s="30" t="s">
        <v>29</v>
      </c>
      <c r="D62" s="40" t="s">
        <v>95</v>
      </c>
      <c r="E62">
        <v>12400</v>
      </c>
      <c r="F62" s="4" t="s">
        <v>102</v>
      </c>
      <c r="G62" s="3">
        <v>71000</v>
      </c>
      <c r="H62" s="3">
        <f t="shared" ref="H62" si="92">E62*G62/2</f>
        <v>440200000</v>
      </c>
      <c r="I62" s="18">
        <f t="shared" ref="I62" si="93">G62/F62</f>
        <v>355</v>
      </c>
      <c r="J62" s="6">
        <f t="shared" ref="J62" si="94">G62/F62</f>
        <v>355</v>
      </c>
      <c r="K62" s="7">
        <f t="shared" ref="K62" si="95">H62-E62</f>
        <v>440187600</v>
      </c>
      <c r="L62" s="12">
        <f t="shared" ref="L62" si="96">E62*2</f>
        <v>24800</v>
      </c>
      <c r="M62" s="8">
        <f t="shared" ref="M62" si="97">(L62-E62)</f>
        <v>12400</v>
      </c>
      <c r="O62" s="20">
        <v>156</v>
      </c>
      <c r="P62" s="21"/>
      <c r="Q62" s="22">
        <v>18550</v>
      </c>
      <c r="R62" s="23">
        <f t="shared" ref="R62" si="98">(Q62-E62)*O62</f>
        <v>959400</v>
      </c>
    </row>
    <row r="63" spans="1:18">
      <c r="A63" s="30" t="s">
        <v>103</v>
      </c>
      <c r="B63" s="30" t="s">
        <v>100</v>
      </c>
      <c r="C63" s="30" t="s">
        <v>29</v>
      </c>
      <c r="D63" s="40" t="s">
        <v>99</v>
      </c>
      <c r="E63">
        <v>7500</v>
      </c>
      <c r="F63" s="4" t="s">
        <v>97</v>
      </c>
      <c r="G63" s="3">
        <v>116750</v>
      </c>
      <c r="H63" s="3">
        <f t="shared" si="84"/>
        <v>437812500</v>
      </c>
      <c r="I63" s="18">
        <f t="shared" si="85"/>
        <v>77.833333333333329</v>
      </c>
      <c r="J63" s="6">
        <f t="shared" si="89"/>
        <v>77.833333333333329</v>
      </c>
      <c r="K63" s="7">
        <f t="shared" si="91"/>
        <v>437805000</v>
      </c>
      <c r="L63" s="12">
        <f t="shared" si="86"/>
        <v>15000</v>
      </c>
      <c r="M63" s="8">
        <f t="shared" si="90"/>
        <v>7500</v>
      </c>
      <c r="O63" s="20">
        <v>67</v>
      </c>
      <c r="P63" s="21">
        <f t="shared" si="87"/>
        <v>437310000</v>
      </c>
      <c r="Q63" s="22">
        <v>16600</v>
      </c>
      <c r="R63" s="23">
        <f t="shared" si="88"/>
        <v>609700</v>
      </c>
    </row>
    <row r="64" spans="1:18">
      <c r="A64" s="30" t="s">
        <v>110</v>
      </c>
      <c r="B64" s="30" t="s">
        <v>109</v>
      </c>
      <c r="C64" s="30" t="s">
        <v>108</v>
      </c>
      <c r="D64" s="40" t="s">
        <v>106</v>
      </c>
      <c r="E64">
        <v>65000</v>
      </c>
      <c r="F64" s="4" t="s">
        <v>122</v>
      </c>
      <c r="G64" s="3">
        <v>13000</v>
      </c>
      <c r="H64" s="3">
        <f t="shared" si="84"/>
        <v>422500000</v>
      </c>
      <c r="I64" s="18">
        <f t="shared" si="85"/>
        <v>19.938650306748468</v>
      </c>
      <c r="J64" s="6">
        <f t="shared" si="89"/>
        <v>19.938650306748468</v>
      </c>
      <c r="K64" s="7">
        <f t="shared" si="91"/>
        <v>422435000</v>
      </c>
      <c r="L64" s="12">
        <f t="shared" si="86"/>
        <v>130000</v>
      </c>
      <c r="M64" s="8">
        <f t="shared" si="90"/>
        <v>65000</v>
      </c>
      <c r="O64" s="20">
        <v>21</v>
      </c>
      <c r="P64" s="21">
        <f t="shared" si="87"/>
        <v>421135000</v>
      </c>
      <c r="Q64" s="22">
        <v>180000</v>
      </c>
      <c r="R64" s="23">
        <f t="shared" si="88"/>
        <v>2415000</v>
      </c>
    </row>
    <row r="65" spans="1:18">
      <c r="A65" s="30" t="s">
        <v>137</v>
      </c>
      <c r="B65" s="30" t="s">
        <v>136</v>
      </c>
      <c r="C65" s="30" t="s">
        <v>138</v>
      </c>
      <c r="D65" s="40" t="s">
        <v>135</v>
      </c>
      <c r="E65">
        <v>19000</v>
      </c>
      <c r="F65" s="4">
        <v>5147.2</v>
      </c>
      <c r="G65" s="3">
        <v>44000</v>
      </c>
      <c r="H65" s="3">
        <f t="shared" si="84"/>
        <v>418000000</v>
      </c>
      <c r="I65" s="18">
        <f t="shared" si="85"/>
        <v>8.5483369599005279</v>
      </c>
      <c r="J65" s="6">
        <f t="shared" si="89"/>
        <v>8.5483369599005279</v>
      </c>
      <c r="K65" s="7">
        <f t="shared" si="91"/>
        <v>417981000</v>
      </c>
      <c r="L65" s="12">
        <f t="shared" si="86"/>
        <v>38000</v>
      </c>
      <c r="M65" s="8">
        <f>(L65-E65)*10</f>
        <v>190000</v>
      </c>
      <c r="O65" s="20">
        <v>10</v>
      </c>
      <c r="P65" s="21"/>
      <c r="Q65" s="22">
        <v>42100</v>
      </c>
      <c r="R65" s="23">
        <f t="shared" si="88"/>
        <v>231000</v>
      </c>
    </row>
    <row r="66" spans="1:18">
      <c r="A66" s="30" t="s">
        <v>150</v>
      </c>
      <c r="B66" s="30" t="s">
        <v>151</v>
      </c>
      <c r="C66" s="30" t="s">
        <v>29</v>
      </c>
      <c r="D66" s="40" t="s">
        <v>153</v>
      </c>
      <c r="E66">
        <v>105000</v>
      </c>
      <c r="F66" s="6">
        <v>561</v>
      </c>
      <c r="G66" s="3">
        <v>8000</v>
      </c>
      <c r="H66" s="3">
        <f t="shared" si="84"/>
        <v>420000000</v>
      </c>
      <c r="I66" s="18">
        <f t="shared" si="85"/>
        <v>14.260249554367201</v>
      </c>
      <c r="J66" s="6">
        <f t="shared" si="89"/>
        <v>14.260249554367201</v>
      </c>
      <c r="K66" s="7">
        <f t="shared" ref="K66" si="99">H66-E66</f>
        <v>419895000</v>
      </c>
      <c r="L66" s="12">
        <f t="shared" si="86"/>
        <v>210000</v>
      </c>
      <c r="M66" s="8">
        <f t="shared" si="90"/>
        <v>105000</v>
      </c>
      <c r="O66" s="20">
        <v>18</v>
      </c>
      <c r="P66" s="21">
        <f t="shared" si="87"/>
        <v>418110000</v>
      </c>
      <c r="Q66" s="22"/>
      <c r="R66" s="23">
        <f t="shared" si="88"/>
        <v>-1890000</v>
      </c>
    </row>
    <row r="67" spans="1:18">
      <c r="A67" s="16"/>
      <c r="B67" s="36"/>
      <c r="C67" s="16"/>
      <c r="F67" s="4"/>
      <c r="G67" s="3"/>
      <c r="H67" s="3">
        <f t="shared" si="84"/>
        <v>0</v>
      </c>
      <c r="I67" s="18" t="e">
        <f t="shared" si="85"/>
        <v>#DIV/0!</v>
      </c>
      <c r="J67" s="6" t="e">
        <f t="shared" si="89"/>
        <v>#DIV/0!</v>
      </c>
      <c r="K67" s="7">
        <f>H67-E67</f>
        <v>0</v>
      </c>
      <c r="L67" s="12">
        <f t="shared" si="86"/>
        <v>0</v>
      </c>
      <c r="M67" s="8">
        <f t="shared" si="90"/>
        <v>0</v>
      </c>
      <c r="O67" s="20"/>
      <c r="P67" s="21">
        <f t="shared" si="87"/>
        <v>0</v>
      </c>
      <c r="Q67" s="22"/>
      <c r="R67" s="23">
        <f t="shared" si="88"/>
        <v>0</v>
      </c>
    </row>
    <row r="68" spans="1:18">
      <c r="A68" s="16"/>
      <c r="B68" s="36"/>
      <c r="C68" s="16"/>
      <c r="F68" s="4"/>
      <c r="G68" s="3"/>
      <c r="H68" s="3">
        <f t="shared" si="84"/>
        <v>0</v>
      </c>
      <c r="I68" s="18" t="e">
        <f t="shared" si="85"/>
        <v>#DIV/0!</v>
      </c>
      <c r="J68" s="6" t="e">
        <f t="shared" si="89"/>
        <v>#DIV/0!</v>
      </c>
      <c r="K68" s="7">
        <f t="shared" ref="K68:K78" si="100">H68-E68</f>
        <v>0</v>
      </c>
      <c r="L68" s="12">
        <f t="shared" si="86"/>
        <v>0</v>
      </c>
      <c r="M68" s="8">
        <f t="shared" si="90"/>
        <v>0</v>
      </c>
      <c r="O68" s="20"/>
      <c r="P68" s="21">
        <f t="shared" si="87"/>
        <v>0</v>
      </c>
      <c r="Q68" s="22"/>
      <c r="R68" s="23">
        <f t="shared" si="88"/>
        <v>0</v>
      </c>
    </row>
    <row r="69" spans="1:18">
      <c r="A69" s="16"/>
      <c r="B69" s="36"/>
      <c r="C69" s="16"/>
      <c r="F69" s="4"/>
      <c r="G69" s="3"/>
      <c r="H69" s="3">
        <f t="shared" ref="H69:H74" si="101">E69*G69/2</f>
        <v>0</v>
      </c>
      <c r="I69" s="18" t="e">
        <f t="shared" ref="I69:I74" si="102">G69/F69</f>
        <v>#DIV/0!</v>
      </c>
      <c r="J69" s="6" t="e">
        <f t="shared" ref="J69:J74" si="103">G69/F69</f>
        <v>#DIV/0!</v>
      </c>
      <c r="K69" s="7">
        <f t="shared" si="100"/>
        <v>0</v>
      </c>
      <c r="L69" s="12">
        <f t="shared" ref="L69:L74" si="104">E69*2</f>
        <v>0</v>
      </c>
      <c r="M69" s="8">
        <f t="shared" ref="M69:M74" si="105">(L69-E69)</f>
        <v>0</v>
      </c>
      <c r="O69" s="20"/>
      <c r="P69" s="21">
        <f t="shared" ref="P69:P74" si="106">H69-O69*E69</f>
        <v>0</v>
      </c>
      <c r="Q69" s="22"/>
      <c r="R69" s="23">
        <f t="shared" ref="R69:R74" si="107">(Q69-E69)*O69</f>
        <v>0</v>
      </c>
    </row>
    <row r="70" spans="1:18">
      <c r="A70" s="16"/>
      <c r="B70" s="36"/>
      <c r="C70" s="16"/>
      <c r="F70" s="4"/>
      <c r="G70" s="3"/>
      <c r="H70" s="3">
        <f t="shared" si="101"/>
        <v>0</v>
      </c>
      <c r="I70" s="18" t="e">
        <f t="shared" si="102"/>
        <v>#DIV/0!</v>
      </c>
      <c r="J70" s="6" t="e">
        <f t="shared" si="103"/>
        <v>#DIV/0!</v>
      </c>
      <c r="K70" s="7">
        <f>H70-E70</f>
        <v>0</v>
      </c>
      <c r="L70" s="12">
        <f t="shared" si="104"/>
        <v>0</v>
      </c>
      <c r="M70" s="8">
        <f t="shared" si="105"/>
        <v>0</v>
      </c>
      <c r="O70" s="20"/>
      <c r="P70" s="21">
        <f t="shared" si="106"/>
        <v>0</v>
      </c>
      <c r="Q70" s="22"/>
      <c r="R70" s="23">
        <f t="shared" si="107"/>
        <v>0</v>
      </c>
    </row>
    <row r="71" spans="1:18">
      <c r="A71" s="16"/>
      <c r="B71" s="36"/>
      <c r="C71" s="16"/>
      <c r="F71" s="4"/>
      <c r="G71" s="3"/>
      <c r="H71" s="3">
        <f t="shared" si="101"/>
        <v>0</v>
      </c>
      <c r="I71" s="18" t="e">
        <f t="shared" si="102"/>
        <v>#DIV/0!</v>
      </c>
      <c r="J71" s="6" t="e">
        <f t="shared" si="103"/>
        <v>#DIV/0!</v>
      </c>
      <c r="K71" s="7">
        <f t="shared" ref="K71:K72" si="108">H71-E71</f>
        <v>0</v>
      </c>
      <c r="L71" s="12">
        <f t="shared" si="104"/>
        <v>0</v>
      </c>
      <c r="M71" s="8">
        <f t="shared" si="105"/>
        <v>0</v>
      </c>
      <c r="O71" s="20"/>
      <c r="P71" s="21">
        <f t="shared" si="106"/>
        <v>0</v>
      </c>
      <c r="Q71" s="22"/>
      <c r="R71" s="23">
        <f t="shared" si="107"/>
        <v>0</v>
      </c>
    </row>
    <row r="72" spans="1:18">
      <c r="A72" s="16"/>
      <c r="B72" s="36"/>
      <c r="C72" s="16"/>
      <c r="F72" s="4"/>
      <c r="G72" s="3"/>
      <c r="H72" s="3">
        <f t="shared" si="101"/>
        <v>0</v>
      </c>
      <c r="I72" s="18" t="e">
        <f t="shared" si="102"/>
        <v>#DIV/0!</v>
      </c>
      <c r="J72" s="6" t="e">
        <f t="shared" si="103"/>
        <v>#DIV/0!</v>
      </c>
      <c r="K72" s="7">
        <f t="shared" si="108"/>
        <v>0</v>
      </c>
      <c r="L72" s="12">
        <f t="shared" si="104"/>
        <v>0</v>
      </c>
      <c r="M72" s="8">
        <f t="shared" si="105"/>
        <v>0</v>
      </c>
      <c r="O72" s="20"/>
      <c r="P72" s="21">
        <f t="shared" si="106"/>
        <v>0</v>
      </c>
      <c r="Q72" s="22"/>
      <c r="R72" s="23">
        <f t="shared" si="107"/>
        <v>0</v>
      </c>
    </row>
    <row r="73" spans="1:18">
      <c r="A73" s="16"/>
      <c r="B73" s="36"/>
      <c r="C73" s="16"/>
      <c r="F73" s="4"/>
      <c r="G73" s="3"/>
      <c r="H73" s="3">
        <f t="shared" si="101"/>
        <v>0</v>
      </c>
      <c r="I73" s="18" t="e">
        <f t="shared" si="102"/>
        <v>#DIV/0!</v>
      </c>
      <c r="J73" s="6" t="e">
        <f t="shared" si="103"/>
        <v>#DIV/0!</v>
      </c>
      <c r="K73" s="7">
        <f>H73-E73</f>
        <v>0</v>
      </c>
      <c r="L73" s="12">
        <f t="shared" si="104"/>
        <v>0</v>
      </c>
      <c r="M73" s="8">
        <f t="shared" si="105"/>
        <v>0</v>
      </c>
      <c r="O73" s="20"/>
      <c r="P73" s="21">
        <f t="shared" si="106"/>
        <v>0</v>
      </c>
      <c r="Q73" s="22"/>
      <c r="R73" s="23">
        <f t="shared" si="107"/>
        <v>0</v>
      </c>
    </row>
    <row r="74" spans="1:18">
      <c r="A74" s="16"/>
      <c r="B74" s="36"/>
      <c r="C74" s="16"/>
      <c r="F74" s="4"/>
      <c r="G74" s="3"/>
      <c r="H74" s="3">
        <f t="shared" si="101"/>
        <v>0</v>
      </c>
      <c r="I74" s="18" t="e">
        <f t="shared" si="102"/>
        <v>#DIV/0!</v>
      </c>
      <c r="J74" s="6" t="e">
        <f t="shared" si="103"/>
        <v>#DIV/0!</v>
      </c>
      <c r="K74" s="7">
        <f t="shared" ref="K74:K75" si="109">H74-E74</f>
        <v>0</v>
      </c>
      <c r="L74" s="12">
        <f t="shared" si="104"/>
        <v>0</v>
      </c>
      <c r="M74" s="8">
        <f t="shared" si="105"/>
        <v>0</v>
      </c>
      <c r="O74" s="20"/>
      <c r="P74" s="21">
        <f t="shared" si="106"/>
        <v>0</v>
      </c>
      <c r="Q74" s="22"/>
      <c r="R74" s="23">
        <f t="shared" si="107"/>
        <v>0</v>
      </c>
    </row>
    <row r="75" spans="1:18">
      <c r="A75" s="16"/>
      <c r="B75" s="36"/>
      <c r="C75" s="16"/>
      <c r="F75" s="4"/>
      <c r="G75" s="3"/>
      <c r="H75" s="3">
        <f t="shared" ref="H75:H77" si="110">E75*G75/2</f>
        <v>0</v>
      </c>
      <c r="I75" s="18" t="e">
        <f t="shared" ref="I75:I77" si="111">G75/F75</f>
        <v>#DIV/0!</v>
      </c>
      <c r="J75" s="6" t="e">
        <f t="shared" ref="J75:J77" si="112">G75/F75</f>
        <v>#DIV/0!</v>
      </c>
      <c r="K75" s="7">
        <f t="shared" si="109"/>
        <v>0</v>
      </c>
      <c r="L75" s="12">
        <f t="shared" ref="L75:L77" si="113">E75*2</f>
        <v>0</v>
      </c>
      <c r="M75" s="8">
        <f t="shared" ref="M75:M77" si="114">(L75-E75)</f>
        <v>0</v>
      </c>
      <c r="O75" s="20"/>
      <c r="P75" s="21">
        <f t="shared" ref="P75:P77" si="115">H75-O75*E75</f>
        <v>0</v>
      </c>
      <c r="Q75" s="22"/>
      <c r="R75" s="23">
        <f t="shared" ref="R75:R77" si="116">(Q75-E75)*O75</f>
        <v>0</v>
      </c>
    </row>
    <row r="76" spans="1:18">
      <c r="A76" s="16"/>
      <c r="B76" s="36"/>
      <c r="C76" s="16"/>
      <c r="F76" s="4"/>
      <c r="G76" s="3"/>
      <c r="H76" s="3">
        <f t="shared" si="110"/>
        <v>0</v>
      </c>
      <c r="I76" s="18" t="e">
        <f t="shared" si="111"/>
        <v>#DIV/0!</v>
      </c>
      <c r="J76" s="6" t="e">
        <f t="shared" si="112"/>
        <v>#DIV/0!</v>
      </c>
      <c r="K76" s="7">
        <f>H76-E76</f>
        <v>0</v>
      </c>
      <c r="L76" s="12">
        <f t="shared" si="113"/>
        <v>0</v>
      </c>
      <c r="M76" s="8">
        <f t="shared" si="114"/>
        <v>0</v>
      </c>
      <c r="O76" s="20"/>
      <c r="P76" s="21">
        <f t="shared" si="115"/>
        <v>0</v>
      </c>
      <c r="Q76" s="22"/>
      <c r="R76" s="23">
        <f t="shared" si="116"/>
        <v>0</v>
      </c>
    </row>
    <row r="77" spans="1:18">
      <c r="A77" s="16"/>
      <c r="B77" s="36"/>
      <c r="C77" s="16"/>
      <c r="F77" s="4"/>
      <c r="G77" s="3"/>
      <c r="H77" s="3">
        <f t="shared" si="110"/>
        <v>0</v>
      </c>
      <c r="I77" s="18" t="e">
        <f t="shared" si="111"/>
        <v>#DIV/0!</v>
      </c>
      <c r="J77" s="6" t="e">
        <f t="shared" si="112"/>
        <v>#DIV/0!</v>
      </c>
      <c r="K77" s="7">
        <f t="shared" ref="K77" si="117">H77-E77</f>
        <v>0</v>
      </c>
      <c r="L77" s="12">
        <f t="shared" si="113"/>
        <v>0</v>
      </c>
      <c r="M77" s="8">
        <f t="shared" si="114"/>
        <v>0</v>
      </c>
      <c r="O77" s="20"/>
      <c r="P77" s="21">
        <f t="shared" si="115"/>
        <v>0</v>
      </c>
      <c r="Q77" s="22"/>
      <c r="R77" s="23">
        <f t="shared" si="116"/>
        <v>0</v>
      </c>
    </row>
    <row r="78" spans="1:18">
      <c r="A78" s="16"/>
      <c r="B78" s="36"/>
      <c r="C78" s="16"/>
      <c r="F78" s="4"/>
      <c r="G78" s="3"/>
      <c r="H78" s="3">
        <f t="shared" si="84"/>
        <v>0</v>
      </c>
      <c r="I78" s="18" t="e">
        <f t="shared" si="85"/>
        <v>#DIV/0!</v>
      </c>
      <c r="J78" s="6" t="e">
        <f t="shared" si="89"/>
        <v>#DIV/0!</v>
      </c>
      <c r="K78" s="7">
        <f t="shared" si="100"/>
        <v>0</v>
      </c>
      <c r="L78" s="12">
        <f t="shared" si="86"/>
        <v>0</v>
      </c>
      <c r="M78" s="8">
        <f t="shared" si="90"/>
        <v>0</v>
      </c>
      <c r="O78" s="20"/>
      <c r="P78" s="21">
        <f t="shared" si="87"/>
        <v>0</v>
      </c>
      <c r="Q78" s="22"/>
      <c r="R78" s="23">
        <f t="shared" si="88"/>
        <v>0</v>
      </c>
    </row>
    <row r="83" spans="4:13">
      <c r="G83">
        <f>22000*1.3</f>
        <v>28600</v>
      </c>
      <c r="I83">
        <f>939.39*2</f>
        <v>1878.78</v>
      </c>
    </row>
    <row r="84" spans="4:13">
      <c r="D84">
        <f>13899*82</f>
        <v>1139718</v>
      </c>
    </row>
    <row r="87" spans="4:13">
      <c r="H87">
        <f>909.275*2</f>
        <v>1818.55</v>
      </c>
    </row>
    <row r="89" spans="4:13">
      <c r="D89">
        <f>105000-2270</f>
        <v>102730</v>
      </c>
      <c r="F89">
        <f>82500000-30000</f>
        <v>82470000</v>
      </c>
      <c r="M89">
        <f>37500-1325</f>
        <v>36175</v>
      </c>
    </row>
    <row r="90" spans="4:13">
      <c r="I90" t="s">
        <v>74</v>
      </c>
    </row>
    <row r="91" spans="4:13">
      <c r="D91">
        <f>12900*800</f>
        <v>10320000</v>
      </c>
      <c r="I91">
        <v>63853</v>
      </c>
    </row>
    <row r="92" spans="4:13">
      <c r="G92">
        <f>870.73*2</f>
        <v>1741.46</v>
      </c>
    </row>
    <row r="95" spans="4:13">
      <c r="J95">
        <f>37500*2</f>
        <v>75000</v>
      </c>
    </row>
    <row r="96" spans="4:13">
      <c r="D96">
        <v>54504830702</v>
      </c>
    </row>
    <row r="97" spans="4:9">
      <c r="D97" t="s">
        <v>117</v>
      </c>
      <c r="E97" t="s">
        <v>119</v>
      </c>
      <c r="F97" t="s">
        <v>120</v>
      </c>
      <c r="H97">
        <f>80000000-42432000</f>
        <v>37568000</v>
      </c>
    </row>
    <row r="98" spans="4:9">
      <c r="D98">
        <v>18857250</v>
      </c>
      <c r="E98">
        <v>104405178</v>
      </c>
      <c r="F98">
        <f>D98+E98</f>
        <v>123262428</v>
      </c>
    </row>
    <row r="99" spans="4:9">
      <c r="D99" t="s">
        <v>118</v>
      </c>
      <c r="F99">
        <f>75000000-37500</f>
        <v>74962500</v>
      </c>
    </row>
    <row r="100" spans="4:9">
      <c r="D100">
        <v>113750000</v>
      </c>
    </row>
    <row r="101" spans="4:9">
      <c r="D101">
        <f>D100-E98</f>
        <v>9344822</v>
      </c>
    </row>
    <row r="102" spans="4:9">
      <c r="F102">
        <v>45410433</v>
      </c>
    </row>
    <row r="103" spans="4:9">
      <c r="F103">
        <v>50000000</v>
      </c>
      <c r="I103">
        <f>24000*16000/2</f>
        <v>192000000</v>
      </c>
    </row>
    <row r="104" spans="4:9">
      <c r="F104">
        <v>312880</v>
      </c>
    </row>
    <row r="108" spans="4:9">
      <c r="F108" t="s">
        <v>168</v>
      </c>
      <c r="G108" t="s">
        <v>169</v>
      </c>
      <c r="I108" t="s">
        <v>170</v>
      </c>
    </row>
    <row r="109" spans="4:9">
      <c r="F109">
        <v>21753000</v>
      </c>
      <c r="G109">
        <v>78375000</v>
      </c>
      <c r="I109">
        <f>G109-F109</f>
        <v>56622000</v>
      </c>
    </row>
    <row r="111" spans="4:9">
      <c r="H111">
        <v>114000000</v>
      </c>
      <c r="I111">
        <v>123500000</v>
      </c>
    </row>
    <row r="112" spans="4:9">
      <c r="H112">
        <v>108818156</v>
      </c>
    </row>
    <row r="113" spans="4:9">
      <c r="D113">
        <f>783117-500</f>
        <v>782617</v>
      </c>
      <c r="H113">
        <f>H111-H112</f>
        <v>5181844</v>
      </c>
      <c r="I113">
        <f>I111-H112</f>
        <v>14681844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L16"/>
  <sheetViews>
    <sheetView workbookViewId="0">
      <selection activeCell="I16" sqref="I16"/>
    </sheetView>
  </sheetViews>
  <sheetFormatPr defaultRowHeight="17.399999999999999"/>
  <cols>
    <col min="8" max="8" width="12.8984375" customWidth="1"/>
    <col min="9" max="9" width="14.09765625" customWidth="1"/>
    <col min="11" max="11" width="9.3984375" bestFit="1" customWidth="1"/>
  </cols>
  <sheetData>
    <row r="8" spans="8:12">
      <c r="H8" s="35" t="s">
        <v>66</v>
      </c>
      <c r="K8" s="35" t="s">
        <v>67</v>
      </c>
    </row>
    <row r="10" spans="8:12">
      <c r="H10" s="32">
        <f>15000*760</f>
        <v>11400000</v>
      </c>
      <c r="I10" s="33" t="s">
        <v>59</v>
      </c>
      <c r="J10" s="19"/>
      <c r="K10" s="32">
        <f>14000*760</f>
        <v>10640000</v>
      </c>
      <c r="L10" s="33" t="s">
        <v>64</v>
      </c>
    </row>
    <row r="11" spans="8:12">
      <c r="H11" s="32">
        <f>14000*1000</f>
        <v>14000000</v>
      </c>
      <c r="I11" s="33" t="s">
        <v>60</v>
      </c>
      <c r="J11" s="19"/>
      <c r="K11" s="32">
        <f>13000*1000</f>
        <v>13000000</v>
      </c>
      <c r="L11" s="33" t="s">
        <v>61</v>
      </c>
    </row>
    <row r="12" spans="8:12">
      <c r="H12" s="32">
        <f>13000*1000</f>
        <v>13000000</v>
      </c>
      <c r="I12" s="33" t="s">
        <v>61</v>
      </c>
      <c r="J12" s="19"/>
      <c r="K12" s="32">
        <f>12000*1000</f>
        <v>12000000</v>
      </c>
      <c r="L12" s="33" t="s">
        <v>62</v>
      </c>
    </row>
    <row r="13" spans="8:12">
      <c r="H13" s="32">
        <f>12000*1000</f>
        <v>12000000</v>
      </c>
      <c r="I13" s="33" t="s">
        <v>62</v>
      </c>
      <c r="J13" s="19"/>
      <c r="K13" s="32">
        <f>11000*1000</f>
        <v>11000000</v>
      </c>
      <c r="L13" s="33" t="s">
        <v>65</v>
      </c>
    </row>
    <row r="14" spans="8:12">
      <c r="H14" s="34"/>
      <c r="I14" s="34"/>
    </row>
    <row r="15" spans="8:12">
      <c r="H15" s="33">
        <f>SUM(H10:H13)</f>
        <v>50400000</v>
      </c>
      <c r="I15" s="34"/>
      <c r="K15" s="38">
        <f>SUM(K10:K13)</f>
        <v>46640000</v>
      </c>
    </row>
    <row r="16" spans="8:12">
      <c r="H16" s="34"/>
      <c r="I16" s="34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SKCC</dc:creator>
  <cp:lastModifiedBy>SKCC</cp:lastModifiedBy>
  <dcterms:created xsi:type="dcterms:W3CDTF">2020-12-15T05:36:22Z</dcterms:created>
  <dcterms:modified xsi:type="dcterms:W3CDTF">2021-05-07T07:18:26Z</dcterms:modified>
</cp:coreProperties>
</file>