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tHDD\Ecole\Projet_CESI\2025-2026\Systèmes_automatisés\PlanExperience\TP\"/>
    </mc:Choice>
  </mc:AlternateContent>
  <xr:revisionPtr revIDLastSave="0" documentId="13_ncr:1_{02900DA3-0999-43AE-AB36-E7E63E1D3B6F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Durée (fract)" sheetId="1" r:id="rId1"/>
    <sheet name="Déviation (fract)" sheetId="2" r:id="rId2"/>
    <sheet name="Durée (Plan complet)" sheetId="3" r:id="rId3"/>
  </sheets>
  <externalReferences>
    <externalReference r:id="rId4"/>
  </externalReferences>
  <definedNames>
    <definedName name="_xlnm._FilterDatabase" localSheetId="0" hidden="1">'Durée (fract)'!$A$182:$BG$309</definedName>
    <definedName name="_xlnm._FilterDatabase" localSheetId="2" hidden="1">'Durée (Plan complet)'!$A$182:$BG$309</definedName>
    <definedName name="_xlnm.Print_Area" localSheetId="0">'Durée (fract)'!$A$2:$U$311</definedName>
    <definedName name="_xlnm.Print_Area" localSheetId="2">'Durée (Plan complet)'!$A$2:$U$311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01" i="3" l="1"/>
  <c r="AM101" i="3"/>
  <c r="AL101" i="3"/>
  <c r="AN100" i="3"/>
  <c r="AM100" i="3"/>
  <c r="AL100" i="3"/>
  <c r="AN99" i="3"/>
  <c r="AM99" i="3"/>
  <c r="AL99" i="3"/>
  <c r="AN97" i="3"/>
  <c r="AM97" i="3"/>
  <c r="AL97" i="3"/>
  <c r="AK97" i="3"/>
  <c r="AJ97" i="3"/>
  <c r="AI97" i="3"/>
  <c r="AN96" i="3"/>
  <c r="AM96" i="3"/>
  <c r="AL96" i="3"/>
  <c r="AK96" i="3"/>
  <c r="AJ96" i="3"/>
  <c r="AI96" i="3"/>
  <c r="AN95" i="3"/>
  <c r="AM95" i="3"/>
  <c r="AL95" i="3"/>
  <c r="AK95" i="3"/>
  <c r="AJ95" i="3"/>
  <c r="AI95" i="3"/>
  <c r="AN93" i="3"/>
  <c r="AM93" i="3"/>
  <c r="AL93" i="3"/>
  <c r="AK93" i="3"/>
  <c r="AJ93" i="3"/>
  <c r="AI93" i="3"/>
  <c r="AH93" i="3"/>
  <c r="AG93" i="3"/>
  <c r="AF93" i="3"/>
  <c r="AN92" i="3"/>
  <c r="AM92" i="3"/>
  <c r="AL92" i="3"/>
  <c r="AK92" i="3"/>
  <c r="AJ92" i="3"/>
  <c r="AI92" i="3"/>
  <c r="AH92" i="3"/>
  <c r="AG92" i="3"/>
  <c r="AF92" i="3"/>
  <c r="AN91" i="3"/>
  <c r="AM91" i="3"/>
  <c r="AL91" i="3"/>
  <c r="AK91" i="3"/>
  <c r="AJ91" i="3"/>
  <c r="AI91" i="3"/>
  <c r="AH91" i="3"/>
  <c r="AG91" i="3"/>
  <c r="AF91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N85" i="3"/>
  <c r="AM85" i="3"/>
  <c r="AL85" i="3"/>
  <c r="AK85" i="3"/>
  <c r="AJ85" i="3"/>
  <c r="AI85" i="3"/>
  <c r="AH85" i="3"/>
  <c r="AG85" i="3"/>
  <c r="AF85" i="3"/>
  <c r="AB85" i="3"/>
  <c r="AA85" i="3"/>
  <c r="Z85" i="3"/>
  <c r="AN84" i="3"/>
  <c r="AM84" i="3"/>
  <c r="AL84" i="3"/>
  <c r="AK84" i="3"/>
  <c r="AJ84" i="3"/>
  <c r="AI84" i="3"/>
  <c r="AH84" i="3"/>
  <c r="AG84" i="3"/>
  <c r="AF84" i="3"/>
  <c r="AB84" i="3"/>
  <c r="AA84" i="3"/>
  <c r="Z84" i="3"/>
  <c r="AN83" i="3"/>
  <c r="AM83" i="3"/>
  <c r="AL83" i="3"/>
  <c r="AK83" i="3"/>
  <c r="AJ83" i="3"/>
  <c r="AI83" i="3"/>
  <c r="AH83" i="3"/>
  <c r="AG83" i="3"/>
  <c r="AF83" i="3"/>
  <c r="AE83" i="3"/>
  <c r="AD83" i="3"/>
  <c r="AB83" i="3"/>
  <c r="AA83" i="3"/>
  <c r="Z83" i="3"/>
  <c r="AN81" i="3"/>
  <c r="AM81" i="3"/>
  <c r="AL81" i="3"/>
  <c r="AK81" i="3"/>
  <c r="AJ81" i="3"/>
  <c r="AI81" i="3"/>
  <c r="AH81" i="3"/>
  <c r="AG81" i="3"/>
  <c r="AF81" i="3"/>
  <c r="AB81" i="3"/>
  <c r="AA81" i="3"/>
  <c r="Z81" i="3"/>
  <c r="M81" i="3"/>
  <c r="AN80" i="3"/>
  <c r="AM80" i="3"/>
  <c r="AL80" i="3"/>
  <c r="AK80" i="3"/>
  <c r="AJ80" i="3"/>
  <c r="AI80" i="3"/>
  <c r="AH80" i="3"/>
  <c r="AG80" i="3"/>
  <c r="AF80" i="3"/>
  <c r="AB80" i="3"/>
  <c r="AA80" i="3"/>
  <c r="Z80" i="3"/>
  <c r="W80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F79" i="3"/>
  <c r="F78" i="3"/>
  <c r="F77" i="3"/>
  <c r="K74" i="3" s="1"/>
  <c r="F76" i="3"/>
  <c r="AH75" i="3"/>
  <c r="F75" i="3"/>
  <c r="K78" i="3" s="1"/>
  <c r="AH74" i="3"/>
  <c r="F74" i="3"/>
  <c r="F73" i="3"/>
  <c r="AH72" i="3"/>
  <c r="AG72" i="3"/>
  <c r="AH71" i="3"/>
  <c r="AG71" i="3"/>
  <c r="AH69" i="3"/>
  <c r="AG69" i="3"/>
  <c r="AF69" i="3"/>
  <c r="AH68" i="3"/>
  <c r="AG68" i="3"/>
  <c r="AF68" i="3"/>
  <c r="AH66" i="3"/>
  <c r="AG66" i="3"/>
  <c r="AF66" i="3"/>
  <c r="AE66" i="3"/>
  <c r="AH65" i="3"/>
  <c r="AG65" i="3"/>
  <c r="AF65" i="3"/>
  <c r="AE65" i="3"/>
  <c r="T65" i="3"/>
  <c r="T66" i="3" s="1"/>
  <c r="S65" i="3"/>
  <c r="S66" i="3" s="1"/>
  <c r="R65" i="3"/>
  <c r="R66" i="3" s="1"/>
  <c r="Q65" i="3"/>
  <c r="P65" i="3"/>
  <c r="P66" i="3" s="1"/>
  <c r="O65" i="3"/>
  <c r="O66" i="3" s="1"/>
  <c r="N65" i="3"/>
  <c r="F65" i="3"/>
  <c r="F64" i="3"/>
  <c r="AH63" i="3"/>
  <c r="AG63" i="3"/>
  <c r="AF63" i="3"/>
  <c r="AD63" i="3"/>
  <c r="F63" i="3"/>
  <c r="AH62" i="3"/>
  <c r="AG62" i="3"/>
  <c r="AF62" i="3"/>
  <c r="AD62" i="3"/>
  <c r="F62" i="3"/>
  <c r="F61" i="3"/>
  <c r="AH60" i="3"/>
  <c r="AG60" i="3"/>
  <c r="AF60" i="3"/>
  <c r="AD60" i="3"/>
  <c r="F60" i="3"/>
  <c r="AH59" i="3"/>
  <c r="AG59" i="3"/>
  <c r="AF59" i="3"/>
  <c r="AD59" i="3"/>
  <c r="F59" i="3"/>
  <c r="T58" i="3"/>
  <c r="T62" i="3" s="1"/>
  <c r="S58" i="3"/>
  <c r="S62" i="3" s="1"/>
  <c r="R58" i="3"/>
  <c r="R62" i="3" s="1"/>
  <c r="Q58" i="3"/>
  <c r="Q62" i="3" s="1"/>
  <c r="P58" i="3"/>
  <c r="P62" i="3" s="1"/>
  <c r="O58" i="3"/>
  <c r="O62" i="3" s="1"/>
  <c r="N58" i="3"/>
  <c r="N62" i="3" s="1"/>
  <c r="T57" i="3"/>
  <c r="T61" i="3" s="1"/>
  <c r="S57" i="3"/>
  <c r="S61" i="3" s="1"/>
  <c r="R57" i="3"/>
  <c r="R61" i="3" s="1"/>
  <c r="Q57" i="3"/>
  <c r="Q56" i="3" s="1"/>
  <c r="P57" i="3"/>
  <c r="P56" i="3" s="1"/>
  <c r="O57" i="3"/>
  <c r="O61" i="3" s="1"/>
  <c r="N57" i="3"/>
  <c r="D54" i="3"/>
  <c r="R27" i="3"/>
  <c r="P27" i="3"/>
  <c r="J27" i="3"/>
  <c r="I27" i="3"/>
  <c r="H27" i="3"/>
  <c r="G27" i="3"/>
  <c r="F27" i="3"/>
  <c r="E27" i="3"/>
  <c r="D27" i="3"/>
  <c r="C27" i="3"/>
  <c r="R26" i="3"/>
  <c r="P26" i="3"/>
  <c r="J26" i="3"/>
  <c r="I26" i="3"/>
  <c r="H26" i="3"/>
  <c r="G26" i="3"/>
  <c r="F26" i="3"/>
  <c r="E26" i="3"/>
  <c r="D26" i="3"/>
  <c r="C26" i="3"/>
  <c r="R25" i="3"/>
  <c r="P25" i="3"/>
  <c r="J25" i="3"/>
  <c r="I25" i="3"/>
  <c r="H25" i="3"/>
  <c r="G25" i="3"/>
  <c r="F25" i="3"/>
  <c r="E25" i="3"/>
  <c r="D25" i="3"/>
  <c r="C25" i="3"/>
  <c r="R24" i="3"/>
  <c r="P24" i="3"/>
  <c r="J24" i="3"/>
  <c r="I24" i="3"/>
  <c r="H24" i="3"/>
  <c r="G24" i="3"/>
  <c r="F24" i="3"/>
  <c r="E24" i="3"/>
  <c r="D24" i="3"/>
  <c r="C24" i="3"/>
  <c r="R23" i="3"/>
  <c r="P23" i="3"/>
  <c r="J23" i="3"/>
  <c r="I23" i="3"/>
  <c r="H23" i="3"/>
  <c r="G23" i="3"/>
  <c r="F23" i="3"/>
  <c r="E23" i="3"/>
  <c r="D23" i="3"/>
  <c r="C23" i="3"/>
  <c r="R22" i="3"/>
  <c r="P22" i="3"/>
  <c r="J22" i="3"/>
  <c r="I22" i="3"/>
  <c r="H22" i="3"/>
  <c r="G22" i="3"/>
  <c r="F22" i="3"/>
  <c r="E22" i="3"/>
  <c r="D22" i="3"/>
  <c r="C22" i="3"/>
  <c r="R21" i="3"/>
  <c r="P21" i="3"/>
  <c r="J21" i="3"/>
  <c r="I21" i="3"/>
  <c r="H21" i="3"/>
  <c r="G21" i="3"/>
  <c r="F21" i="3"/>
  <c r="E21" i="3"/>
  <c r="D21" i="3"/>
  <c r="C21" i="3"/>
  <c r="R20" i="3"/>
  <c r="P20" i="3"/>
  <c r="J20" i="3"/>
  <c r="I20" i="3"/>
  <c r="H20" i="3"/>
  <c r="G20" i="3"/>
  <c r="F20" i="3"/>
  <c r="E20" i="3"/>
  <c r="D20" i="3"/>
  <c r="C20" i="3"/>
  <c r="I18" i="3"/>
  <c r="I180" i="3" s="1"/>
  <c r="I310" i="3" s="1"/>
  <c r="F18" i="3"/>
  <c r="F180" i="3" s="1"/>
  <c r="F310" i="3" s="1"/>
  <c r="D18" i="3"/>
  <c r="D180" i="3" s="1"/>
  <c r="D310" i="3" s="1"/>
  <c r="C18" i="3"/>
  <c r="B15" i="3"/>
  <c r="B14" i="3"/>
  <c r="B13" i="3"/>
  <c r="B12" i="3"/>
  <c r="B11" i="3"/>
  <c r="B10" i="3"/>
  <c r="AC84" i="3" s="1"/>
  <c r="B9" i="3"/>
  <c r="W81" i="3" s="1"/>
  <c r="A2" i="3"/>
  <c r="Q26" i="3" l="1"/>
  <c r="AC80" i="3"/>
  <c r="E18" i="3"/>
  <c r="E28" i="3" s="1"/>
  <c r="B39" i="3" s="1"/>
  <c r="K73" i="3"/>
  <c r="S64" i="3"/>
  <c r="G18" i="3"/>
  <c r="G180" i="3" s="1"/>
  <c r="G310" i="3" s="1"/>
  <c r="G78" i="3"/>
  <c r="AC83" i="3"/>
  <c r="AC81" i="3"/>
  <c r="P61" i="3"/>
  <c r="H18" i="3"/>
  <c r="H180" i="3" s="1"/>
  <c r="H310" i="3" s="1"/>
  <c r="AC85" i="3"/>
  <c r="O56" i="3"/>
  <c r="W79" i="3"/>
  <c r="R56" i="3"/>
  <c r="G52" i="3"/>
  <c r="G34" i="3"/>
  <c r="X81" i="3"/>
  <c r="R28" i="3"/>
  <c r="C34" i="3"/>
  <c r="AE85" i="3"/>
  <c r="C52" i="3"/>
  <c r="C51" i="3"/>
  <c r="X80" i="3"/>
  <c r="AE80" i="3"/>
  <c r="C49" i="3"/>
  <c r="C39" i="3"/>
  <c r="G36" i="3"/>
  <c r="AD80" i="3"/>
  <c r="Q23" i="3"/>
  <c r="G37" i="3"/>
  <c r="AD84" i="3"/>
  <c r="G45" i="3"/>
  <c r="AE84" i="3"/>
  <c r="Y81" i="3"/>
  <c r="Q25" i="3"/>
  <c r="Y80" i="3"/>
  <c r="AD81" i="3"/>
  <c r="AD85" i="3"/>
  <c r="Q21" i="3"/>
  <c r="AE81" i="3"/>
  <c r="O64" i="3"/>
  <c r="G76" i="3"/>
  <c r="S56" i="3"/>
  <c r="T64" i="3"/>
  <c r="Q61" i="3"/>
  <c r="P64" i="3"/>
  <c r="F28" i="3"/>
  <c r="B43" i="3" s="1"/>
  <c r="K77" i="3"/>
  <c r="I28" i="3"/>
  <c r="C65" i="3" s="1"/>
  <c r="E180" i="3"/>
  <c r="E310" i="3" s="1"/>
  <c r="G46" i="3"/>
  <c r="T56" i="3"/>
  <c r="G75" i="3"/>
  <c r="I79" i="3"/>
  <c r="I76" i="3"/>
  <c r="G74" i="3"/>
  <c r="I78" i="3"/>
  <c r="C42" i="3"/>
  <c r="N61" i="3"/>
  <c r="N56" i="3"/>
  <c r="I77" i="3"/>
  <c r="Q24" i="3"/>
  <c r="Q27" i="3"/>
  <c r="G33" i="3"/>
  <c r="G49" i="3"/>
  <c r="Q22" i="3"/>
  <c r="G28" i="3"/>
  <c r="C37" i="3"/>
  <c r="C40" i="3"/>
  <c r="C43" i="3"/>
  <c r="G51" i="3"/>
  <c r="Q66" i="3"/>
  <c r="Q64" i="3"/>
  <c r="K75" i="3"/>
  <c r="C61" i="3"/>
  <c r="P60" i="3"/>
  <c r="J28" i="3"/>
  <c r="G43" i="3"/>
  <c r="F67" i="3"/>
  <c r="F66" i="3" s="1"/>
  <c r="E67" i="3"/>
  <c r="N64" i="3"/>
  <c r="N66" i="3"/>
  <c r="C48" i="3"/>
  <c r="B40" i="3"/>
  <c r="C180" i="3"/>
  <c r="C310" i="3" s="1"/>
  <c r="C28" i="3"/>
  <c r="C45" i="3"/>
  <c r="C33" i="3"/>
  <c r="Q20" i="3"/>
  <c r="C36" i="3"/>
  <c r="G40" i="3"/>
  <c r="H28" i="3"/>
  <c r="I74" i="3"/>
  <c r="G42" i="3"/>
  <c r="R64" i="3"/>
  <c r="G79" i="3"/>
  <c r="G77" i="3"/>
  <c r="G73" i="3"/>
  <c r="D28" i="3"/>
  <c r="C46" i="3"/>
  <c r="I75" i="3"/>
  <c r="I73" i="3"/>
  <c r="G48" i="3"/>
  <c r="G39" i="3"/>
  <c r="K79" i="3"/>
  <c r="K76" i="3"/>
  <c r="I246" i="2"/>
  <c r="H246" i="2"/>
  <c r="G246" i="2"/>
  <c r="F246" i="2"/>
  <c r="E246" i="2"/>
  <c r="D246" i="2"/>
  <c r="C246" i="2"/>
  <c r="AN101" i="2"/>
  <c r="AM101" i="2"/>
  <c r="AL101" i="2"/>
  <c r="AN100" i="2"/>
  <c r="AM100" i="2"/>
  <c r="AL100" i="2"/>
  <c r="AN99" i="2"/>
  <c r="AM99" i="2"/>
  <c r="AL99" i="2"/>
  <c r="AN97" i="2"/>
  <c r="AM97" i="2"/>
  <c r="AL97" i="2"/>
  <c r="AK97" i="2"/>
  <c r="AJ97" i="2"/>
  <c r="AI97" i="2"/>
  <c r="AN96" i="2"/>
  <c r="AM96" i="2"/>
  <c r="AL96" i="2"/>
  <c r="AK96" i="2"/>
  <c r="AJ96" i="2"/>
  <c r="AI96" i="2"/>
  <c r="AN95" i="2"/>
  <c r="AM95" i="2"/>
  <c r="AL95" i="2"/>
  <c r="AK95" i="2"/>
  <c r="AJ95" i="2"/>
  <c r="AI95" i="2"/>
  <c r="AN93" i="2"/>
  <c r="AM93" i="2"/>
  <c r="AL93" i="2"/>
  <c r="AK93" i="2"/>
  <c r="AJ93" i="2"/>
  <c r="AI93" i="2"/>
  <c r="AH93" i="2"/>
  <c r="AG93" i="2"/>
  <c r="AF93" i="2"/>
  <c r="AN92" i="2"/>
  <c r="AM92" i="2"/>
  <c r="AL92" i="2"/>
  <c r="AK92" i="2"/>
  <c r="AJ92" i="2"/>
  <c r="AI92" i="2"/>
  <c r="AH92" i="2"/>
  <c r="AG92" i="2"/>
  <c r="AF92" i="2"/>
  <c r="AN91" i="2"/>
  <c r="AM91" i="2"/>
  <c r="AL91" i="2"/>
  <c r="AK91" i="2"/>
  <c r="AJ91" i="2"/>
  <c r="AI91" i="2"/>
  <c r="AH91" i="2"/>
  <c r="AG91" i="2"/>
  <c r="AF91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M81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F79" i="2"/>
  <c r="F78" i="2"/>
  <c r="G76" i="2" s="1"/>
  <c r="F77" i="2"/>
  <c r="I76" i="2"/>
  <c r="F76" i="2"/>
  <c r="G78" i="2" s="1"/>
  <c r="AH75" i="2"/>
  <c r="F75" i="2"/>
  <c r="AH74" i="2"/>
  <c r="F74" i="2"/>
  <c r="F73" i="2"/>
  <c r="AH72" i="2"/>
  <c r="AG72" i="2"/>
  <c r="AH71" i="2"/>
  <c r="AG71" i="2"/>
  <c r="AH69" i="2"/>
  <c r="AG69" i="2"/>
  <c r="AF69" i="2"/>
  <c r="AH68" i="2"/>
  <c r="AG68" i="2"/>
  <c r="AF68" i="2"/>
  <c r="AH66" i="2"/>
  <c r="AG66" i="2"/>
  <c r="AF66" i="2"/>
  <c r="AE66" i="2"/>
  <c r="AH65" i="2"/>
  <c r="AG65" i="2"/>
  <c r="AF65" i="2"/>
  <c r="AE65" i="2"/>
  <c r="T65" i="2"/>
  <c r="T66" i="2" s="1"/>
  <c r="S65" i="2"/>
  <c r="S66" i="2" s="1"/>
  <c r="R65" i="2"/>
  <c r="R66" i="2" s="1"/>
  <c r="Q65" i="2"/>
  <c r="Q64" i="2" s="1"/>
  <c r="P65" i="2"/>
  <c r="O65" i="2"/>
  <c r="O66" i="2" s="1"/>
  <c r="N65" i="2"/>
  <c r="F65" i="2"/>
  <c r="F64" i="2"/>
  <c r="AH63" i="2"/>
  <c r="AG63" i="2"/>
  <c r="AF63" i="2"/>
  <c r="AE63" i="2"/>
  <c r="AD63" i="2"/>
  <c r="F63" i="2"/>
  <c r="AH62" i="2"/>
  <c r="AG62" i="2"/>
  <c r="AF62" i="2"/>
  <c r="AE62" i="2"/>
  <c r="AD62" i="2"/>
  <c r="F62" i="2"/>
  <c r="S61" i="2"/>
  <c r="R61" i="2"/>
  <c r="P61" i="2"/>
  <c r="F61" i="2"/>
  <c r="AH60" i="2"/>
  <c r="AG60" i="2"/>
  <c r="AF60" i="2"/>
  <c r="AE60" i="2"/>
  <c r="AD60" i="2"/>
  <c r="AC60" i="2"/>
  <c r="F60" i="2"/>
  <c r="AH59" i="2"/>
  <c r="AG59" i="2"/>
  <c r="AF59" i="2"/>
  <c r="AE59" i="2"/>
  <c r="AD59" i="2"/>
  <c r="AC59" i="2"/>
  <c r="F59" i="2"/>
  <c r="T58" i="2"/>
  <c r="T62" i="2" s="1"/>
  <c r="S58" i="2"/>
  <c r="S62" i="2" s="1"/>
  <c r="R58" i="2"/>
  <c r="R62" i="2" s="1"/>
  <c r="Q58" i="2"/>
  <c r="Q62" i="2" s="1"/>
  <c r="P58" i="2"/>
  <c r="P62" i="2" s="1"/>
  <c r="O58" i="2"/>
  <c r="O62" i="2" s="1"/>
  <c r="N58" i="2"/>
  <c r="N62" i="2" s="1"/>
  <c r="T57" i="2"/>
  <c r="T61" i="2" s="1"/>
  <c r="S57" i="2"/>
  <c r="R57" i="2"/>
  <c r="Q57" i="2"/>
  <c r="P57" i="2"/>
  <c r="P56" i="2" s="1"/>
  <c r="O57" i="2"/>
  <c r="O61" i="2" s="1"/>
  <c r="N57" i="2"/>
  <c r="N61" i="2" s="1"/>
  <c r="S56" i="2"/>
  <c r="R56" i="2"/>
  <c r="N56" i="2"/>
  <c r="D54" i="2"/>
  <c r="D28" i="2"/>
  <c r="B36" i="2" s="1"/>
  <c r="R27" i="2"/>
  <c r="P27" i="2"/>
  <c r="J27" i="2"/>
  <c r="I27" i="2"/>
  <c r="H27" i="2"/>
  <c r="G27" i="2"/>
  <c r="F27" i="2"/>
  <c r="E27" i="2"/>
  <c r="D27" i="2"/>
  <c r="C27" i="2"/>
  <c r="R26" i="2"/>
  <c r="P26" i="2"/>
  <c r="J26" i="2"/>
  <c r="I26" i="2"/>
  <c r="H26" i="2"/>
  <c r="G26" i="2"/>
  <c r="F26" i="2"/>
  <c r="E26" i="2"/>
  <c r="D26" i="2"/>
  <c r="C26" i="2"/>
  <c r="R25" i="2"/>
  <c r="P25" i="2"/>
  <c r="J25" i="2"/>
  <c r="I25" i="2"/>
  <c r="H25" i="2"/>
  <c r="G25" i="2"/>
  <c r="F25" i="2"/>
  <c r="E25" i="2"/>
  <c r="D25" i="2"/>
  <c r="C25" i="2"/>
  <c r="R24" i="2"/>
  <c r="P24" i="2"/>
  <c r="J24" i="2"/>
  <c r="Q24" i="2" s="1"/>
  <c r="I24" i="2"/>
  <c r="H24" i="2"/>
  <c r="G24" i="2"/>
  <c r="F24" i="2"/>
  <c r="E24" i="2"/>
  <c r="D24" i="2"/>
  <c r="C24" i="2"/>
  <c r="R23" i="2"/>
  <c r="P23" i="2"/>
  <c r="J23" i="2"/>
  <c r="I23" i="2"/>
  <c r="H23" i="2"/>
  <c r="G23" i="2"/>
  <c r="F23" i="2"/>
  <c r="E23" i="2"/>
  <c r="D23" i="2"/>
  <c r="C23" i="2"/>
  <c r="R22" i="2"/>
  <c r="P22" i="2"/>
  <c r="J22" i="2"/>
  <c r="I22" i="2"/>
  <c r="H22" i="2"/>
  <c r="G22" i="2"/>
  <c r="F22" i="2"/>
  <c r="E22" i="2"/>
  <c r="D22" i="2"/>
  <c r="C22" i="2"/>
  <c r="R21" i="2"/>
  <c r="P21" i="2"/>
  <c r="J21" i="2"/>
  <c r="I21" i="2"/>
  <c r="H21" i="2"/>
  <c r="G21" i="2"/>
  <c r="F21" i="2"/>
  <c r="E21" i="2"/>
  <c r="D21" i="2"/>
  <c r="C21" i="2"/>
  <c r="R20" i="2"/>
  <c r="P20" i="2"/>
  <c r="J20" i="2"/>
  <c r="I20" i="2"/>
  <c r="H20" i="2"/>
  <c r="G20" i="2"/>
  <c r="F20" i="2"/>
  <c r="E20" i="2"/>
  <c r="D20" i="2"/>
  <c r="C20" i="2"/>
  <c r="I18" i="2"/>
  <c r="I28" i="2" s="1"/>
  <c r="C65" i="2" s="1"/>
  <c r="H18" i="2"/>
  <c r="H28" i="2" s="1"/>
  <c r="B48" i="2" s="1"/>
  <c r="G18" i="2"/>
  <c r="G28" i="2" s="1"/>
  <c r="F18" i="2"/>
  <c r="F180" i="2" s="1"/>
  <c r="E18" i="2"/>
  <c r="E28" i="2" s="1"/>
  <c r="P60" i="2" s="1"/>
  <c r="D18" i="2"/>
  <c r="D180" i="2" s="1"/>
  <c r="C18" i="2"/>
  <c r="B15" i="2"/>
  <c r="B14" i="2"/>
  <c r="B13" i="2"/>
  <c r="B12" i="2"/>
  <c r="B11" i="2"/>
  <c r="B10" i="2"/>
  <c r="B9" i="2"/>
  <c r="A2" i="2"/>
  <c r="H43" i="3" l="1"/>
  <c r="H46" i="3"/>
  <c r="H42" i="3"/>
  <c r="Q26" i="2"/>
  <c r="G51" i="2"/>
  <c r="Q22" i="2"/>
  <c r="H37" i="3"/>
  <c r="H40" i="3"/>
  <c r="T56" i="2"/>
  <c r="O64" i="2"/>
  <c r="R64" i="2"/>
  <c r="Q66" i="2"/>
  <c r="S64" i="2"/>
  <c r="Q23" i="2"/>
  <c r="Q25" i="2"/>
  <c r="Q27" i="2"/>
  <c r="C37" i="2"/>
  <c r="C49" i="2"/>
  <c r="J28" i="2"/>
  <c r="C46" i="2"/>
  <c r="G49" i="2"/>
  <c r="G43" i="2"/>
  <c r="H52" i="3"/>
  <c r="H39" i="3"/>
  <c r="H48" i="3"/>
  <c r="H49" i="3"/>
  <c r="H36" i="3"/>
  <c r="H33" i="3"/>
  <c r="H51" i="3"/>
  <c r="H34" i="3"/>
  <c r="E49" i="3"/>
  <c r="H45" i="3"/>
  <c r="AC60" i="3"/>
  <c r="E46" i="3"/>
  <c r="AC59" i="3"/>
  <c r="E43" i="3"/>
  <c r="AE59" i="3"/>
  <c r="AE62" i="3"/>
  <c r="AE63" i="3"/>
  <c r="AE60" i="3"/>
  <c r="D48" i="3"/>
  <c r="E64" i="3" s="1"/>
  <c r="G64" i="3" s="1"/>
  <c r="E52" i="3"/>
  <c r="D33" i="3"/>
  <c r="E59" i="3" s="1"/>
  <c r="G59" i="3" s="1"/>
  <c r="C62" i="3"/>
  <c r="B52" i="3"/>
  <c r="T60" i="3"/>
  <c r="B51" i="3"/>
  <c r="Q60" i="3"/>
  <c r="B42" i="3"/>
  <c r="P68" i="3"/>
  <c r="D49" i="3"/>
  <c r="H29" i="3" s="1"/>
  <c r="D45" i="3"/>
  <c r="E63" i="3" s="1"/>
  <c r="B33" i="3"/>
  <c r="N60" i="3"/>
  <c r="B34" i="3"/>
  <c r="C59" i="3"/>
  <c r="D46" i="3"/>
  <c r="G29" i="3" s="1"/>
  <c r="D40" i="3"/>
  <c r="E29" i="3" s="1"/>
  <c r="E36" i="3"/>
  <c r="E48" i="3"/>
  <c r="E39" i="3"/>
  <c r="Q28" i="3"/>
  <c r="E51" i="3"/>
  <c r="E45" i="3"/>
  <c r="E42" i="3"/>
  <c r="E33" i="3"/>
  <c r="E34" i="3"/>
  <c r="O60" i="3"/>
  <c r="C60" i="3"/>
  <c r="B37" i="3"/>
  <c r="B36" i="3"/>
  <c r="C64" i="3"/>
  <c r="S60" i="3"/>
  <c r="B49" i="3"/>
  <c r="B48" i="3"/>
  <c r="D37" i="3"/>
  <c r="D29" i="3" s="1"/>
  <c r="G67" i="3"/>
  <c r="B45" i="3"/>
  <c r="B46" i="3"/>
  <c r="R60" i="3"/>
  <c r="C63" i="3"/>
  <c r="D52" i="3"/>
  <c r="I29" i="3" s="1"/>
  <c r="D39" i="3"/>
  <c r="E61" i="3" s="1"/>
  <c r="D43" i="3"/>
  <c r="F29" i="3" s="1"/>
  <c r="D36" i="3"/>
  <c r="E60" i="3" s="1"/>
  <c r="E37" i="3"/>
  <c r="E40" i="3"/>
  <c r="D42" i="3"/>
  <c r="E62" i="3" s="1"/>
  <c r="D34" i="3"/>
  <c r="C29" i="3" s="1"/>
  <c r="D51" i="3"/>
  <c r="E65" i="3" s="1"/>
  <c r="G34" i="2"/>
  <c r="G52" i="2"/>
  <c r="C40" i="2"/>
  <c r="K75" i="2"/>
  <c r="G79" i="2"/>
  <c r="B51" i="2"/>
  <c r="T60" i="2"/>
  <c r="F28" i="2"/>
  <c r="G37" i="2"/>
  <c r="B52" i="2"/>
  <c r="E180" i="2"/>
  <c r="G74" i="2"/>
  <c r="I79" i="2"/>
  <c r="I77" i="2"/>
  <c r="G75" i="2"/>
  <c r="I78" i="2"/>
  <c r="C34" i="2"/>
  <c r="C43" i="2"/>
  <c r="F67" i="2"/>
  <c r="F66" i="2" s="1"/>
  <c r="E67" i="2"/>
  <c r="K74" i="2"/>
  <c r="K73" i="2"/>
  <c r="G77" i="2"/>
  <c r="G180" i="2"/>
  <c r="C63" i="2"/>
  <c r="R60" i="2"/>
  <c r="B46" i="2"/>
  <c r="S60" i="2"/>
  <c r="B49" i="2"/>
  <c r="C64" i="2"/>
  <c r="C51" i="2"/>
  <c r="C39" i="2"/>
  <c r="C42" i="2"/>
  <c r="C45" i="2"/>
  <c r="C33" i="2"/>
  <c r="C48" i="2"/>
  <c r="C36" i="2"/>
  <c r="R28" i="2"/>
  <c r="B45" i="2"/>
  <c r="O56" i="2"/>
  <c r="N66" i="2"/>
  <c r="N64" i="2"/>
  <c r="K79" i="2"/>
  <c r="K77" i="2"/>
  <c r="G73" i="2"/>
  <c r="K76" i="2"/>
  <c r="K78" i="2"/>
  <c r="C180" i="2"/>
  <c r="C28" i="2"/>
  <c r="C61" i="2"/>
  <c r="B39" i="2"/>
  <c r="B40" i="2"/>
  <c r="Q20" i="2"/>
  <c r="G46" i="2"/>
  <c r="C60" i="2"/>
  <c r="B37" i="2"/>
  <c r="O60" i="2"/>
  <c r="Q61" i="2"/>
  <c r="Q56" i="2"/>
  <c r="G45" i="2"/>
  <c r="G33" i="2"/>
  <c r="G48" i="2"/>
  <c r="G36" i="2"/>
  <c r="G39" i="2"/>
  <c r="G42" i="2"/>
  <c r="C52" i="2"/>
  <c r="Q21" i="2"/>
  <c r="G40" i="2"/>
  <c r="P66" i="2"/>
  <c r="P64" i="2"/>
  <c r="I74" i="2"/>
  <c r="T64" i="2"/>
  <c r="H180" i="2"/>
  <c r="I73" i="2"/>
  <c r="I75" i="2"/>
  <c r="I180" i="2"/>
  <c r="E34" i="2" l="1"/>
  <c r="E40" i="2"/>
  <c r="E37" i="2"/>
  <c r="D49" i="2"/>
  <c r="H29" i="2" s="1"/>
  <c r="H49" i="2"/>
  <c r="H46" i="2"/>
  <c r="D48" i="2"/>
  <c r="E64" i="2" s="1"/>
  <c r="K64" i="2" s="1"/>
  <c r="D36" i="2"/>
  <c r="E60" i="2" s="1"/>
  <c r="K60" i="2" s="1"/>
  <c r="H48" i="2"/>
  <c r="H33" i="2"/>
  <c r="D33" i="2"/>
  <c r="E59" i="2" s="1"/>
  <c r="D37" i="2"/>
  <c r="D29" i="2" s="1"/>
  <c r="D40" i="2"/>
  <c r="E29" i="2" s="1"/>
  <c r="D52" i="2"/>
  <c r="I29" i="2" s="1"/>
  <c r="D42" i="2"/>
  <c r="E62" i="2" s="1"/>
  <c r="G62" i="2" s="1"/>
  <c r="D43" i="2"/>
  <c r="F29" i="2" s="1"/>
  <c r="D45" i="2"/>
  <c r="E63" i="2" s="1"/>
  <c r="K63" i="2" s="1"/>
  <c r="D39" i="2"/>
  <c r="D34" i="2"/>
  <c r="C29" i="2" s="1"/>
  <c r="D51" i="2"/>
  <c r="E65" i="2" s="1"/>
  <c r="G65" i="2" s="1"/>
  <c r="D46" i="2"/>
  <c r="G29" i="2" s="1"/>
  <c r="P68" i="2"/>
  <c r="F46" i="3"/>
  <c r="K64" i="3"/>
  <c r="J291" i="3"/>
  <c r="G65" i="3"/>
  <c r="K65" i="3"/>
  <c r="F45" i="3"/>
  <c r="J276" i="3"/>
  <c r="F51" i="3"/>
  <c r="K59" i="3"/>
  <c r="K61" i="3"/>
  <c r="G61" i="3"/>
  <c r="J211" i="3"/>
  <c r="J308" i="3"/>
  <c r="F40" i="3"/>
  <c r="F37" i="3"/>
  <c r="J228" i="3"/>
  <c r="J292" i="3"/>
  <c r="J196" i="3"/>
  <c r="J282" i="3"/>
  <c r="J244" i="3"/>
  <c r="J305" i="3"/>
  <c r="J212" i="3"/>
  <c r="J260" i="3"/>
  <c r="K60" i="3"/>
  <c r="G60" i="3"/>
  <c r="J213" i="3"/>
  <c r="J215" i="3"/>
  <c r="J230" i="3"/>
  <c r="J278" i="3"/>
  <c r="J245" i="3"/>
  <c r="J189" i="3"/>
  <c r="J209" i="3"/>
  <c r="J216" i="3"/>
  <c r="J280" i="3"/>
  <c r="F39" i="3"/>
  <c r="J271" i="3"/>
  <c r="J225" i="3"/>
  <c r="J234" i="3"/>
  <c r="J250" i="3"/>
  <c r="F52" i="3"/>
  <c r="F48" i="3"/>
  <c r="K63" i="3"/>
  <c r="G63" i="3"/>
  <c r="J223" i="3"/>
  <c r="J219" i="3"/>
  <c r="J309" i="3"/>
  <c r="J303" i="3"/>
  <c r="J221" i="3"/>
  <c r="J259" i="3"/>
  <c r="J263" i="3"/>
  <c r="J241" i="3"/>
  <c r="J188" i="3"/>
  <c r="J204" i="3"/>
  <c r="J220" i="3"/>
  <c r="J236" i="3"/>
  <c r="J252" i="3"/>
  <c r="J268" i="3"/>
  <c r="J284" i="3"/>
  <c r="J300" i="3"/>
  <c r="T19" i="3"/>
  <c r="E66" i="3"/>
  <c r="J299" i="3"/>
  <c r="J207" i="3"/>
  <c r="J193" i="3"/>
  <c r="J198" i="3"/>
  <c r="J246" i="3"/>
  <c r="J281" i="3"/>
  <c r="J227" i="3"/>
  <c r="J184" i="3"/>
  <c r="J232" i="3"/>
  <c r="J264" i="3"/>
  <c r="J187" i="3"/>
  <c r="J247" i="3"/>
  <c r="J218" i="3"/>
  <c r="J298" i="3"/>
  <c r="F34" i="3"/>
  <c r="F36" i="3"/>
  <c r="J255" i="3"/>
  <c r="J251" i="3"/>
  <c r="J197" i="3"/>
  <c r="J201" i="3"/>
  <c r="J237" i="3"/>
  <c r="J275" i="3"/>
  <c r="J279" i="3"/>
  <c r="J257" i="3"/>
  <c r="J190" i="3"/>
  <c r="J206" i="3"/>
  <c r="J222" i="3"/>
  <c r="J238" i="3"/>
  <c r="J254" i="3"/>
  <c r="J270" i="3"/>
  <c r="J286" i="3"/>
  <c r="J302" i="3"/>
  <c r="K62" i="3"/>
  <c r="G62" i="3"/>
  <c r="J267" i="3"/>
  <c r="J297" i="3"/>
  <c r="J199" i="3"/>
  <c r="J249" i="3"/>
  <c r="J301" i="3"/>
  <c r="J182" i="3"/>
  <c r="J262" i="3"/>
  <c r="J277" i="3"/>
  <c r="J205" i="3"/>
  <c r="J186" i="3"/>
  <c r="F33" i="3"/>
  <c r="J203" i="3"/>
  <c r="J287" i="3"/>
  <c r="J283" i="3"/>
  <c r="J293" i="3"/>
  <c r="J233" i="3"/>
  <c r="J253" i="3"/>
  <c r="J307" i="3"/>
  <c r="J295" i="3"/>
  <c r="J273" i="3"/>
  <c r="J192" i="3"/>
  <c r="J208" i="3"/>
  <c r="J224" i="3"/>
  <c r="J240" i="3"/>
  <c r="J256" i="3"/>
  <c r="J272" i="3"/>
  <c r="J288" i="3"/>
  <c r="J304" i="3"/>
  <c r="J217" i="3"/>
  <c r="J285" i="3"/>
  <c r="J214" i="3"/>
  <c r="J294" i="3"/>
  <c r="J229" i="3"/>
  <c r="J239" i="3"/>
  <c r="J231" i="3"/>
  <c r="J200" i="3"/>
  <c r="J248" i="3"/>
  <c r="J296" i="3"/>
  <c r="F49" i="3"/>
  <c r="J261" i="3"/>
  <c r="J243" i="3"/>
  <c r="J202" i="3"/>
  <c r="J266" i="3"/>
  <c r="F42" i="3"/>
  <c r="J235" i="3"/>
  <c r="J185" i="3"/>
  <c r="T18" i="3"/>
  <c r="J191" i="3"/>
  <c r="J265" i="3"/>
  <c r="J269" i="3"/>
  <c r="J183" i="3"/>
  <c r="J195" i="3"/>
  <c r="J289" i="3"/>
  <c r="J194" i="3"/>
  <c r="J210" i="3"/>
  <c r="J226" i="3"/>
  <c r="J242" i="3"/>
  <c r="J258" i="3"/>
  <c r="J274" i="3"/>
  <c r="J290" i="3"/>
  <c r="J306" i="3"/>
  <c r="F43" i="3"/>
  <c r="E42" i="2"/>
  <c r="E45" i="2"/>
  <c r="E33" i="2"/>
  <c r="E48" i="2"/>
  <c r="E36" i="2"/>
  <c r="E39" i="2"/>
  <c r="Q28" i="2"/>
  <c r="E51" i="2"/>
  <c r="H40" i="2"/>
  <c r="H36" i="2"/>
  <c r="H51" i="2"/>
  <c r="H43" i="2"/>
  <c r="E52" i="2"/>
  <c r="E43" i="2"/>
  <c r="E49" i="2"/>
  <c r="E46" i="2"/>
  <c r="H42" i="2"/>
  <c r="N60" i="2"/>
  <c r="C59" i="2"/>
  <c r="B34" i="2"/>
  <c r="B33" i="2"/>
  <c r="H37" i="2"/>
  <c r="H52" i="2"/>
  <c r="H45" i="2"/>
  <c r="H39" i="2"/>
  <c r="G67" i="2"/>
  <c r="Q60" i="2"/>
  <c r="B43" i="2"/>
  <c r="C62" i="2"/>
  <c r="B42" i="2"/>
  <c r="H34" i="2"/>
  <c r="G64" i="2" l="1"/>
  <c r="J267" i="2"/>
  <c r="J306" i="2"/>
  <c r="J212" i="2"/>
  <c r="G60" i="2"/>
  <c r="J245" i="2"/>
  <c r="J278" i="2"/>
  <c r="J273" i="2"/>
  <c r="G63" i="2"/>
  <c r="J270" i="2"/>
  <c r="J191" i="2"/>
  <c r="J265" i="2"/>
  <c r="J292" i="2"/>
  <c r="T19" i="2"/>
  <c r="J223" i="2"/>
  <c r="J256" i="2"/>
  <c r="J276" i="2"/>
  <c r="T18" i="2"/>
  <c r="J244" i="2"/>
  <c r="J233" i="2"/>
  <c r="J288" i="2"/>
  <c r="J221" i="2"/>
  <c r="J287" i="2"/>
  <c r="J218" i="2"/>
  <c r="J264" i="2"/>
  <c r="J203" i="2"/>
  <c r="J232" i="2"/>
  <c r="J237" i="2"/>
  <c r="J189" i="2"/>
  <c r="J211" i="2"/>
  <c r="J242" i="2"/>
  <c r="J302" i="2"/>
  <c r="J300" i="2"/>
  <c r="J225" i="2"/>
  <c r="J210" i="2"/>
  <c r="J220" i="2"/>
  <c r="J257" i="2"/>
  <c r="J309" i="2"/>
  <c r="J295" i="2"/>
  <c r="J277" i="2"/>
  <c r="J184" i="2"/>
  <c r="E61" i="2"/>
  <c r="K61" i="2" s="1"/>
  <c r="J197" i="2"/>
  <c r="J240" i="2"/>
  <c r="J193" i="2"/>
  <c r="J239" i="2"/>
  <c r="J188" i="2"/>
  <c r="J305" i="2"/>
  <c r="J263" i="2"/>
  <c r="J261" i="2"/>
  <c r="J238" i="2"/>
  <c r="J224" i="2"/>
  <c r="J206" i="2"/>
  <c r="J196" i="2"/>
  <c r="J208" i="2"/>
  <c r="J207" i="2"/>
  <c r="K65" i="2"/>
  <c r="J217" i="2"/>
  <c r="J310" i="2"/>
  <c r="J185" i="2"/>
  <c r="J293" i="2"/>
  <c r="J283" i="2"/>
  <c r="J204" i="2"/>
  <c r="J291" i="2"/>
  <c r="J251" i="2"/>
  <c r="J262" i="2"/>
  <c r="J243" i="2"/>
  <c r="J301" i="2"/>
  <c r="J289" i="2"/>
  <c r="J274" i="2"/>
  <c r="J294" i="2"/>
  <c r="J195" i="2"/>
  <c r="J298" i="2"/>
  <c r="J258" i="2"/>
  <c r="J266" i="2"/>
  <c r="J213" i="2"/>
  <c r="J281" i="2"/>
  <c r="J205" i="2"/>
  <c r="J252" i="2"/>
  <c r="J198" i="2"/>
  <c r="J259" i="2"/>
  <c r="J194" i="2"/>
  <c r="F43" i="2"/>
  <c r="J269" i="2"/>
  <c r="J299" i="2"/>
  <c r="J192" i="2"/>
  <c r="J230" i="2"/>
  <c r="J187" i="2"/>
  <c r="J249" i="2"/>
  <c r="J236" i="2"/>
  <c r="J186" i="2"/>
  <c r="J216" i="2"/>
  <c r="J296" i="2"/>
  <c r="J229" i="2"/>
  <c r="F52" i="2"/>
  <c r="J253" i="2"/>
  <c r="J201" i="2"/>
  <c r="J290" i="2"/>
  <c r="J279" i="2"/>
  <c r="J234" i="2"/>
  <c r="J235" i="2"/>
  <c r="J241" i="2"/>
  <c r="J228" i="2"/>
  <c r="K62" i="2"/>
  <c r="J215" i="2"/>
  <c r="J260" i="2"/>
  <c r="J202" i="2"/>
  <c r="J209" i="2"/>
  <c r="J286" i="2"/>
  <c r="J304" i="2"/>
  <c r="J222" i="2"/>
  <c r="J183" i="2"/>
  <c r="J219" i="2"/>
  <c r="J247" i="2"/>
  <c r="J231" i="2"/>
  <c r="J308" i="2"/>
  <c r="J307" i="2"/>
  <c r="J227" i="2"/>
  <c r="J280" i="2"/>
  <c r="J190" i="2"/>
  <c r="J214" i="2"/>
  <c r="J199" i="2"/>
  <c r="J200" i="2"/>
  <c r="J272" i="2"/>
  <c r="F46" i="2"/>
  <c r="J268" i="2"/>
  <c r="J303" i="2"/>
  <c r="J255" i="2"/>
  <c r="J297" i="2"/>
  <c r="J182" i="2"/>
  <c r="J282" i="2"/>
  <c r="J271" i="2"/>
  <c r="J275" i="2"/>
  <c r="J226" i="2"/>
  <c r="F49" i="2"/>
  <c r="J285" i="2"/>
  <c r="J248" i="2"/>
  <c r="J284" i="2"/>
  <c r="J254" i="2"/>
  <c r="J250" i="2"/>
  <c r="E66" i="2"/>
  <c r="K66" i="2" s="1"/>
  <c r="F36" i="2"/>
  <c r="F39" i="2"/>
  <c r="F45" i="2"/>
  <c r="F42" i="2"/>
  <c r="F48" i="2"/>
  <c r="F51" i="2"/>
  <c r="F33" i="2"/>
  <c r="K271" i="3"/>
  <c r="L271" i="3" s="1"/>
  <c r="M271" i="3" s="1"/>
  <c r="K307" i="3"/>
  <c r="K196" i="3"/>
  <c r="L196" i="3" s="1"/>
  <c r="M196" i="3" s="1"/>
  <c r="K279" i="3"/>
  <c r="L279" i="3" s="1"/>
  <c r="M279" i="3" s="1"/>
  <c r="K247" i="3"/>
  <c r="L247" i="3" s="1"/>
  <c r="M247" i="3" s="1"/>
  <c r="K223" i="3"/>
  <c r="L223" i="3" s="1"/>
  <c r="M223" i="3" s="1"/>
  <c r="K260" i="3"/>
  <c r="L260" i="3" s="1"/>
  <c r="M260" i="3" s="1"/>
  <c r="K243" i="3"/>
  <c r="L243" i="3" s="1"/>
  <c r="M243" i="3" s="1"/>
  <c r="K229" i="3"/>
  <c r="L229" i="3" s="1"/>
  <c r="M229" i="3" s="1"/>
  <c r="K267" i="3"/>
  <c r="L267" i="3" s="1"/>
  <c r="M267" i="3" s="1"/>
  <c r="K204" i="3"/>
  <c r="K191" i="3"/>
  <c r="L191" i="3" s="1"/>
  <c r="M191" i="3" s="1"/>
  <c r="K245" i="3"/>
  <c r="L245" i="3" s="1"/>
  <c r="M245" i="3" s="1"/>
  <c r="K225" i="3"/>
  <c r="L225" i="3" s="1"/>
  <c r="M225" i="3" s="1"/>
  <c r="K281" i="3"/>
  <c r="L281" i="3" s="1"/>
  <c r="M281" i="3" s="1"/>
  <c r="K227" i="3"/>
  <c r="L227" i="3" s="1"/>
  <c r="M227" i="3" s="1"/>
  <c r="K241" i="3"/>
  <c r="L241" i="3" s="1"/>
  <c r="M241" i="3" s="1"/>
  <c r="K297" i="3"/>
  <c r="L297" i="3" s="1"/>
  <c r="M297" i="3" s="1"/>
  <c r="K294" i="3"/>
  <c r="L294" i="3" s="1"/>
  <c r="M294" i="3" s="1"/>
  <c r="K251" i="3"/>
  <c r="L251" i="3" s="1"/>
  <c r="M251" i="3" s="1"/>
  <c r="K230" i="3"/>
  <c r="L230" i="3" s="1"/>
  <c r="M230" i="3" s="1"/>
  <c r="K253" i="3"/>
  <c r="L253" i="3" s="1"/>
  <c r="M253" i="3" s="1"/>
  <c r="K210" i="3"/>
  <c r="L210" i="3" s="1"/>
  <c r="M210" i="3" s="1"/>
  <c r="K232" i="3"/>
  <c r="L232" i="3" s="1"/>
  <c r="M232" i="3" s="1"/>
  <c r="K221" i="3"/>
  <c r="L221" i="3" s="1"/>
  <c r="M221" i="3" s="1"/>
  <c r="K283" i="3"/>
  <c r="L283" i="3" s="1"/>
  <c r="M283" i="3" s="1"/>
  <c r="K302" i="3"/>
  <c r="L302" i="3" s="1"/>
  <c r="M302" i="3" s="1"/>
  <c r="K257" i="3"/>
  <c r="L257" i="3" s="1"/>
  <c r="M257" i="3" s="1"/>
  <c r="K222" i="3"/>
  <c r="L222" i="3" s="1"/>
  <c r="M222" i="3" s="1"/>
  <c r="K219" i="3"/>
  <c r="L219" i="3" s="1"/>
  <c r="M219" i="3" s="1"/>
  <c r="K239" i="3"/>
  <c r="L239" i="3" s="1"/>
  <c r="M239" i="3" s="1"/>
  <c r="K291" i="3"/>
  <c r="L291" i="3" s="1"/>
  <c r="M291" i="3" s="1"/>
  <c r="K185" i="3"/>
  <c r="L185" i="3" s="1"/>
  <c r="M185" i="3" s="1"/>
  <c r="K217" i="3"/>
  <c r="L217" i="3" s="1"/>
  <c r="M217" i="3" s="1"/>
  <c r="K301" i="3"/>
  <c r="L301" i="3" s="1"/>
  <c r="M301" i="3" s="1"/>
  <c r="K308" i="3"/>
  <c r="L308" i="3" s="1"/>
  <c r="M308" i="3" s="1"/>
  <c r="K226" i="3"/>
  <c r="L226" i="3" s="1"/>
  <c r="M226" i="3" s="1"/>
  <c r="K246" i="3"/>
  <c r="L246" i="3" s="1"/>
  <c r="M246" i="3" s="1"/>
  <c r="K298" i="3"/>
  <c r="L298" i="3" s="1"/>
  <c r="M298" i="3" s="1"/>
  <c r="K240" i="3"/>
  <c r="L240" i="3" s="1"/>
  <c r="M240" i="3" s="1"/>
  <c r="K205" i="3"/>
  <c r="L205" i="3" s="1"/>
  <c r="M205" i="3" s="1"/>
  <c r="K252" i="3"/>
  <c r="L252" i="3" s="1"/>
  <c r="M252" i="3" s="1"/>
  <c r="K293" i="3"/>
  <c r="L293" i="3" s="1"/>
  <c r="M293" i="3" s="1"/>
  <c r="K277" i="3"/>
  <c r="L277" i="3" s="1"/>
  <c r="M277" i="3" s="1"/>
  <c r="K234" i="3"/>
  <c r="L234" i="3" s="1"/>
  <c r="M234" i="3" s="1"/>
  <c r="K290" i="3"/>
  <c r="L290" i="3" s="1"/>
  <c r="M290" i="3" s="1"/>
  <c r="K203" i="3"/>
  <c r="L203" i="3" s="1"/>
  <c r="M203" i="3" s="1"/>
  <c r="K216" i="3"/>
  <c r="L216" i="3" s="1"/>
  <c r="M216" i="3" s="1"/>
  <c r="K215" i="3"/>
  <c r="L215" i="3" s="1"/>
  <c r="M215" i="3" s="1"/>
  <c r="K187" i="3"/>
  <c r="L187" i="3" s="1"/>
  <c r="M187" i="3" s="1"/>
  <c r="K236" i="3"/>
  <c r="L236" i="3" s="1"/>
  <c r="M236" i="3" s="1"/>
  <c r="K224" i="3"/>
  <c r="L224" i="3" s="1"/>
  <c r="M224" i="3" s="1"/>
  <c r="K266" i="3"/>
  <c r="L266" i="3" s="1"/>
  <c r="M266" i="3" s="1"/>
  <c r="K231" i="3"/>
  <c r="L231" i="3" s="1"/>
  <c r="M231" i="3" s="1"/>
  <c r="K295" i="3"/>
  <c r="L295" i="3" s="1"/>
  <c r="M295" i="3" s="1"/>
  <c r="K198" i="3"/>
  <c r="L198" i="3" s="1"/>
  <c r="M198" i="3" s="1"/>
  <c r="K197" i="3"/>
  <c r="L197" i="3" s="1"/>
  <c r="M197" i="3" s="1"/>
  <c r="K272" i="3"/>
  <c r="L272" i="3" s="1"/>
  <c r="M272" i="3" s="1"/>
  <c r="K189" i="3"/>
  <c r="L189" i="3" s="1"/>
  <c r="M189" i="3" s="1"/>
  <c r="K270" i="3"/>
  <c r="L270" i="3" s="1"/>
  <c r="M270" i="3" s="1"/>
  <c r="J310" i="3"/>
  <c r="K306" i="3"/>
  <c r="L306" i="3" s="1"/>
  <c r="M306" i="3" s="1"/>
  <c r="K256" i="3"/>
  <c r="L256" i="3" s="1"/>
  <c r="M256" i="3" s="1"/>
  <c r="K66" i="3"/>
  <c r="G66" i="3"/>
  <c r="H65" i="3" s="1"/>
  <c r="K264" i="3"/>
  <c r="L264" i="3" s="1"/>
  <c r="M264" i="3" s="1"/>
  <c r="K186" i="3"/>
  <c r="L186" i="3" s="1"/>
  <c r="M186" i="3" s="1"/>
  <c r="K212" i="3"/>
  <c r="L212" i="3" s="1"/>
  <c r="M212" i="3" s="1"/>
  <c r="K288" i="3"/>
  <c r="L288" i="3" s="1"/>
  <c r="M288" i="3" s="1"/>
  <c r="K289" i="3"/>
  <c r="L289" i="3" s="1"/>
  <c r="M289" i="3" s="1"/>
  <c r="K300" i="3"/>
  <c r="L300" i="3" s="1"/>
  <c r="M300" i="3" s="1"/>
  <c r="K195" i="3"/>
  <c r="L195" i="3" s="1"/>
  <c r="M195" i="3" s="1"/>
  <c r="K304" i="3"/>
  <c r="L304" i="3" s="1"/>
  <c r="M304" i="3" s="1"/>
  <c r="K280" i="3"/>
  <c r="L280" i="3" s="1"/>
  <c r="M280" i="3" s="1"/>
  <c r="K296" i="3"/>
  <c r="L296" i="3" s="1"/>
  <c r="M296" i="3" s="1"/>
  <c r="K188" i="3"/>
  <c r="L188" i="3" s="1"/>
  <c r="M188" i="3" s="1"/>
  <c r="K182" i="3"/>
  <c r="L182" i="3" s="1"/>
  <c r="M182" i="3" s="1"/>
  <c r="K192" i="3"/>
  <c r="L192" i="3" s="1"/>
  <c r="M192" i="3" s="1"/>
  <c r="K202" i="3"/>
  <c r="L202" i="3" s="1"/>
  <c r="M202" i="3" s="1"/>
  <c r="K228" i="3"/>
  <c r="L228" i="3" s="1"/>
  <c r="M228" i="3" s="1"/>
  <c r="K292" i="3"/>
  <c r="L292" i="3" s="1"/>
  <c r="M292" i="3" s="1"/>
  <c r="K183" i="3"/>
  <c r="L183" i="3" s="1"/>
  <c r="M183" i="3" s="1"/>
  <c r="L204" i="3"/>
  <c r="M204" i="3" s="1"/>
  <c r="K206" i="3"/>
  <c r="L206" i="3" s="1"/>
  <c r="M206" i="3" s="1"/>
  <c r="K274" i="3"/>
  <c r="L274" i="3" s="1"/>
  <c r="M274" i="3" s="1"/>
  <c r="K248" i="3"/>
  <c r="L248" i="3" s="1"/>
  <c r="M248" i="3" s="1"/>
  <c r="K269" i="3"/>
  <c r="L269" i="3" s="1"/>
  <c r="M269" i="3" s="1"/>
  <c r="K286" i="3"/>
  <c r="L286" i="3" s="1"/>
  <c r="M286" i="3" s="1"/>
  <c r="K262" i="3"/>
  <c r="L262" i="3" s="1"/>
  <c r="M262" i="3" s="1"/>
  <c r="K273" i="3"/>
  <c r="L273" i="3" s="1"/>
  <c r="M273" i="3" s="1"/>
  <c r="K278" i="3"/>
  <c r="L278" i="3" s="1"/>
  <c r="M278" i="3" s="1"/>
  <c r="K201" i="3"/>
  <c r="L201" i="3" s="1"/>
  <c r="M201" i="3" s="1"/>
  <c r="K276" i="3"/>
  <c r="L276" i="3" s="1"/>
  <c r="M276" i="3" s="1"/>
  <c r="L307" i="3"/>
  <c r="M307" i="3" s="1"/>
  <c r="K287" i="3"/>
  <c r="L287" i="3" s="1"/>
  <c r="M287" i="3" s="1"/>
  <c r="K309" i="3"/>
  <c r="L309" i="3" s="1"/>
  <c r="M309" i="3" s="1"/>
  <c r="K259" i="3"/>
  <c r="L259" i="3" s="1"/>
  <c r="M259" i="3" s="1"/>
  <c r="K238" i="3"/>
  <c r="L238" i="3" s="1"/>
  <c r="M238" i="3" s="1"/>
  <c r="K193" i="3"/>
  <c r="L193" i="3" s="1"/>
  <c r="M193" i="3" s="1"/>
  <c r="K184" i="3"/>
  <c r="L184" i="3" s="1"/>
  <c r="M184" i="3" s="1"/>
  <c r="K235" i="3"/>
  <c r="L235" i="3" s="1"/>
  <c r="M235" i="3" s="1"/>
  <c r="K213" i="3"/>
  <c r="L213" i="3" s="1"/>
  <c r="M213" i="3" s="1"/>
  <c r="K207" i="3"/>
  <c r="L207" i="3" s="1"/>
  <c r="M207" i="3" s="1"/>
  <c r="K233" i="3"/>
  <c r="L233" i="3" s="1"/>
  <c r="M233" i="3" s="1"/>
  <c r="K211" i="3"/>
  <c r="L211" i="3" s="1"/>
  <c r="M211" i="3" s="1"/>
  <c r="K275" i="3"/>
  <c r="L275" i="3" s="1"/>
  <c r="M275" i="3" s="1"/>
  <c r="K237" i="3"/>
  <c r="L237" i="3" s="1"/>
  <c r="M237" i="3" s="1"/>
  <c r="K190" i="3"/>
  <c r="L190" i="3" s="1"/>
  <c r="M190" i="3" s="1"/>
  <c r="K254" i="3"/>
  <c r="L254" i="3" s="1"/>
  <c r="M254" i="3" s="1"/>
  <c r="K255" i="3"/>
  <c r="L255" i="3" s="1"/>
  <c r="M255" i="3" s="1"/>
  <c r="K261" i="3"/>
  <c r="L261" i="3" s="1"/>
  <c r="M261" i="3" s="1"/>
  <c r="K258" i="3"/>
  <c r="L258" i="3" s="1"/>
  <c r="M258" i="3" s="1"/>
  <c r="K284" i="3"/>
  <c r="L284" i="3" s="1"/>
  <c r="M284" i="3" s="1"/>
  <c r="K250" i="3"/>
  <c r="L250" i="3" s="1"/>
  <c r="M250" i="3" s="1"/>
  <c r="K268" i="3"/>
  <c r="L268" i="3" s="1"/>
  <c r="M268" i="3" s="1"/>
  <c r="K305" i="3"/>
  <c r="L305" i="3" s="1"/>
  <c r="M305" i="3" s="1"/>
  <c r="K303" i="3"/>
  <c r="L303" i="3" s="1"/>
  <c r="M303" i="3" s="1"/>
  <c r="K208" i="3"/>
  <c r="L208" i="3" s="1"/>
  <c r="M208" i="3" s="1"/>
  <c r="K285" i="3"/>
  <c r="L285" i="3" s="1"/>
  <c r="M285" i="3" s="1"/>
  <c r="K299" i="3"/>
  <c r="L299" i="3" s="1"/>
  <c r="M299" i="3" s="1"/>
  <c r="K200" i="3"/>
  <c r="L200" i="3" s="1"/>
  <c r="M200" i="3" s="1"/>
  <c r="K194" i="3"/>
  <c r="L194" i="3" s="1"/>
  <c r="M194" i="3" s="1"/>
  <c r="K209" i="3"/>
  <c r="L209" i="3" s="1"/>
  <c r="M209" i="3" s="1"/>
  <c r="K242" i="3"/>
  <c r="L242" i="3" s="1"/>
  <c r="M242" i="3" s="1"/>
  <c r="K220" i="3"/>
  <c r="L220" i="3" s="1"/>
  <c r="M220" i="3" s="1"/>
  <c r="K214" i="3"/>
  <c r="L214" i="3" s="1"/>
  <c r="M214" i="3" s="1"/>
  <c r="K249" i="3"/>
  <c r="L249" i="3" s="1"/>
  <c r="M249" i="3" s="1"/>
  <c r="K218" i="3"/>
  <c r="L218" i="3" s="1"/>
  <c r="M218" i="3" s="1"/>
  <c r="K282" i="3"/>
  <c r="L282" i="3" s="1"/>
  <c r="M282" i="3" s="1"/>
  <c r="K265" i="3"/>
  <c r="L265" i="3" s="1"/>
  <c r="M265" i="3" s="1"/>
  <c r="K244" i="3"/>
  <c r="L244" i="3" s="1"/>
  <c r="M244" i="3" s="1"/>
  <c r="K199" i="3"/>
  <c r="L199" i="3" s="1"/>
  <c r="M199" i="3" s="1"/>
  <c r="K263" i="3"/>
  <c r="L263" i="3" s="1"/>
  <c r="M263" i="3" s="1"/>
  <c r="K59" i="2"/>
  <c r="G59" i="2"/>
  <c r="F37" i="2"/>
  <c r="F40" i="2"/>
  <c r="F34" i="2"/>
  <c r="H62" i="3" l="1"/>
  <c r="I62" i="3" s="1"/>
  <c r="J246" i="2"/>
  <c r="G61" i="2"/>
  <c r="K303" i="2"/>
  <c r="L303" i="2" s="1"/>
  <c r="M303" i="2" s="1"/>
  <c r="G66" i="2"/>
  <c r="H65" i="2" s="1"/>
  <c r="K307" i="2"/>
  <c r="L307" i="2" s="1"/>
  <c r="M307" i="2" s="1"/>
  <c r="K238" i="2"/>
  <c r="L238" i="2" s="1"/>
  <c r="M238" i="2" s="1"/>
  <c r="K284" i="2"/>
  <c r="L284" i="2" s="1"/>
  <c r="M284" i="2" s="1"/>
  <c r="K247" i="2"/>
  <c r="L247" i="2" s="1"/>
  <c r="M247" i="2" s="1"/>
  <c r="K249" i="2"/>
  <c r="L249" i="2" s="1"/>
  <c r="M249" i="2" s="1"/>
  <c r="K272" i="2"/>
  <c r="L272" i="2" s="1"/>
  <c r="M272" i="2" s="1"/>
  <c r="K216" i="2"/>
  <c r="L216" i="2" s="1"/>
  <c r="M216" i="2" s="1"/>
  <c r="K229" i="2"/>
  <c r="L229" i="2" s="1"/>
  <c r="M229" i="2" s="1"/>
  <c r="K267" i="2"/>
  <c r="L267" i="2" s="1"/>
  <c r="M267" i="2" s="1"/>
  <c r="K279" i="2"/>
  <c r="L279" i="2" s="1"/>
  <c r="M279" i="2" s="1"/>
  <c r="K253" i="2"/>
  <c r="L253" i="2" s="1"/>
  <c r="M253" i="2" s="1"/>
  <c r="K288" i="2"/>
  <c r="L288" i="2" s="1"/>
  <c r="M288" i="2" s="1"/>
  <c r="K296" i="2"/>
  <c r="L296" i="2" s="1"/>
  <c r="M296" i="2" s="1"/>
  <c r="K281" i="2"/>
  <c r="L281" i="2" s="1"/>
  <c r="M281" i="2" s="1"/>
  <c r="K227" i="2"/>
  <c r="L227" i="2" s="1"/>
  <c r="M227" i="2" s="1"/>
  <c r="K295" i="2"/>
  <c r="L295" i="2" s="1"/>
  <c r="M295" i="2" s="1"/>
  <c r="K200" i="2"/>
  <c r="L200" i="2" s="1"/>
  <c r="M200" i="2" s="1"/>
  <c r="K305" i="2"/>
  <c r="L305" i="2" s="1"/>
  <c r="M305" i="2" s="1"/>
  <c r="K287" i="2"/>
  <c r="L287" i="2" s="1"/>
  <c r="M287" i="2" s="1"/>
  <c r="K271" i="2"/>
  <c r="L271" i="2" s="1"/>
  <c r="M271" i="2" s="1"/>
  <c r="K257" i="2"/>
  <c r="L257" i="2" s="1"/>
  <c r="M257" i="2" s="1"/>
  <c r="K273" i="2"/>
  <c r="L273" i="2" s="1"/>
  <c r="M273" i="2" s="1"/>
  <c r="K213" i="2"/>
  <c r="L213" i="2" s="1"/>
  <c r="M213" i="2" s="1"/>
  <c r="K231" i="2"/>
  <c r="L231" i="2" s="1"/>
  <c r="M231" i="2" s="1"/>
  <c r="H63" i="3"/>
  <c r="J63" i="3" s="1"/>
  <c r="H60" i="3"/>
  <c r="J60" i="3" s="1"/>
  <c r="J65" i="3"/>
  <c r="I65" i="3"/>
  <c r="H61" i="3"/>
  <c r="H64" i="3"/>
  <c r="H59" i="3"/>
  <c r="K310" i="3"/>
  <c r="H61" i="2"/>
  <c r="J61" i="2" s="1"/>
  <c r="K245" i="2"/>
  <c r="L245" i="2" s="1"/>
  <c r="M245" i="2" s="1"/>
  <c r="K197" i="2"/>
  <c r="L197" i="2" s="1"/>
  <c r="M197" i="2" s="1"/>
  <c r="K233" i="2"/>
  <c r="L233" i="2" s="1"/>
  <c r="M233" i="2" s="1"/>
  <c r="K298" i="2"/>
  <c r="L298" i="2" s="1"/>
  <c r="M298" i="2" s="1"/>
  <c r="K302" i="2"/>
  <c r="L302" i="2" s="1"/>
  <c r="M302" i="2" s="1"/>
  <c r="K235" i="2"/>
  <c r="L235" i="2" s="1"/>
  <c r="M235" i="2" s="1"/>
  <c r="K300" i="2"/>
  <c r="L300" i="2" s="1"/>
  <c r="M300" i="2" s="1"/>
  <c r="K194" i="2"/>
  <c r="L194" i="2" s="1"/>
  <c r="M194" i="2" s="1"/>
  <c r="K210" i="2"/>
  <c r="L210" i="2" s="1"/>
  <c r="M210" i="2" s="1"/>
  <c r="K226" i="2"/>
  <c r="L226" i="2" s="1"/>
  <c r="M226" i="2" s="1"/>
  <c r="K242" i="2"/>
  <c r="L242" i="2" s="1"/>
  <c r="M242" i="2" s="1"/>
  <c r="K259" i="2"/>
  <c r="L259" i="2" s="1"/>
  <c r="M259" i="2" s="1"/>
  <c r="K275" i="2"/>
  <c r="L275" i="2" s="1"/>
  <c r="M275" i="2" s="1"/>
  <c r="K291" i="2"/>
  <c r="L291" i="2" s="1"/>
  <c r="M291" i="2" s="1"/>
  <c r="K294" i="2"/>
  <c r="L294" i="2" s="1"/>
  <c r="M294" i="2" s="1"/>
  <c r="K192" i="2"/>
  <c r="L192" i="2" s="1"/>
  <c r="M192" i="2" s="1"/>
  <c r="K240" i="2"/>
  <c r="L240" i="2" s="1"/>
  <c r="M240" i="2" s="1"/>
  <c r="K183" i="2"/>
  <c r="L183" i="2" s="1"/>
  <c r="M183" i="2" s="1"/>
  <c r="K243" i="2"/>
  <c r="L243" i="2" s="1"/>
  <c r="M243" i="2" s="1"/>
  <c r="K277" i="2"/>
  <c r="L277" i="2" s="1"/>
  <c r="M277" i="2" s="1"/>
  <c r="K185" i="2"/>
  <c r="L185" i="2" s="1"/>
  <c r="M185" i="2" s="1"/>
  <c r="K250" i="2"/>
  <c r="L250" i="2" s="1"/>
  <c r="M250" i="2" s="1"/>
  <c r="K248" i="2"/>
  <c r="L248" i="2" s="1"/>
  <c r="M248" i="2" s="1"/>
  <c r="K254" i="2"/>
  <c r="L254" i="2" s="1"/>
  <c r="M254" i="2" s="1"/>
  <c r="K187" i="2"/>
  <c r="L187" i="2" s="1"/>
  <c r="M187" i="2" s="1"/>
  <c r="K252" i="2"/>
  <c r="L252" i="2" s="1"/>
  <c r="M252" i="2" s="1"/>
  <c r="K182" i="2"/>
  <c r="K198" i="2"/>
  <c r="L198" i="2" s="1"/>
  <c r="M198" i="2" s="1"/>
  <c r="K214" i="2"/>
  <c r="L214" i="2" s="1"/>
  <c r="M214" i="2" s="1"/>
  <c r="K230" i="2"/>
  <c r="L230" i="2" s="1"/>
  <c r="M230" i="2" s="1"/>
  <c r="K263" i="2"/>
  <c r="L263" i="2" s="1"/>
  <c r="M263" i="2" s="1"/>
  <c r="K225" i="2"/>
  <c r="L225" i="2" s="1"/>
  <c r="M225" i="2" s="1"/>
  <c r="K292" i="2"/>
  <c r="L292" i="2" s="1"/>
  <c r="M292" i="2" s="1"/>
  <c r="K241" i="2"/>
  <c r="L241" i="2" s="1"/>
  <c r="M241" i="2" s="1"/>
  <c r="K310" i="2"/>
  <c r="L310" i="2" s="1"/>
  <c r="M310" i="2" s="1"/>
  <c r="K196" i="2"/>
  <c r="L196" i="2" s="1"/>
  <c r="M196" i="2" s="1"/>
  <c r="K244" i="2"/>
  <c r="L244" i="2" s="1"/>
  <c r="M244" i="2" s="1"/>
  <c r="K309" i="2"/>
  <c r="L309" i="2" s="1"/>
  <c r="M309" i="2" s="1"/>
  <c r="K199" i="2"/>
  <c r="L199" i="2" s="1"/>
  <c r="M199" i="2" s="1"/>
  <c r="K189" i="2"/>
  <c r="L189" i="2" s="1"/>
  <c r="M189" i="2" s="1"/>
  <c r="K237" i="2"/>
  <c r="L237" i="2" s="1"/>
  <c r="M237" i="2" s="1"/>
  <c r="K193" i="2"/>
  <c r="L193" i="2" s="1"/>
  <c r="M193" i="2" s="1"/>
  <c r="K258" i="2"/>
  <c r="L258" i="2" s="1"/>
  <c r="M258" i="2" s="1"/>
  <c r="K256" i="2"/>
  <c r="L256" i="2" s="1"/>
  <c r="M256" i="2" s="1"/>
  <c r="K262" i="2"/>
  <c r="L262" i="2" s="1"/>
  <c r="M262" i="2" s="1"/>
  <c r="K195" i="2"/>
  <c r="L195" i="2" s="1"/>
  <c r="M195" i="2" s="1"/>
  <c r="K260" i="2"/>
  <c r="L260" i="2" s="1"/>
  <c r="M260" i="2" s="1"/>
  <c r="K184" i="2"/>
  <c r="L184" i="2" s="1"/>
  <c r="M184" i="2" s="1"/>
  <c r="K232" i="2"/>
  <c r="L232" i="2" s="1"/>
  <c r="M232" i="2" s="1"/>
  <c r="K265" i="2"/>
  <c r="L265" i="2" s="1"/>
  <c r="M265" i="2" s="1"/>
  <c r="K297" i="2"/>
  <c r="L297" i="2" s="1"/>
  <c r="M297" i="2" s="1"/>
  <c r="K290" i="2"/>
  <c r="L290" i="2" s="1"/>
  <c r="M290" i="2" s="1"/>
  <c r="K304" i="2"/>
  <c r="L304" i="2" s="1"/>
  <c r="M304" i="2" s="1"/>
  <c r="K228" i="2"/>
  <c r="L228" i="2" s="1"/>
  <c r="M228" i="2" s="1"/>
  <c r="K293" i="2"/>
  <c r="L293" i="2" s="1"/>
  <c r="M293" i="2" s="1"/>
  <c r="K205" i="2"/>
  <c r="L205" i="2" s="1"/>
  <c r="M205" i="2" s="1"/>
  <c r="K221" i="2"/>
  <c r="L221" i="2" s="1"/>
  <c r="M221" i="2" s="1"/>
  <c r="K215" i="2"/>
  <c r="L215" i="2" s="1"/>
  <c r="M215" i="2" s="1"/>
  <c r="K201" i="2"/>
  <c r="L201" i="2" s="1"/>
  <c r="M201" i="2" s="1"/>
  <c r="K266" i="2"/>
  <c r="L266" i="2" s="1"/>
  <c r="M266" i="2" s="1"/>
  <c r="K264" i="2"/>
  <c r="L264" i="2" s="1"/>
  <c r="M264" i="2" s="1"/>
  <c r="K270" i="2"/>
  <c r="L270" i="2" s="1"/>
  <c r="M270" i="2" s="1"/>
  <c r="K203" i="2"/>
  <c r="L203" i="2" s="1"/>
  <c r="M203" i="2" s="1"/>
  <c r="K268" i="2"/>
  <c r="L268" i="2" s="1"/>
  <c r="M268" i="2" s="1"/>
  <c r="K186" i="2"/>
  <c r="L186" i="2" s="1"/>
  <c r="M186" i="2" s="1"/>
  <c r="K202" i="2"/>
  <c r="L202" i="2" s="1"/>
  <c r="M202" i="2" s="1"/>
  <c r="K218" i="2"/>
  <c r="L218" i="2" s="1"/>
  <c r="M218" i="2" s="1"/>
  <c r="K234" i="2"/>
  <c r="L234" i="2" s="1"/>
  <c r="M234" i="2" s="1"/>
  <c r="K251" i="2"/>
  <c r="L251" i="2" s="1"/>
  <c r="M251" i="2" s="1"/>
  <c r="K283" i="2"/>
  <c r="L283" i="2" s="1"/>
  <c r="M283" i="2" s="1"/>
  <c r="K299" i="2"/>
  <c r="L299" i="2" s="1"/>
  <c r="M299" i="2" s="1"/>
  <c r="K224" i="2"/>
  <c r="L224" i="2" s="1"/>
  <c r="M224" i="2" s="1"/>
  <c r="K308" i="2"/>
  <c r="L308" i="2" s="1"/>
  <c r="M308" i="2" s="1"/>
  <c r="K261" i="2"/>
  <c r="L261" i="2" s="1"/>
  <c r="M261" i="2" s="1"/>
  <c r="K191" i="2"/>
  <c r="L191" i="2" s="1"/>
  <c r="M191" i="2" s="1"/>
  <c r="K209" i="2"/>
  <c r="L209" i="2" s="1"/>
  <c r="M209" i="2" s="1"/>
  <c r="K274" i="2"/>
  <c r="L274" i="2" s="1"/>
  <c r="M274" i="2" s="1"/>
  <c r="K278" i="2"/>
  <c r="L278" i="2" s="1"/>
  <c r="M278" i="2" s="1"/>
  <c r="K211" i="2"/>
  <c r="L211" i="2" s="1"/>
  <c r="M211" i="2" s="1"/>
  <c r="K276" i="2"/>
  <c r="L276" i="2" s="1"/>
  <c r="M276" i="2" s="1"/>
  <c r="K188" i="2"/>
  <c r="L188" i="2" s="1"/>
  <c r="M188" i="2" s="1"/>
  <c r="K204" i="2"/>
  <c r="L204" i="2" s="1"/>
  <c r="M204" i="2" s="1"/>
  <c r="K220" i="2"/>
  <c r="L220" i="2" s="1"/>
  <c r="M220" i="2" s="1"/>
  <c r="K236" i="2"/>
  <c r="L236" i="2" s="1"/>
  <c r="M236" i="2" s="1"/>
  <c r="K269" i="2"/>
  <c r="L269" i="2" s="1"/>
  <c r="M269" i="2" s="1"/>
  <c r="K285" i="2"/>
  <c r="L285" i="2" s="1"/>
  <c r="M285" i="2" s="1"/>
  <c r="K301" i="2"/>
  <c r="L301" i="2" s="1"/>
  <c r="M301" i="2" s="1"/>
  <c r="K208" i="2"/>
  <c r="L208" i="2" s="1"/>
  <c r="M208" i="2" s="1"/>
  <c r="K289" i="2"/>
  <c r="L289" i="2" s="1"/>
  <c r="M289" i="2" s="1"/>
  <c r="K306" i="2"/>
  <c r="L306" i="2" s="1"/>
  <c r="M306" i="2" s="1"/>
  <c r="K212" i="2"/>
  <c r="L212" i="2" s="1"/>
  <c r="M212" i="2" s="1"/>
  <c r="K207" i="2"/>
  <c r="L207" i="2" s="1"/>
  <c r="M207" i="2" s="1"/>
  <c r="K223" i="2"/>
  <c r="L223" i="2" s="1"/>
  <c r="M223" i="2" s="1"/>
  <c r="K239" i="2"/>
  <c r="L239" i="2" s="1"/>
  <c r="M239" i="2" s="1"/>
  <c r="K217" i="2"/>
  <c r="L217" i="2" s="1"/>
  <c r="M217" i="2" s="1"/>
  <c r="K282" i="2"/>
  <c r="L282" i="2" s="1"/>
  <c r="M282" i="2" s="1"/>
  <c r="K280" i="2"/>
  <c r="L280" i="2" s="1"/>
  <c r="M280" i="2" s="1"/>
  <c r="K286" i="2"/>
  <c r="L286" i="2" s="1"/>
  <c r="M286" i="2" s="1"/>
  <c r="K219" i="2"/>
  <c r="L219" i="2" s="1"/>
  <c r="M219" i="2" s="1"/>
  <c r="K190" i="2"/>
  <c r="L190" i="2" s="1"/>
  <c r="M190" i="2" s="1"/>
  <c r="K206" i="2"/>
  <c r="L206" i="2" s="1"/>
  <c r="M206" i="2" s="1"/>
  <c r="K222" i="2"/>
  <c r="L222" i="2" s="1"/>
  <c r="M222" i="2" s="1"/>
  <c r="K255" i="2"/>
  <c r="L255" i="2" s="1"/>
  <c r="M255" i="2" s="1"/>
  <c r="J62" i="3" l="1"/>
  <c r="I63" i="3"/>
  <c r="I60" i="3"/>
  <c r="H62" i="2"/>
  <c r="H63" i="2"/>
  <c r="H64" i="2"/>
  <c r="J64" i="2" s="1"/>
  <c r="H60" i="2"/>
  <c r="I60" i="2" s="1"/>
  <c r="J65" i="2"/>
  <c r="I65" i="2"/>
  <c r="I61" i="2"/>
  <c r="H59" i="2"/>
  <c r="J61" i="3"/>
  <c r="I61" i="3"/>
  <c r="I59" i="3"/>
  <c r="J59" i="3"/>
  <c r="J64" i="3"/>
  <c r="I64" i="3"/>
  <c r="J63" i="2"/>
  <c r="I63" i="2"/>
  <c r="K246" i="2"/>
  <c r="L182" i="2"/>
  <c r="M182" i="2" s="1"/>
  <c r="J62" i="2"/>
  <c r="I62" i="2"/>
  <c r="J60" i="2" l="1"/>
  <c r="I64" i="2"/>
  <c r="I59" i="2"/>
  <c r="J59" i="2"/>
  <c r="P20" i="1"/>
  <c r="P23" i="1"/>
  <c r="P26" i="1"/>
  <c r="R26" i="1" l="1"/>
  <c r="R23" i="1"/>
  <c r="R20" i="1"/>
  <c r="A2" i="1"/>
  <c r="B9" i="1"/>
  <c r="W80" i="1" s="1"/>
  <c r="B10" i="1"/>
  <c r="AC84" i="1" s="1"/>
  <c r="B11" i="1"/>
  <c r="B12" i="1"/>
  <c r="B13" i="1"/>
  <c r="B14" i="1"/>
  <c r="B15" i="1"/>
  <c r="C18" i="1"/>
  <c r="C28" i="1" s="1"/>
  <c r="D18" i="1"/>
  <c r="D180" i="1" s="1"/>
  <c r="D310" i="1" s="1"/>
  <c r="F18" i="1"/>
  <c r="F180" i="1" s="1"/>
  <c r="F310" i="1" s="1"/>
  <c r="I18" i="1"/>
  <c r="I180" i="1" s="1"/>
  <c r="I310" i="1" s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J23" i="1"/>
  <c r="Q23" i="1" s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J26" i="1"/>
  <c r="Q26" i="1" s="1"/>
  <c r="C27" i="1"/>
  <c r="D27" i="1"/>
  <c r="E27" i="1"/>
  <c r="F27" i="1"/>
  <c r="G27" i="1"/>
  <c r="H27" i="1"/>
  <c r="I27" i="1"/>
  <c r="N57" i="1"/>
  <c r="N61" i="1" s="1"/>
  <c r="O57" i="1"/>
  <c r="O56" i="1" s="1"/>
  <c r="P57" i="1"/>
  <c r="P56" i="1" s="1"/>
  <c r="Q57" i="1"/>
  <c r="Q56" i="1" s="1"/>
  <c r="R57" i="1"/>
  <c r="R61" i="1" s="1"/>
  <c r="S57" i="1"/>
  <c r="S56" i="1" s="1"/>
  <c r="T57" i="1"/>
  <c r="T56" i="1" s="1"/>
  <c r="N58" i="1"/>
  <c r="N62" i="1" s="1"/>
  <c r="O58" i="1"/>
  <c r="O62" i="1" s="1"/>
  <c r="P58" i="1"/>
  <c r="P62" i="1" s="1"/>
  <c r="Q58" i="1"/>
  <c r="Q62" i="1" s="1"/>
  <c r="R58" i="1"/>
  <c r="R62" i="1" s="1"/>
  <c r="S58" i="1"/>
  <c r="S62" i="1" s="1"/>
  <c r="T58" i="1"/>
  <c r="T62" i="1" s="1"/>
  <c r="F59" i="1"/>
  <c r="AF59" i="1"/>
  <c r="AG59" i="1"/>
  <c r="F60" i="1"/>
  <c r="AF60" i="1"/>
  <c r="AG60" i="1"/>
  <c r="F61" i="1"/>
  <c r="F62" i="1"/>
  <c r="AD62" i="1"/>
  <c r="AF62" i="1"/>
  <c r="AG62" i="1"/>
  <c r="AH62" i="1"/>
  <c r="F63" i="1"/>
  <c r="AD63" i="1"/>
  <c r="AF63" i="1"/>
  <c r="AG63" i="1"/>
  <c r="AH63" i="1"/>
  <c r="F64" i="1"/>
  <c r="F65" i="1"/>
  <c r="N65" i="1"/>
  <c r="Q65" i="1"/>
  <c r="T65" i="1"/>
  <c r="AE65" i="1"/>
  <c r="AF65" i="1"/>
  <c r="AG65" i="1"/>
  <c r="AH65" i="1"/>
  <c r="AE66" i="1"/>
  <c r="AF66" i="1"/>
  <c r="AG66" i="1"/>
  <c r="AH66" i="1"/>
  <c r="AF68" i="1"/>
  <c r="AG68" i="1"/>
  <c r="AH68" i="1"/>
  <c r="AF69" i="1"/>
  <c r="AG69" i="1"/>
  <c r="AH69" i="1"/>
  <c r="AG71" i="1"/>
  <c r="AH71" i="1"/>
  <c r="AG72" i="1"/>
  <c r="AH72" i="1"/>
  <c r="F73" i="1"/>
  <c r="F74" i="1"/>
  <c r="AH74" i="1"/>
  <c r="F75" i="1"/>
  <c r="AH75" i="1"/>
  <c r="F76" i="1"/>
  <c r="F77" i="1"/>
  <c r="F78" i="1"/>
  <c r="F79" i="1"/>
  <c r="X79" i="1"/>
  <c r="Y79" i="1"/>
  <c r="Z79" i="1"/>
  <c r="AA79" i="1"/>
  <c r="AB79" i="1"/>
  <c r="AD79" i="1"/>
  <c r="AE79" i="1"/>
  <c r="AF79" i="1"/>
  <c r="AG79" i="1"/>
  <c r="AH79" i="1"/>
  <c r="AI79" i="1"/>
  <c r="AJ79" i="1"/>
  <c r="AK79" i="1"/>
  <c r="AM79" i="1"/>
  <c r="AN79" i="1"/>
  <c r="Z80" i="1"/>
  <c r="AA80" i="1"/>
  <c r="AB80" i="1"/>
  <c r="AD59" i="1"/>
  <c r="AF80" i="1"/>
  <c r="AG80" i="1"/>
  <c r="AH80" i="1"/>
  <c r="AI80" i="1"/>
  <c r="AJ80" i="1"/>
  <c r="AK80" i="1"/>
  <c r="AM80" i="1"/>
  <c r="AH60" i="1" s="1"/>
  <c r="M81" i="1"/>
  <c r="Z81" i="1"/>
  <c r="AA81" i="1"/>
  <c r="AB81" i="1"/>
  <c r="AF81" i="1"/>
  <c r="AG81" i="1"/>
  <c r="AH81" i="1"/>
  <c r="AI81" i="1"/>
  <c r="AJ81" i="1"/>
  <c r="AK81" i="1"/>
  <c r="AN81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Z84" i="1"/>
  <c r="AA84" i="1"/>
  <c r="AB84" i="1"/>
  <c r="AF84" i="1"/>
  <c r="AG84" i="1"/>
  <c r="AH84" i="1"/>
  <c r="AI84" i="1"/>
  <c r="AJ84" i="1"/>
  <c r="AK84" i="1"/>
  <c r="AL84" i="1"/>
  <c r="AM84" i="1"/>
  <c r="AN84" i="1"/>
  <c r="Z85" i="1"/>
  <c r="AA85" i="1"/>
  <c r="AB85" i="1"/>
  <c r="AF85" i="1"/>
  <c r="AG85" i="1"/>
  <c r="AH85" i="1"/>
  <c r="AI85" i="1"/>
  <c r="AJ85" i="1"/>
  <c r="AK85" i="1"/>
  <c r="AL85" i="1"/>
  <c r="AM85" i="1"/>
  <c r="AN85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F91" i="1"/>
  <c r="AG91" i="1"/>
  <c r="AH91" i="1"/>
  <c r="AI91" i="1"/>
  <c r="AJ91" i="1"/>
  <c r="AK91" i="1"/>
  <c r="AL91" i="1"/>
  <c r="AM91" i="1"/>
  <c r="AN91" i="1"/>
  <c r="AF92" i="1"/>
  <c r="AG92" i="1"/>
  <c r="AH92" i="1"/>
  <c r="AI92" i="1"/>
  <c r="AJ92" i="1"/>
  <c r="AK92" i="1"/>
  <c r="AL92" i="1"/>
  <c r="AM92" i="1"/>
  <c r="AN92" i="1"/>
  <c r="AF93" i="1"/>
  <c r="AG93" i="1"/>
  <c r="AH93" i="1"/>
  <c r="AI93" i="1"/>
  <c r="AJ93" i="1"/>
  <c r="AK93" i="1"/>
  <c r="AL93" i="1"/>
  <c r="AM93" i="1"/>
  <c r="AN93" i="1"/>
  <c r="AI95" i="1"/>
  <c r="AJ95" i="1"/>
  <c r="AK95" i="1"/>
  <c r="AL95" i="1"/>
  <c r="AM95" i="1"/>
  <c r="AN95" i="1"/>
  <c r="AI96" i="1"/>
  <c r="AJ96" i="1"/>
  <c r="AK96" i="1"/>
  <c r="AL96" i="1"/>
  <c r="AM96" i="1"/>
  <c r="AN96" i="1"/>
  <c r="AI97" i="1"/>
  <c r="AJ97" i="1"/>
  <c r="AK97" i="1"/>
  <c r="AL97" i="1"/>
  <c r="AM97" i="1"/>
  <c r="AN97" i="1"/>
  <c r="AL99" i="1"/>
  <c r="AM99" i="1"/>
  <c r="AN99" i="1"/>
  <c r="AL100" i="1"/>
  <c r="AM100" i="1"/>
  <c r="AN100" i="1"/>
  <c r="AL101" i="1"/>
  <c r="AM101" i="1"/>
  <c r="AN101" i="1"/>
  <c r="AM81" i="1"/>
  <c r="AH59" i="1" s="1"/>
  <c r="AN80" i="1"/>
  <c r="H18" i="1"/>
  <c r="H180" i="1" s="1"/>
  <c r="H310" i="1" s="1"/>
  <c r="AL80" i="1"/>
  <c r="AL79" i="1"/>
  <c r="W79" i="1"/>
  <c r="AD60" i="1"/>
  <c r="O65" i="1"/>
  <c r="K77" i="1" l="1"/>
  <c r="I77" i="1"/>
  <c r="AC85" i="1"/>
  <c r="R56" i="1"/>
  <c r="K78" i="1"/>
  <c r="N56" i="1"/>
  <c r="N64" i="1"/>
  <c r="P61" i="1"/>
  <c r="T61" i="1"/>
  <c r="T64" i="1" s="1"/>
  <c r="O61" i="1"/>
  <c r="O64" i="1" s="1"/>
  <c r="G74" i="1"/>
  <c r="AL81" i="1"/>
  <c r="AC79" i="1"/>
  <c r="D28" i="1"/>
  <c r="C60" i="1" s="1"/>
  <c r="AC81" i="1"/>
  <c r="AC80" i="1"/>
  <c r="G18" i="1"/>
  <c r="G28" i="1" s="1"/>
  <c r="C63" i="1" s="1"/>
  <c r="Q20" i="1"/>
  <c r="I76" i="1"/>
  <c r="I78" i="1"/>
  <c r="G75" i="1"/>
  <c r="G73" i="1"/>
  <c r="S61" i="1"/>
  <c r="E18" i="1"/>
  <c r="E180" i="1" s="1"/>
  <c r="E310" i="1" s="1"/>
  <c r="W81" i="1"/>
  <c r="Q61" i="1"/>
  <c r="Q64" i="1" s="1"/>
  <c r="C180" i="1"/>
  <c r="C310" i="1" s="1"/>
  <c r="F28" i="1"/>
  <c r="B43" i="1" s="1"/>
  <c r="K73" i="1"/>
  <c r="I79" i="1"/>
  <c r="K75" i="1"/>
  <c r="G77" i="1"/>
  <c r="I75" i="1"/>
  <c r="K76" i="1"/>
  <c r="K74" i="1"/>
  <c r="I74" i="1"/>
  <c r="G76" i="1"/>
  <c r="B34" i="1"/>
  <c r="C59" i="1"/>
  <c r="B33" i="1"/>
  <c r="G78" i="1"/>
  <c r="I73" i="1"/>
  <c r="K79" i="1"/>
  <c r="N60" i="1"/>
  <c r="H28" i="1"/>
  <c r="G79" i="1"/>
  <c r="I28" i="1"/>
  <c r="B37" i="1" l="1"/>
  <c r="G180" i="1"/>
  <c r="G310" i="1" s="1"/>
  <c r="B45" i="1"/>
  <c r="B36" i="1"/>
  <c r="O60" i="1"/>
  <c r="R60" i="1"/>
  <c r="B46" i="1"/>
  <c r="C62" i="1"/>
  <c r="Q60" i="1"/>
  <c r="R65" i="1"/>
  <c r="R64" i="1" s="1"/>
  <c r="S65" i="1"/>
  <c r="S64" i="1" s="1"/>
  <c r="P65" i="1"/>
  <c r="P64" i="1" s="1"/>
  <c r="E28" i="1"/>
  <c r="P60" i="1" s="1"/>
  <c r="B42" i="1"/>
  <c r="C64" i="1"/>
  <c r="B49" i="1"/>
  <c r="B48" i="1"/>
  <c r="S60" i="1"/>
  <c r="B51" i="1"/>
  <c r="T60" i="1"/>
  <c r="B52" i="1"/>
  <c r="C65" i="1"/>
  <c r="B40" i="1" l="1"/>
  <c r="B39" i="1"/>
  <c r="C61" i="1"/>
  <c r="P24" i="1" l="1"/>
  <c r="R25" i="1"/>
  <c r="G51" i="1" s="1"/>
  <c r="P25" i="1"/>
  <c r="R27" i="1"/>
  <c r="P27" i="1"/>
  <c r="P21" i="1"/>
  <c r="P22" i="1"/>
  <c r="D54" i="1"/>
  <c r="R22" i="1"/>
  <c r="J27" i="1"/>
  <c r="J25" i="1"/>
  <c r="J22" i="1"/>
  <c r="R21" i="1"/>
  <c r="J21" i="1"/>
  <c r="J24" i="1"/>
  <c r="X81" i="1" s="1"/>
  <c r="R24" i="1"/>
  <c r="G42" i="1" l="1"/>
  <c r="G45" i="1"/>
  <c r="G49" i="1"/>
  <c r="G33" i="1"/>
  <c r="AE85" i="1"/>
  <c r="Y81" i="1"/>
  <c r="AD80" i="1"/>
  <c r="Y80" i="1"/>
  <c r="AE80" i="1"/>
  <c r="X80" i="1"/>
  <c r="Q22" i="1"/>
  <c r="C33" i="1"/>
  <c r="C36" i="1"/>
  <c r="Q25" i="1"/>
  <c r="E51" i="1" s="1"/>
  <c r="G52" i="1"/>
  <c r="C42" i="1"/>
  <c r="C46" i="1"/>
  <c r="G37" i="1"/>
  <c r="G40" i="1"/>
  <c r="C48" i="1"/>
  <c r="AD84" i="1"/>
  <c r="C34" i="1"/>
  <c r="AD81" i="1"/>
  <c r="C39" i="1"/>
  <c r="C40" i="1"/>
  <c r="C43" i="1"/>
  <c r="C51" i="1"/>
  <c r="AE81" i="1"/>
  <c r="G48" i="1"/>
  <c r="G34" i="1"/>
  <c r="G39" i="1"/>
  <c r="R28" i="1"/>
  <c r="H45" i="1" s="1"/>
  <c r="G46" i="1"/>
  <c r="G36" i="1"/>
  <c r="C37" i="1"/>
  <c r="C45" i="1"/>
  <c r="Q27" i="1"/>
  <c r="Q24" i="1"/>
  <c r="F67" i="1"/>
  <c r="F66" i="1" s="1"/>
  <c r="E67" i="1"/>
  <c r="AD85" i="1"/>
  <c r="G43" i="1"/>
  <c r="AE84" i="1"/>
  <c r="Q21" i="1"/>
  <c r="C52" i="1"/>
  <c r="J28" i="1"/>
  <c r="C49" i="1"/>
  <c r="E45" i="1" l="1"/>
  <c r="AE60" i="1"/>
  <c r="AE59" i="1"/>
  <c r="AC59" i="1"/>
  <c r="AC60" i="1"/>
  <c r="D49" i="1"/>
  <c r="H29" i="1" s="1"/>
  <c r="D46" i="1"/>
  <c r="R66" i="1" s="1"/>
  <c r="H46" i="1"/>
  <c r="H48" i="1"/>
  <c r="D34" i="1"/>
  <c r="C29" i="1" s="1"/>
  <c r="H43" i="1"/>
  <c r="H36" i="1"/>
  <c r="H34" i="1"/>
  <c r="D43" i="1"/>
  <c r="Q66" i="1" s="1"/>
  <c r="E48" i="1"/>
  <c r="E34" i="1"/>
  <c r="E40" i="1"/>
  <c r="E42" i="1"/>
  <c r="D36" i="1"/>
  <c r="E60" i="1" s="1"/>
  <c r="D40" i="1"/>
  <c r="E37" i="1"/>
  <c r="AE63" i="1"/>
  <c r="AE62" i="1"/>
  <c r="D42" i="1"/>
  <c r="E62" i="1" s="1"/>
  <c r="D52" i="1"/>
  <c r="G67" i="1"/>
  <c r="D45" i="1"/>
  <c r="E63" i="1" s="1"/>
  <c r="H37" i="1"/>
  <c r="H33" i="1"/>
  <c r="H51" i="1"/>
  <c r="H52" i="1"/>
  <c r="D39" i="1"/>
  <c r="E61" i="1" s="1"/>
  <c r="D48" i="1"/>
  <c r="E64" i="1" s="1"/>
  <c r="H42" i="1"/>
  <c r="Q28" i="1"/>
  <c r="E46" i="1"/>
  <c r="E36" i="1"/>
  <c r="E49" i="1"/>
  <c r="E33" i="1"/>
  <c r="E39" i="1"/>
  <c r="E43" i="1"/>
  <c r="E52" i="1"/>
  <c r="D37" i="1"/>
  <c r="H39" i="1"/>
  <c r="D51" i="1"/>
  <c r="E65" i="1" s="1"/>
  <c r="H49" i="1"/>
  <c r="H40" i="1"/>
  <c r="D33" i="1"/>
  <c r="E59" i="1" s="1"/>
  <c r="S66" i="1" l="1"/>
  <c r="F33" i="1"/>
  <c r="G29" i="1"/>
  <c r="J302" i="1"/>
  <c r="F29" i="1"/>
  <c r="N66" i="1"/>
  <c r="F52" i="1"/>
  <c r="F43" i="1"/>
  <c r="F48" i="1"/>
  <c r="F39" i="1"/>
  <c r="F46" i="1"/>
  <c r="J298" i="1"/>
  <c r="J293" i="1"/>
  <c r="F36" i="1"/>
  <c r="F37" i="1"/>
  <c r="J281" i="1"/>
  <c r="J300" i="1"/>
  <c r="J304" i="1"/>
  <c r="J299" i="1"/>
  <c r="J290" i="1"/>
  <c r="J286" i="1"/>
  <c r="J292" i="1"/>
  <c r="F49" i="1"/>
  <c r="J308" i="1"/>
  <c r="J289" i="1"/>
  <c r="J297" i="1"/>
  <c r="K60" i="1"/>
  <c r="G60" i="1"/>
  <c r="J244" i="1"/>
  <c r="J220" i="1"/>
  <c r="J215" i="1"/>
  <c r="D29" i="1"/>
  <c r="O66" i="1"/>
  <c r="G64" i="1"/>
  <c r="K64" i="1"/>
  <c r="J295" i="1"/>
  <c r="J205" i="1"/>
  <c r="J188" i="1"/>
  <c r="J291" i="1"/>
  <c r="J253" i="1"/>
  <c r="J269" i="1"/>
  <c r="J213" i="1"/>
  <c r="J248" i="1"/>
  <c r="J209" i="1"/>
  <c r="J274" i="1"/>
  <c r="J184" i="1"/>
  <c r="J228" i="1"/>
  <c r="J296" i="1"/>
  <c r="J212" i="1"/>
  <c r="J219" i="1"/>
  <c r="J224" i="1"/>
  <c r="J217" i="1"/>
  <c r="J232" i="1"/>
  <c r="J272" i="1"/>
  <c r="J243" i="1"/>
  <c r="J225" i="1"/>
  <c r="J202" i="1"/>
  <c r="J285" i="1"/>
  <c r="J261" i="1"/>
  <c r="J268" i="1"/>
  <c r="J257" i="1"/>
  <c r="J192" i="1"/>
  <c r="J186" i="1"/>
  <c r="J196" i="1"/>
  <c r="J275" i="1"/>
  <c r="J240" i="1"/>
  <c r="J201" i="1"/>
  <c r="J307" i="1"/>
  <c r="F42" i="1"/>
  <c r="J182" i="1"/>
  <c r="J277" i="1"/>
  <c r="J259" i="1"/>
  <c r="J200" i="1"/>
  <c r="J249" i="1"/>
  <c r="J271" i="1"/>
  <c r="J223" i="1"/>
  <c r="J194" i="1"/>
  <c r="J242" i="1"/>
  <c r="J193" i="1"/>
  <c r="J303" i="1"/>
  <c r="J264" i="1"/>
  <c r="J198" i="1"/>
  <c r="J246" i="1"/>
  <c r="J239" i="1"/>
  <c r="J288" i="1"/>
  <c r="J204" i="1"/>
  <c r="J226" i="1"/>
  <c r="J278" i="1"/>
  <c r="J265" i="1"/>
  <c r="J255" i="1"/>
  <c r="J211" i="1"/>
  <c r="T18" i="1"/>
  <c r="J203" i="1"/>
  <c r="J221" i="1"/>
  <c r="J241" i="1"/>
  <c r="J231" i="1"/>
  <c r="J273" i="1"/>
  <c r="J282" i="1"/>
  <c r="J189" i="1"/>
  <c r="J199" i="1"/>
  <c r="J183" i="1"/>
  <c r="J305" i="1"/>
  <c r="J283" i="1"/>
  <c r="J206" i="1"/>
  <c r="J222" i="1"/>
  <c r="J234" i="1"/>
  <c r="F40" i="1"/>
  <c r="K59" i="1"/>
  <c r="G59" i="1"/>
  <c r="E66" i="1"/>
  <c r="J262" i="1"/>
  <c r="J250" i="1"/>
  <c r="J254" i="1"/>
  <c r="J256" i="1"/>
  <c r="J230" i="1"/>
  <c r="J245" i="1"/>
  <c r="J195" i="1"/>
  <c r="J197" i="1"/>
  <c r="J263" i="1"/>
  <c r="J235" i="1"/>
  <c r="G61" i="1"/>
  <c r="K61" i="1"/>
  <c r="I29" i="1"/>
  <c r="T66" i="1"/>
  <c r="J236" i="1"/>
  <c r="J216" i="1"/>
  <c r="K65" i="1"/>
  <c r="G65" i="1"/>
  <c r="F51" i="1"/>
  <c r="G63" i="1"/>
  <c r="K63" i="1"/>
  <c r="G62" i="1"/>
  <c r="K62" i="1"/>
  <c r="E29" i="1"/>
  <c r="P66" i="1"/>
  <c r="J284" i="1"/>
  <c r="J270" i="1"/>
  <c r="J258" i="1"/>
  <c r="J191" i="1"/>
  <c r="J309" i="1"/>
  <c r="J218" i="1"/>
  <c r="J279" i="1"/>
  <c r="J276" i="1"/>
  <c r="J301" i="1"/>
  <c r="J208" i="1"/>
  <c r="J227" i="1"/>
  <c r="J190" i="1"/>
  <c r="J266" i="1"/>
  <c r="J238" i="1"/>
  <c r="J210" i="1"/>
  <c r="J187" i="1"/>
  <c r="J185" i="1"/>
  <c r="J207" i="1"/>
  <c r="J267" i="1"/>
  <c r="J229" i="1"/>
  <c r="J280" i="1"/>
  <c r="J214" i="1"/>
  <c r="J233" i="1"/>
  <c r="J247" i="1"/>
  <c r="J251" i="1"/>
  <c r="J260" i="1"/>
  <c r="J306" i="1"/>
  <c r="J237" i="1"/>
  <c r="J294" i="1"/>
  <c r="J287" i="1"/>
  <c r="J252" i="1"/>
  <c r="T19" i="1"/>
  <c r="F34" i="1"/>
  <c r="F45" i="1"/>
  <c r="K194" i="1" l="1"/>
  <c r="K188" i="1"/>
  <c r="L188" i="1" s="1"/>
  <c r="M188" i="1" s="1"/>
  <c r="K197" i="1"/>
  <c r="L197" i="1" s="1"/>
  <c r="M197" i="1" s="1"/>
  <c r="K260" i="1"/>
  <c r="L260" i="1" s="1"/>
  <c r="M260" i="1" s="1"/>
  <c r="K200" i="1"/>
  <c r="K272" i="1"/>
  <c r="L272" i="1" s="1"/>
  <c r="M272" i="1" s="1"/>
  <c r="K257" i="1"/>
  <c r="L257" i="1" s="1"/>
  <c r="M257" i="1" s="1"/>
  <c r="K205" i="1"/>
  <c r="L205" i="1" s="1"/>
  <c r="M205" i="1" s="1"/>
  <c r="K253" i="1"/>
  <c r="L253" i="1" s="1"/>
  <c r="M253" i="1" s="1"/>
  <c r="K213" i="1"/>
  <c r="L213" i="1" s="1"/>
  <c r="M213" i="1" s="1"/>
  <c r="K268" i="1"/>
  <c r="L268" i="1" s="1"/>
  <c r="M268" i="1" s="1"/>
  <c r="K217" i="1"/>
  <c r="L217" i="1" s="1"/>
  <c r="M217" i="1" s="1"/>
  <c r="K295" i="1"/>
  <c r="L295" i="1" s="1"/>
  <c r="M295" i="1" s="1"/>
  <c r="K233" i="1"/>
  <c r="L233" i="1" s="1"/>
  <c r="M233" i="1" s="1"/>
  <c r="K193" i="1"/>
  <c r="L193" i="1" s="1"/>
  <c r="M193" i="1" s="1"/>
  <c r="K280" i="1"/>
  <c r="L280" i="1" s="1"/>
  <c r="M280" i="1" s="1"/>
  <c r="K231" i="1"/>
  <c r="L231" i="1" s="1"/>
  <c r="M231" i="1" s="1"/>
  <c r="K196" i="1"/>
  <c r="L196" i="1" s="1"/>
  <c r="M196" i="1" s="1"/>
  <c r="K308" i="1"/>
  <c r="L308" i="1" s="1"/>
  <c r="M308" i="1" s="1"/>
  <c r="K237" i="1"/>
  <c r="L237" i="1" s="1"/>
  <c r="M237" i="1" s="1"/>
  <c r="K276" i="1"/>
  <c r="L276" i="1" s="1"/>
  <c r="M276" i="1" s="1"/>
  <c r="K282" i="1"/>
  <c r="L282" i="1" s="1"/>
  <c r="M282" i="1" s="1"/>
  <c r="K189" i="1"/>
  <c r="L189" i="1" s="1"/>
  <c r="M189" i="1" s="1"/>
  <c r="K246" i="1"/>
  <c r="L246" i="1" s="1"/>
  <c r="M246" i="1" s="1"/>
  <c r="K277" i="1"/>
  <c r="L277" i="1" s="1"/>
  <c r="M277" i="1" s="1"/>
  <c r="K261" i="1"/>
  <c r="L261" i="1" s="1"/>
  <c r="M261" i="1" s="1"/>
  <c r="P68" i="1"/>
  <c r="K210" i="1"/>
  <c r="L210" i="1" s="1"/>
  <c r="M210" i="1" s="1"/>
  <c r="K302" i="1"/>
  <c r="L302" i="1" s="1"/>
  <c r="M302" i="1" s="1"/>
  <c r="K274" i="1"/>
  <c r="L274" i="1" s="1"/>
  <c r="M274" i="1" s="1"/>
  <c r="K245" i="1"/>
  <c r="L245" i="1" s="1"/>
  <c r="M245" i="1" s="1"/>
  <c r="K202" i="1"/>
  <c r="L202" i="1" s="1"/>
  <c r="M202" i="1" s="1"/>
  <c r="K228" i="1"/>
  <c r="L228" i="1" s="1"/>
  <c r="M228" i="1" s="1"/>
  <c r="K247" i="1"/>
  <c r="L247" i="1" s="1"/>
  <c r="M247" i="1" s="1"/>
  <c r="K298" i="1"/>
  <c r="L298" i="1" s="1"/>
  <c r="M298" i="1" s="1"/>
  <c r="K243" i="1"/>
  <c r="L243" i="1" s="1"/>
  <c r="M243" i="1" s="1"/>
  <c r="K191" i="1"/>
  <c r="L191" i="1" s="1"/>
  <c r="M191" i="1" s="1"/>
  <c r="K292" i="1"/>
  <c r="L292" i="1" s="1"/>
  <c r="M292" i="1" s="1"/>
  <c r="K242" i="1"/>
  <c r="L242" i="1" s="1"/>
  <c r="M242" i="1" s="1"/>
  <c r="K216" i="1"/>
  <c r="L216" i="1" s="1"/>
  <c r="M216" i="1" s="1"/>
  <c r="K270" i="1"/>
  <c r="L270" i="1" s="1"/>
  <c r="M270" i="1" s="1"/>
  <c r="K244" i="1"/>
  <c r="L244" i="1" s="1"/>
  <c r="M244" i="1" s="1"/>
  <c r="K182" i="1"/>
  <c r="L182" i="1" s="1"/>
  <c r="M182" i="1" s="1"/>
  <c r="K218" i="1"/>
  <c r="L218" i="1" s="1"/>
  <c r="M218" i="1" s="1"/>
  <c r="K283" i="1"/>
  <c r="L283" i="1" s="1"/>
  <c r="M283" i="1" s="1"/>
  <c r="K225" i="1"/>
  <c r="L225" i="1" s="1"/>
  <c r="M225" i="1" s="1"/>
  <c r="K256" i="1"/>
  <c r="L256" i="1" s="1"/>
  <c r="M256" i="1" s="1"/>
  <c r="K66" i="1"/>
  <c r="G66" i="1"/>
  <c r="H62" i="1" s="1"/>
  <c r="K304" i="1"/>
  <c r="L304" i="1" s="1"/>
  <c r="M304" i="1" s="1"/>
  <c r="K208" i="1"/>
  <c r="L208" i="1" s="1"/>
  <c r="M208" i="1" s="1"/>
  <c r="K198" i="1"/>
  <c r="L198" i="1" s="1"/>
  <c r="M198" i="1" s="1"/>
  <c r="K296" i="1"/>
  <c r="L296" i="1" s="1"/>
  <c r="M296" i="1" s="1"/>
  <c r="K240" i="1"/>
  <c r="L240" i="1" s="1"/>
  <c r="M240" i="1" s="1"/>
  <c r="K219" i="1"/>
  <c r="L219" i="1" s="1"/>
  <c r="M219" i="1" s="1"/>
  <c r="K227" i="1"/>
  <c r="L227" i="1" s="1"/>
  <c r="M227" i="1" s="1"/>
  <c r="K222" i="1"/>
  <c r="L222" i="1" s="1"/>
  <c r="M222" i="1" s="1"/>
  <c r="K281" i="1"/>
  <c r="L281" i="1" s="1"/>
  <c r="M281" i="1" s="1"/>
  <c r="K275" i="1"/>
  <c r="L275" i="1" s="1"/>
  <c r="M275" i="1" s="1"/>
  <c r="K306" i="1"/>
  <c r="L306" i="1" s="1"/>
  <c r="M306" i="1" s="1"/>
  <c r="K238" i="1"/>
  <c r="L238" i="1" s="1"/>
  <c r="M238" i="1" s="1"/>
  <c r="K309" i="1"/>
  <c r="L309" i="1" s="1"/>
  <c r="M309" i="1" s="1"/>
  <c r="K184" i="1"/>
  <c r="L184" i="1" s="1"/>
  <c r="M184" i="1" s="1"/>
  <c r="K305" i="1"/>
  <c r="L305" i="1" s="1"/>
  <c r="M305" i="1" s="1"/>
  <c r="K252" i="1"/>
  <c r="L252" i="1" s="1"/>
  <c r="M252" i="1" s="1"/>
  <c r="K248" i="1"/>
  <c r="L248" i="1" s="1"/>
  <c r="M248" i="1" s="1"/>
  <c r="K214" i="1"/>
  <c r="L214" i="1" s="1"/>
  <c r="M214" i="1" s="1"/>
  <c r="K271" i="1"/>
  <c r="L271" i="1" s="1"/>
  <c r="M271" i="1" s="1"/>
  <c r="K187" i="1"/>
  <c r="L187" i="1" s="1"/>
  <c r="M187" i="1" s="1"/>
  <c r="K183" i="1"/>
  <c r="L183" i="1" s="1"/>
  <c r="M183" i="1" s="1"/>
  <c r="K236" i="1"/>
  <c r="L236" i="1" s="1"/>
  <c r="M236" i="1" s="1"/>
  <c r="K223" i="1"/>
  <c r="L223" i="1" s="1"/>
  <c r="M223" i="1" s="1"/>
  <c r="K220" i="1"/>
  <c r="L220" i="1" s="1"/>
  <c r="M220" i="1" s="1"/>
  <c r="K251" i="1"/>
  <c r="L251" i="1" s="1"/>
  <c r="M251" i="1" s="1"/>
  <c r="K300" i="1"/>
  <c r="L300" i="1" s="1"/>
  <c r="M300" i="1" s="1"/>
  <c r="K186" i="1"/>
  <c r="L186" i="1" s="1"/>
  <c r="M186" i="1" s="1"/>
  <c r="K259" i="1"/>
  <c r="L259" i="1" s="1"/>
  <c r="M259" i="1" s="1"/>
  <c r="K284" i="1"/>
  <c r="L284" i="1" s="1"/>
  <c r="M284" i="1" s="1"/>
  <c r="K241" i="1"/>
  <c r="L241" i="1" s="1"/>
  <c r="M241" i="1" s="1"/>
  <c r="K207" i="1"/>
  <c r="L207" i="1" s="1"/>
  <c r="M207" i="1" s="1"/>
  <c r="K224" i="1"/>
  <c r="L224" i="1" s="1"/>
  <c r="M224" i="1" s="1"/>
  <c r="K215" i="1"/>
  <c r="L215" i="1" s="1"/>
  <c r="M215" i="1" s="1"/>
  <c r="K266" i="1"/>
  <c r="L266" i="1" s="1"/>
  <c r="M266" i="1" s="1"/>
  <c r="K287" i="1"/>
  <c r="L287" i="1" s="1"/>
  <c r="M287" i="1" s="1"/>
  <c r="K288" i="1"/>
  <c r="L288" i="1" s="1"/>
  <c r="M288" i="1" s="1"/>
  <c r="K263" i="1"/>
  <c r="L263" i="1" s="1"/>
  <c r="M263" i="1" s="1"/>
  <c r="K265" i="1"/>
  <c r="L265" i="1" s="1"/>
  <c r="M265" i="1" s="1"/>
  <c r="K258" i="1"/>
  <c r="L258" i="1" s="1"/>
  <c r="M258" i="1" s="1"/>
  <c r="K286" i="1"/>
  <c r="L286" i="1" s="1"/>
  <c r="M286" i="1" s="1"/>
  <c r="K297" i="1"/>
  <c r="L297" i="1" s="1"/>
  <c r="M297" i="1" s="1"/>
  <c r="K267" i="1"/>
  <c r="L267" i="1" s="1"/>
  <c r="M267" i="1" s="1"/>
  <c r="L200" i="1"/>
  <c r="M200" i="1" s="1"/>
  <c r="H64" i="1"/>
  <c r="H65" i="1"/>
  <c r="K212" i="1"/>
  <c r="L212" i="1" s="1"/>
  <c r="M212" i="1" s="1"/>
  <c r="K234" i="1"/>
  <c r="L234" i="1" s="1"/>
  <c r="M234" i="1" s="1"/>
  <c r="K255" i="1"/>
  <c r="L255" i="1" s="1"/>
  <c r="M255" i="1" s="1"/>
  <c r="K206" i="1"/>
  <c r="L206" i="1" s="1"/>
  <c r="M206" i="1" s="1"/>
  <c r="K192" i="1"/>
  <c r="L192" i="1" s="1"/>
  <c r="M192" i="1" s="1"/>
  <c r="K264" i="1"/>
  <c r="L264" i="1" s="1"/>
  <c r="M264" i="1" s="1"/>
  <c r="K226" i="1"/>
  <c r="L226" i="1" s="1"/>
  <c r="M226" i="1" s="1"/>
  <c r="K303" i="1"/>
  <c r="L303" i="1" s="1"/>
  <c r="M303" i="1" s="1"/>
  <c r="K190" i="1"/>
  <c r="L190" i="1" s="1"/>
  <c r="M190" i="1" s="1"/>
  <c r="K235" i="1"/>
  <c r="L235" i="1" s="1"/>
  <c r="M235" i="1" s="1"/>
  <c r="K195" i="1"/>
  <c r="L195" i="1" s="1"/>
  <c r="M195" i="1" s="1"/>
  <c r="K290" i="1"/>
  <c r="L290" i="1" s="1"/>
  <c r="M290" i="1" s="1"/>
  <c r="K239" i="1"/>
  <c r="L239" i="1" s="1"/>
  <c r="M239" i="1" s="1"/>
  <c r="K273" i="1"/>
  <c r="L273" i="1" s="1"/>
  <c r="M273" i="1" s="1"/>
  <c r="K299" i="1"/>
  <c r="L299" i="1" s="1"/>
  <c r="M299" i="1" s="1"/>
  <c r="K291" i="1"/>
  <c r="L291" i="1" s="1"/>
  <c r="M291" i="1" s="1"/>
  <c r="K279" i="1"/>
  <c r="L279" i="1" s="1"/>
  <c r="M279" i="1" s="1"/>
  <c r="K293" i="1"/>
  <c r="L293" i="1" s="1"/>
  <c r="M293" i="1" s="1"/>
  <c r="K301" i="1"/>
  <c r="L301" i="1" s="1"/>
  <c r="M301" i="1" s="1"/>
  <c r="K285" i="1"/>
  <c r="L285" i="1" s="1"/>
  <c r="M285" i="1" s="1"/>
  <c r="K211" i="1"/>
  <c r="L211" i="1" s="1"/>
  <c r="M211" i="1" s="1"/>
  <c r="K201" i="1"/>
  <c r="L201" i="1" s="1"/>
  <c r="M201" i="1" s="1"/>
  <c r="K249" i="1"/>
  <c r="L249" i="1" s="1"/>
  <c r="M249" i="1" s="1"/>
  <c r="K203" i="1"/>
  <c r="L203" i="1" s="1"/>
  <c r="M203" i="1" s="1"/>
  <c r="K221" i="1"/>
  <c r="L221" i="1" s="1"/>
  <c r="M221" i="1" s="1"/>
  <c r="L194" i="1"/>
  <c r="M194" i="1" s="1"/>
  <c r="J310" i="1"/>
  <c r="K185" i="1"/>
  <c r="L185" i="1" s="1"/>
  <c r="M185" i="1" s="1"/>
  <c r="K199" i="1"/>
  <c r="L199" i="1" s="1"/>
  <c r="M199" i="1" s="1"/>
  <c r="K209" i="1"/>
  <c r="L209" i="1" s="1"/>
  <c r="M209" i="1" s="1"/>
  <c r="K269" i="1"/>
  <c r="L269" i="1" s="1"/>
  <c r="M269" i="1" s="1"/>
  <c r="K232" i="1"/>
  <c r="L232" i="1" s="1"/>
  <c r="M232" i="1" s="1"/>
  <c r="K204" i="1"/>
  <c r="L204" i="1" s="1"/>
  <c r="M204" i="1" s="1"/>
  <c r="K294" i="1"/>
  <c r="L294" i="1" s="1"/>
  <c r="M294" i="1" s="1"/>
  <c r="K250" i="1"/>
  <c r="L250" i="1" s="1"/>
  <c r="M250" i="1" s="1"/>
  <c r="K262" i="1"/>
  <c r="L262" i="1" s="1"/>
  <c r="M262" i="1" s="1"/>
  <c r="K289" i="1"/>
  <c r="L289" i="1" s="1"/>
  <c r="M289" i="1" s="1"/>
  <c r="K254" i="1"/>
  <c r="L254" i="1" s="1"/>
  <c r="M254" i="1" s="1"/>
  <c r="K307" i="1"/>
  <c r="L307" i="1" s="1"/>
  <c r="M307" i="1" s="1"/>
  <c r="K230" i="1"/>
  <c r="L230" i="1" s="1"/>
  <c r="M230" i="1" s="1"/>
  <c r="K278" i="1"/>
  <c r="L278" i="1" s="1"/>
  <c r="M278" i="1" s="1"/>
  <c r="K229" i="1"/>
  <c r="L229" i="1" s="1"/>
  <c r="M229" i="1" s="1"/>
  <c r="H60" i="1" l="1"/>
  <c r="H61" i="1"/>
  <c r="I61" i="1" s="1"/>
  <c r="H59" i="1"/>
  <c r="I59" i="1" s="1"/>
  <c r="H63" i="1"/>
  <c r="I63" i="1" s="1"/>
  <c r="I62" i="1"/>
  <c r="J62" i="1"/>
  <c r="I64" i="1"/>
  <c r="J64" i="1"/>
  <c r="K310" i="1"/>
  <c r="I60" i="1"/>
  <c r="J60" i="1"/>
  <c r="J65" i="1"/>
  <c r="I65" i="1"/>
  <c r="J63" i="1" l="1"/>
  <c r="J59" i="1"/>
  <c r="J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 utilisateur satisfait de Microsoft Office</author>
  </authors>
  <commentList>
    <comment ref="C6" authorId="0" shapeId="0" xr:uid="{00000000-0006-0000-0000-000001000000}">
      <text>
        <r>
          <rPr>
            <sz val="9"/>
            <color indexed="81"/>
            <rFont val="Tahoma"/>
            <family val="2"/>
          </rPr>
          <t>Mettre le nom du facteur</t>
        </r>
      </text>
    </comment>
    <comment ref="C7" authorId="0" shapeId="0" xr:uid="{00000000-0006-0000-0000-000002000000}">
      <text>
        <r>
          <rPr>
            <sz val="9"/>
            <color indexed="81"/>
            <rFont val="Tahoma"/>
            <family val="2"/>
          </rPr>
          <t>Mettre la valeur du niveau 1
Littérale ou numérique</t>
        </r>
      </text>
    </comment>
    <comment ref="C8" authorId="0" shapeId="0" xr:uid="{00000000-0006-0000-0000-000003000000}">
      <text>
        <r>
          <rPr>
            <sz val="9"/>
            <color rgb="FF000000"/>
            <rFont val="Tahoma"/>
            <family val="2"/>
          </rPr>
          <t xml:space="preserve">Mettre la valeur du niveau 2
</t>
        </r>
        <r>
          <rPr>
            <sz val="9"/>
            <color rgb="FF000000"/>
            <rFont val="Tahoma"/>
            <family val="2"/>
          </rPr>
          <t>Littérale ou numérique</t>
        </r>
      </text>
    </comment>
    <comment ref="D9" authorId="0" shapeId="0" xr:uid="{00000000-0006-0000-0000-000004000000}">
      <text>
        <r>
          <rPr>
            <sz val="9"/>
            <color rgb="FF000000"/>
            <rFont val="Tahoma"/>
            <family val="2"/>
          </rPr>
          <t>Si il y a interaction entre facteurs, mettre 'o'; sinon rien</t>
        </r>
      </text>
    </comment>
    <comment ref="K18" authorId="0" shapeId="0" xr:uid="{00000000-0006-0000-0000-000005000000}">
      <text>
        <r>
          <rPr>
            <sz val="9"/>
            <color indexed="81"/>
            <rFont val="Tahoma"/>
            <family val="2"/>
          </rPr>
          <t>Mettre le nom de la réponse</t>
        </r>
      </text>
    </comment>
    <comment ref="I58" authorId="0" shapeId="0" xr:uid="{00000000-0006-0000-0000-000006000000}">
      <text>
        <r>
          <rPr>
            <sz val="9"/>
            <color indexed="81"/>
            <rFont val="Tahoma"/>
            <family val="2"/>
          </rPr>
          <t>Risque de conclure à tort que l'action est significative</t>
        </r>
      </text>
    </comment>
    <comment ref="D59" authorId="0" shapeId="0" xr:uid="{00000000-0006-0000-0000-000007000000}">
      <text>
        <r>
          <rPr>
            <sz val="9"/>
            <color indexed="81"/>
            <rFont val="Tahoma"/>
            <family val="2"/>
          </rPr>
          <t>Aide  Pulling
Mettre 'o' si vous retenez le facteur
Mettre 'n' si vous ne le retenez pas</t>
        </r>
      </text>
    </comment>
    <comment ref="N63" authorId="0" shapeId="0" xr:uid="{00000000-0006-0000-0000-000008000000}">
      <text>
        <r>
          <rPr>
            <sz val="9"/>
            <color indexed="81"/>
            <rFont val="Tahoma"/>
            <family val="2"/>
          </rPr>
          <t>Mettre la valeur du facteur au niveau à prédire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 utilisateur satisfait de Microsoft Office</author>
  </authors>
  <commentList>
    <comment ref="C6" authorId="0" shapeId="0" xr:uid="{14829F71-ABA2-414A-81EA-8009F35774BF}">
      <text>
        <r>
          <rPr>
            <sz val="9"/>
            <color indexed="81"/>
            <rFont val="Tahoma"/>
            <family val="2"/>
          </rPr>
          <t>Mettre le nom du facteur</t>
        </r>
      </text>
    </comment>
    <comment ref="C7" authorId="0" shapeId="0" xr:uid="{19B22129-EBAB-4560-B19D-75245C87383C}">
      <text>
        <r>
          <rPr>
            <sz val="9"/>
            <color indexed="81"/>
            <rFont val="Tahoma"/>
            <family val="2"/>
          </rPr>
          <t>Mettre la valeur du niveau 1
Littérale ou numérique</t>
        </r>
      </text>
    </comment>
    <comment ref="C8" authorId="0" shapeId="0" xr:uid="{ED9681C0-BF38-4E0E-84B8-CE7767B5DEE2}">
      <text>
        <r>
          <rPr>
            <sz val="9"/>
            <color indexed="81"/>
            <rFont val="Tahoma"/>
            <family val="2"/>
          </rPr>
          <t>Mettre la valeur du niveau 2
Littérale ou numérique</t>
        </r>
      </text>
    </comment>
    <comment ref="D9" authorId="0" shapeId="0" xr:uid="{259C7E13-F5C0-4F46-B1E2-B74666B7A311}">
      <text>
        <r>
          <rPr>
            <sz val="9"/>
            <color indexed="81"/>
            <rFont val="Tahoma"/>
            <family val="2"/>
          </rPr>
          <t>Si il y a interaction entre facteurs, mettre 'o'; sinon rien</t>
        </r>
      </text>
    </comment>
    <comment ref="K18" authorId="0" shapeId="0" xr:uid="{9FACB73D-6EE9-4E5D-867B-9807A4077F6F}">
      <text>
        <r>
          <rPr>
            <sz val="9"/>
            <color indexed="81"/>
            <rFont val="Tahoma"/>
            <family val="2"/>
          </rPr>
          <t>Mettre le nom de la réponse</t>
        </r>
      </text>
    </comment>
    <comment ref="I58" authorId="0" shapeId="0" xr:uid="{038A74D6-45BE-4C35-97D7-764F5B2ED17A}">
      <text>
        <r>
          <rPr>
            <sz val="9"/>
            <color indexed="81"/>
            <rFont val="Tahoma"/>
            <family val="2"/>
          </rPr>
          <t>Risque de conclure à tort que l'action est significative</t>
        </r>
      </text>
    </comment>
    <comment ref="D59" authorId="0" shapeId="0" xr:uid="{668E1BB1-3367-4C87-BE43-D3B6861DF4E6}">
      <text>
        <r>
          <rPr>
            <sz val="9"/>
            <color indexed="81"/>
            <rFont val="Tahoma"/>
            <family val="2"/>
          </rPr>
          <t>Aide  Pulling
Mettre 'o' si vous retenez le facteur
Mettre 'n' si vous ne le retenez pas</t>
        </r>
      </text>
    </comment>
    <comment ref="N63" authorId="0" shapeId="0" xr:uid="{3D7ACD68-F89E-4BAD-B52F-FE87318AB7DC}">
      <text>
        <r>
          <rPr>
            <sz val="9"/>
            <color indexed="81"/>
            <rFont val="Tahoma"/>
            <family val="2"/>
          </rPr>
          <t>Mettre la valeur du facteur au niveau à prédire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 utilisateur satisfait de Microsoft Office</author>
  </authors>
  <commentList>
    <comment ref="C6" authorId="0" shapeId="0" xr:uid="{8767997A-0529-4056-862B-13247ED9ABE0}">
      <text>
        <r>
          <rPr>
            <sz val="9"/>
            <color indexed="81"/>
            <rFont val="Tahoma"/>
            <family val="2"/>
          </rPr>
          <t>Mettre le nom du facteur</t>
        </r>
      </text>
    </comment>
    <comment ref="C7" authorId="0" shapeId="0" xr:uid="{9CF3D7BD-1138-4D44-984B-6927FE40AD07}">
      <text>
        <r>
          <rPr>
            <sz val="9"/>
            <color indexed="81"/>
            <rFont val="Tahoma"/>
            <family val="2"/>
          </rPr>
          <t>Mettre la valeur du niveau 1
Littérale ou numérique</t>
        </r>
      </text>
    </comment>
    <comment ref="C8" authorId="0" shapeId="0" xr:uid="{95B5CB95-12F6-4A0F-8828-EA0443E928D5}">
      <text>
        <r>
          <rPr>
            <sz val="9"/>
            <color indexed="81"/>
            <rFont val="Tahoma"/>
            <family val="2"/>
          </rPr>
          <t>Mettre la valeur du niveau 2
Littérale ou numérique</t>
        </r>
      </text>
    </comment>
    <comment ref="D9" authorId="0" shapeId="0" xr:uid="{8BAB0E22-77E3-497D-8E3D-BC419AE86B71}">
      <text>
        <r>
          <rPr>
            <sz val="9"/>
            <color indexed="81"/>
            <rFont val="Tahoma"/>
            <family val="2"/>
          </rPr>
          <t>Si il y a interaction entre facteurs, mettre 'o'; sinon rien</t>
        </r>
      </text>
    </comment>
    <comment ref="K18" authorId="0" shapeId="0" xr:uid="{D1536B14-B784-4D2D-AE74-983A3662A22C}">
      <text>
        <r>
          <rPr>
            <sz val="9"/>
            <color indexed="81"/>
            <rFont val="Tahoma"/>
            <family val="2"/>
          </rPr>
          <t>Mettre le nom de la réponse</t>
        </r>
      </text>
    </comment>
    <comment ref="I58" authorId="0" shapeId="0" xr:uid="{5CBBA0A6-B716-48D1-BB0E-93740A6C4D1B}">
      <text>
        <r>
          <rPr>
            <sz val="9"/>
            <color indexed="81"/>
            <rFont val="Tahoma"/>
            <family val="2"/>
          </rPr>
          <t>Risque de conclure à tort que l'action est significative</t>
        </r>
      </text>
    </comment>
    <comment ref="D59" authorId="0" shapeId="0" xr:uid="{FA9E5BE0-94FB-4635-AC37-BE22D59279AC}">
      <text>
        <r>
          <rPr>
            <sz val="9"/>
            <color indexed="81"/>
            <rFont val="Tahoma"/>
            <family val="2"/>
          </rPr>
          <t>Aide  Pulling
Mettre 'o' si vous retenez le facteur
Mettre 'n' si vous ne le retenez pas</t>
        </r>
      </text>
    </comment>
    <comment ref="N63" authorId="0" shapeId="0" xr:uid="{7BAA0BD7-CB06-411B-A05D-E6155FA249E3}">
      <text>
        <r>
          <rPr>
            <sz val="9"/>
            <color indexed="81"/>
            <rFont val="Tahoma"/>
            <family val="2"/>
          </rPr>
          <t>Mettre la valeur du facteur au niveau à prédire</t>
        </r>
      </text>
    </comment>
  </commentList>
</comments>
</file>

<file path=xl/sharedStrings.xml><?xml version="1.0" encoding="utf-8"?>
<sst xmlns="http://schemas.openxmlformats.org/spreadsheetml/2006/main" count="327" uniqueCount="94">
  <si>
    <t>af</t>
  </si>
  <si>
    <t>Facteur</t>
  </si>
  <si>
    <t>Niveau 1</t>
  </si>
  <si>
    <t>Triangle des interactions</t>
  </si>
  <si>
    <t>Niveau 2</t>
  </si>
  <si>
    <t>Réponse=</t>
  </si>
  <si>
    <t>Mini :</t>
  </si>
  <si>
    <t>N°</t>
  </si>
  <si>
    <t>moy</t>
  </si>
  <si>
    <t>Rep1</t>
  </si>
  <si>
    <t>Rep2</t>
  </si>
  <si>
    <t>Rep3</t>
  </si>
  <si>
    <t>Rep4</t>
  </si>
  <si>
    <t>Rep5</t>
  </si>
  <si>
    <t>Maxi :</t>
  </si>
  <si>
    <t>Effets</t>
  </si>
  <si>
    <t>Nombre d'essais</t>
  </si>
  <si>
    <t>Analyse de la variance</t>
  </si>
  <si>
    <t>Prévision:</t>
  </si>
  <si>
    <t>Type de valeur:</t>
  </si>
  <si>
    <t>Retenu</t>
  </si>
  <si>
    <t>S²</t>
  </si>
  <si>
    <t>ddl</t>
  </si>
  <si>
    <t>V</t>
  </si>
  <si>
    <t>F calc</t>
  </si>
  <si>
    <t>Risque</t>
  </si>
  <si>
    <t>Signif</t>
  </si>
  <si>
    <t>% expliqué</t>
  </si>
  <si>
    <t>o</t>
  </si>
  <si>
    <t>Mini</t>
  </si>
  <si>
    <t>Maxi</t>
  </si>
  <si>
    <t>Valeur facteur</t>
  </si>
  <si>
    <t>Intéractions</t>
  </si>
  <si>
    <t>Résidus</t>
  </si>
  <si>
    <t>Total</t>
  </si>
  <si>
    <t>REPONSE :</t>
  </si>
  <si>
    <t>TABLEAU DES ALIAS</t>
  </si>
  <si>
    <t>Colonne</t>
  </si>
  <si>
    <t>Alias</t>
  </si>
  <si>
    <t>2/3</t>
  </si>
  <si>
    <t>4/5</t>
  </si>
  <si>
    <t>6/7</t>
  </si>
  <si>
    <t>1/3</t>
  </si>
  <si>
    <t>4/6</t>
  </si>
  <si>
    <t>5/7</t>
  </si>
  <si>
    <t>1/2</t>
  </si>
  <si>
    <t>4/7</t>
  </si>
  <si>
    <t>5/6</t>
  </si>
  <si>
    <t>2/6</t>
  </si>
  <si>
    <t>1/5</t>
  </si>
  <si>
    <t>3/7</t>
  </si>
  <si>
    <t>2/7</t>
  </si>
  <si>
    <t>1/4</t>
  </si>
  <si>
    <t>3/6</t>
  </si>
  <si>
    <t>Interaction</t>
  </si>
  <si>
    <t>2/4</t>
  </si>
  <si>
    <t>1/7</t>
  </si>
  <si>
    <t>3/5</t>
  </si>
  <si>
    <t>2/5</t>
  </si>
  <si>
    <t>1/6</t>
  </si>
  <si>
    <t>3/4</t>
  </si>
  <si>
    <t>Réponse</t>
  </si>
  <si>
    <t>Calculée</t>
  </si>
  <si>
    <t>Ratio S/N</t>
  </si>
  <si>
    <t>Ecartype</t>
  </si>
  <si>
    <t>dB</t>
  </si>
  <si>
    <t>Effet sur la mesure</t>
  </si>
  <si>
    <t>Effet sur le Ratio S/N</t>
  </si>
  <si>
    <t>Moyenne de la mesure</t>
  </si>
  <si>
    <t>Moyenne du Ratio S/N</t>
  </si>
  <si>
    <t>Calculé</t>
  </si>
  <si>
    <t>Ecart type</t>
  </si>
  <si>
    <t>Dispersion</t>
  </si>
  <si>
    <t>VARIANCE</t>
  </si>
  <si>
    <t>Moyenne de la VAR</t>
  </si>
  <si>
    <t>Effet sur la VAR</t>
  </si>
  <si>
    <t>C</t>
  </si>
  <si>
    <t>D</t>
  </si>
  <si>
    <t>B</t>
  </si>
  <si>
    <t>A</t>
  </si>
  <si>
    <t>E</t>
  </si>
  <si>
    <t>F</t>
  </si>
  <si>
    <t>G</t>
  </si>
  <si>
    <t>Reconstruction du plan complet à partir du modèle proposé :</t>
  </si>
  <si>
    <t>Centrée réduite</t>
  </si>
  <si>
    <t>Larg fuselage</t>
  </si>
  <si>
    <t>Long fuselage</t>
  </si>
  <si>
    <t>inclinaison pales</t>
  </si>
  <si>
    <t>Larg pales</t>
  </si>
  <si>
    <t>Long pales</t>
  </si>
  <si>
    <t>Nbre trombones</t>
  </si>
  <si>
    <t>Durée du vol</t>
  </si>
  <si>
    <t>Déviation horizontale</t>
  </si>
  <si>
    <t>Durée du vol en seconde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</si>
</sst>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&quot;F&quot;_-;\-* #,##0.00\ &quot;F&quot;_-;_-* &quot;-&quot;??\ &quot;F&quot;_-;_-@_-"/>
    <numFmt numFmtId="165" formatCode="0.000"/>
    <numFmt numFmtId="166" formatCode="0.0%"/>
    <numFmt numFmtId="167" formatCode="0.00000%"/>
    <numFmt numFmtId="168" formatCode="0.0000"/>
    <numFmt numFmtId="169" formatCode="0.00000"/>
    <numFmt numFmtId="170" formatCode="0.00000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20"/>
      <color indexed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16"/>
      <name val="Arial"/>
      <family val="2"/>
    </font>
    <font>
      <sz val="9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0" fontId="1" fillId="0" borderId="0"/>
    <xf numFmtId="0" fontId="4" fillId="0" borderId="0"/>
    <xf numFmtId="164" fontId="4" fillId="0" borderId="0" applyFont="0" applyFill="0" applyBorder="0" applyAlignment="0" applyProtection="0"/>
    <xf numFmtId="0" fontId="1" fillId="0" borderId="0"/>
    <xf numFmtId="9" fontId="4" fillId="0" borderId="0" applyFont="0" applyFill="0" applyBorder="0" applyAlignment="0" applyProtection="0"/>
  </cellStyleXfs>
  <cellXfs count="138">
    <xf numFmtId="0" fontId="0" fillId="0" borderId="0" xfId="0"/>
    <xf numFmtId="0" fontId="7" fillId="3" borderId="0" xfId="0" applyFont="1" applyFill="1" applyAlignment="1">
      <alignment horizontal="centerContinuous"/>
    </xf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7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3" fillId="4" borderId="1" xfId="0" applyFont="1" applyFill="1" applyBorder="1"/>
    <xf numFmtId="0" fontId="0" fillId="6" borderId="1" xfId="0" applyFill="1" applyBorder="1"/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9" fontId="0" fillId="5" borderId="1" xfId="1" applyNumberFormat="1" applyFont="1" applyFill="1" applyBorder="1" applyAlignment="1" applyProtection="1">
      <alignment horizontal="center"/>
    </xf>
    <xf numFmtId="0" fontId="0" fillId="4" borderId="13" xfId="0" applyFill="1" applyBorder="1" applyAlignment="1">
      <alignment horizontal="center"/>
    </xf>
    <xf numFmtId="0" fontId="0" fillId="5" borderId="13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4" borderId="14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0" fillId="4" borderId="15" xfId="0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165" fontId="0" fillId="4" borderId="1" xfId="0" applyNumberFormat="1" applyFill="1" applyBorder="1" applyAlignment="1">
      <alignment horizontal="center"/>
    </xf>
    <xf numFmtId="0" fontId="3" fillId="2" borderId="2" xfId="0" applyFont="1" applyFill="1" applyBorder="1" applyAlignment="1" applyProtection="1">
      <alignment horizontal="left"/>
      <protection locked="0"/>
    </xf>
    <xf numFmtId="0" fontId="7" fillId="3" borderId="0" xfId="0" applyFont="1" applyFill="1" applyAlignment="1">
      <alignment horizontal="centerContinuous" vertical="center"/>
    </xf>
    <xf numFmtId="0" fontId="8" fillId="3" borderId="0" xfId="0" applyFont="1" applyFill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7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5" fontId="0" fillId="0" borderId="0" xfId="0" applyNumberFormat="1"/>
    <xf numFmtId="0" fontId="3" fillId="0" borderId="0" xfId="0" applyFont="1"/>
    <xf numFmtId="0" fontId="0" fillId="0" borderId="16" xfId="0" applyBorder="1"/>
    <xf numFmtId="0" fontId="0" fillId="0" borderId="17" xfId="0" applyBorder="1"/>
    <xf numFmtId="0" fontId="5" fillId="0" borderId="17" xfId="0" applyFont="1" applyBorder="1"/>
    <xf numFmtId="0" fontId="0" fillId="0" borderId="18" xfId="0" applyBorder="1"/>
    <xf numFmtId="0" fontId="7" fillId="3" borderId="19" xfId="0" applyFont="1" applyFill="1" applyBorder="1" applyAlignment="1">
      <alignment horizontal="centerContinuous" vertical="center"/>
    </xf>
    <xf numFmtId="0" fontId="7" fillId="3" borderId="20" xfId="0" applyFont="1" applyFill="1" applyBorder="1" applyAlignment="1">
      <alignment horizontal="centerContinuous"/>
    </xf>
    <xf numFmtId="0" fontId="0" fillId="0" borderId="19" xfId="0" applyBorder="1"/>
    <xf numFmtId="0" fontId="0" fillId="0" borderId="20" xfId="0" applyBorder="1"/>
    <xf numFmtId="0" fontId="0" fillId="0" borderId="19" xfId="0" applyBorder="1" applyAlignment="1">
      <alignment horizontal="lef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7" fillId="0" borderId="19" xfId="0" applyFont="1" applyBorder="1" applyAlignment="1">
      <alignment vertical="center"/>
    </xf>
    <xf numFmtId="0" fontId="7" fillId="0" borderId="20" xfId="0" applyFont="1" applyBorder="1"/>
    <xf numFmtId="0" fontId="3" fillId="4" borderId="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0" xfId="0" applyFill="1" applyBorder="1"/>
    <xf numFmtId="0" fontId="0" fillId="4" borderId="12" xfId="0" applyFill="1" applyBorder="1"/>
    <xf numFmtId="0" fontId="0" fillId="5" borderId="3" xfId="0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9" borderId="1" xfId="0" applyFill="1" applyBorder="1"/>
    <xf numFmtId="2" fontId="0" fillId="10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0" fontId="0" fillId="0" borderId="19" xfId="0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0" xfId="0" applyBorder="1" applyAlignment="1">
      <alignment vertical="center" wrapText="1"/>
    </xf>
    <xf numFmtId="165" fontId="3" fillId="5" borderId="1" xfId="0" applyNumberFormat="1" applyFont="1" applyFill="1" applyBorder="1" applyAlignment="1">
      <alignment horizontal="center"/>
    </xf>
    <xf numFmtId="2" fontId="3" fillId="11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3" fillId="10" borderId="1" xfId="0" applyNumberFormat="1" applyFon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2" borderId="2" xfId="0" applyNumberForma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1" fontId="3" fillId="13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2" applyNumberFormat="1" applyFont="1" applyFill="1" applyBorder="1" applyAlignment="1" applyProtection="1">
      <alignment horizontal="center"/>
    </xf>
    <xf numFmtId="166" fontId="0" fillId="0" borderId="1" xfId="2" applyNumberFormat="1" applyFont="1" applyFill="1" applyBorder="1" applyAlignment="1" applyProtection="1">
      <alignment horizontal="center"/>
    </xf>
    <xf numFmtId="0" fontId="0" fillId="14" borderId="0" xfId="0" applyFill="1"/>
    <xf numFmtId="0" fontId="4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169" fontId="0" fillId="5" borderId="1" xfId="0" applyNumberFormat="1" applyFill="1" applyBorder="1" applyAlignment="1">
      <alignment horizontal="center"/>
    </xf>
    <xf numFmtId="170" fontId="0" fillId="5" borderId="1" xfId="0" applyNumberFormat="1" applyFill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168" fontId="0" fillId="7" borderId="1" xfId="0" applyNumberForma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/>
    <xf numFmtId="0" fontId="3" fillId="4" borderId="0" xfId="0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13" borderId="0" xfId="0" applyNumberFormat="1" applyFont="1" applyFill="1" applyAlignment="1">
      <alignment horizontal="center"/>
    </xf>
    <xf numFmtId="0" fontId="0" fillId="0" borderId="19" xfId="0" applyBorder="1" applyAlignment="1">
      <alignment wrapText="1"/>
    </xf>
    <xf numFmtId="0" fontId="3" fillId="4" borderId="2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2" borderId="2" xfId="0" applyFont="1" applyFill="1" applyBorder="1" applyAlignment="1" applyProtection="1">
      <alignment horizontal="left" wrapText="1"/>
      <protection locked="0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0" fontId="0" fillId="0" borderId="20" xfId="0" applyBorder="1" applyAlignment="1">
      <alignment wrapText="1"/>
    </xf>
    <xf numFmtId="0" fontId="0" fillId="0" borderId="0" xfId="0" applyAlignment="1">
      <alignment wrapText="1"/>
    </xf>
  </cellXfs>
  <cellStyles count="9">
    <cellStyle name="Currency" xfId="1" builtinId="4"/>
    <cellStyle name="Monétaire 2" xfId="6" xr:uid="{00000000-0005-0000-0000-000001000000}"/>
    <cellStyle name="Normal" xfId="0" builtinId="0"/>
    <cellStyle name="Normal 2" xfId="3" xr:uid="{00000000-0005-0000-0000-000003000000}"/>
    <cellStyle name="Normal 2 2" xfId="7" xr:uid="{00000000-0005-0000-0000-000004000000}"/>
    <cellStyle name="Normal 3" xfId="5" xr:uid="{00000000-0005-0000-0000-000005000000}"/>
    <cellStyle name="Normal 4" xfId="4" xr:uid="{00000000-0005-0000-0000-000006000000}"/>
    <cellStyle name="Percent" xfId="2" builtinId="5"/>
    <cellStyle name="Pourcentage 2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6FFFF"/>
      <color rgb="FF66CCFF"/>
      <color rgb="FF00CCFF"/>
      <color rgb="FF00FF00"/>
      <color rgb="FFFF7C80"/>
      <color rgb="FFFF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B-485E-9BE4-7B2D91CEF65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B-485E-9BE4-7B2D91CEF65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76B-485E-9BE4-7B2D91CEF65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76B-485E-9BE4-7B2D91CEF65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76B-485E-9BE4-7B2D91CEF65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76B-485E-9BE4-7B2D91CEF65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76B-485E-9BE4-7B2D91CEF65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76B-485E-9BE4-7B2D91CEF65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76B-485E-9BE4-7B2D91CEF65C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6B-485E-9BE4-7B2D91CEF65C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6B-485E-9BE4-7B2D91CEF65C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6B-485E-9BE4-7B2D91CEF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98816"/>
        <c:axId val="87712896"/>
      </c:barChart>
      <c:catAx>
        <c:axId val="876988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77128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877128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87698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(fract)'!$Z$83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(fract)'!$AA$83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(fract)'!$Z$84:$Z$85</c:f>
            </c:multiLvlStrRef>
          </c:cat>
          <c:val>
            <c:numRef>
              <c:f>'Durée (fract)'!$AA$84:$AA$85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E-4F58-9AC3-687D30FF9B70}"/>
            </c:ext>
          </c:extLst>
        </c:ser>
        <c:ser>
          <c:idx val="1"/>
          <c:order val="1"/>
          <c:tx>
            <c:strRef>
              <c:f>'Durée (fract)'!$AB$83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(fract)'!$Z$84:$Z$85</c:f>
            </c:multiLvlStrRef>
          </c:cat>
          <c:val>
            <c:numRef>
              <c:f>'Durée (fract)'!$AB$84:$AB$85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E-4F58-9AC3-687D30FF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12448"/>
        <c:axId val="89914368"/>
      </c:lineChart>
      <c:catAx>
        <c:axId val="89912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9143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9143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91244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351135185761544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1-4E59-BC3D-FCB0A700EE5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1-4E59-BC3D-FCB0A700EE5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2D1-4E59-BC3D-FCB0A700EE5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2D1-4E59-BC3D-FCB0A700EE5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2D1-4E59-BC3D-FCB0A700EE5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2D1-4E59-BC3D-FCB0A700EE5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2D1-4E59-BC3D-FCB0A700EE5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2D1-4E59-BC3D-FCB0A700EE5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2D1-4E59-BC3D-FCB0A700EE5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D1-4E59-BC3D-FCB0A700EE5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D1-4E59-BC3D-FCB0A700EE5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D1-4E59-BC3D-FCB0A700E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98816"/>
        <c:axId val="87712896"/>
      </c:barChart>
      <c:catAx>
        <c:axId val="876988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77128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877128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87698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[1]L8!$B$33:$B$52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C-4B49-8CBB-72885D50C39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[1]L8!$C$33:$C$52</c:f>
              <c:numCache>
                <c:formatCode>General</c:formatCode>
                <c:ptCount val="20"/>
                <c:pt idx="0">
                  <c:v>11.5</c:v>
                </c:pt>
                <c:pt idx="1">
                  <c:v>23</c:v>
                </c:pt>
                <c:pt idx="3">
                  <c:v>17.899999999999999</c:v>
                </c:pt>
                <c:pt idx="4">
                  <c:v>16.600000000000001</c:v>
                </c:pt>
                <c:pt idx="6">
                  <c:v>8.5</c:v>
                </c:pt>
                <c:pt idx="7">
                  <c:v>26</c:v>
                </c:pt>
                <c:pt idx="9">
                  <c:v>18.249999999999996</c:v>
                </c:pt>
                <c:pt idx="10">
                  <c:v>16.25</c:v>
                </c:pt>
                <c:pt idx="12">
                  <c:v>12.05</c:v>
                </c:pt>
                <c:pt idx="13">
                  <c:v>22.449999999999996</c:v>
                </c:pt>
                <c:pt idx="15">
                  <c:v>26.449999999999996</c:v>
                </c:pt>
                <c:pt idx="16">
                  <c:v>8.0500000000000007</c:v>
                </c:pt>
                <c:pt idx="18">
                  <c:v>14.25</c:v>
                </c:pt>
                <c:pt idx="19">
                  <c:v>20.25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C-4B49-8CBB-72885D50C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37472"/>
        <c:axId val="87739392"/>
      </c:lineChart>
      <c:catAx>
        <c:axId val="87737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7739392"/>
        <c:crossesAt val="47.75"/>
        <c:auto val="0"/>
        <c:lblAlgn val="ctr"/>
        <c:lblOffset val="100"/>
        <c:tickLblSkip val="20"/>
        <c:tickMarkSkip val="1"/>
        <c:noMultiLvlLbl val="0"/>
      </c:catAx>
      <c:valAx>
        <c:axId val="87739392"/>
        <c:scaling>
          <c:orientation val="minMax"/>
          <c:max val="61"/>
          <c:min val="47.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77374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565635003283374E-2"/>
          <c:y val="0.10352812285438354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spPr>
            <a:ln w="5715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 w="57150">
                <a:solidFill>
                  <a:srgbClr val="000080"/>
                </a:solidFill>
                <a:prstDash val="solid"/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81-4259-B236-B9376EA22FA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81-4259-B236-B9376EA22FA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981-4259-B236-B9376EA22FA9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981-4259-B236-B9376EA22FA9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981-4259-B236-B9376EA22FA9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981-4259-B236-B9376EA22FA9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981-4259-B236-B9376EA22F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[1]L8!$B$33:$B$52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fuselage1</c:v>
                </c:pt>
                <c:pt idx="7">
                  <c:v>Larg fuselage2</c:v>
                </c:pt>
                <c:pt idx="9">
                  <c:v>Long fuselage1</c:v>
                </c:pt>
                <c:pt idx="10">
                  <c:v>Long fuselage2</c:v>
                </c:pt>
                <c:pt idx="12">
                  <c:v>inclinaison pales1</c:v>
                </c:pt>
                <c:pt idx="13">
                  <c:v>inclinaison pales2</c:v>
                </c:pt>
                <c:pt idx="15">
                  <c:v>Nbre trombones1</c:v>
                </c:pt>
                <c:pt idx="16">
                  <c:v>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'Déviation (fract)'!$C$33:$C$52</c:f>
              <c:numCache>
                <c:formatCode>0.00</c:formatCode>
                <c:ptCount val="20"/>
                <c:pt idx="0">
                  <c:v>4.835</c:v>
                </c:pt>
                <c:pt idx="1">
                  <c:v>17.975000000000001</c:v>
                </c:pt>
                <c:pt idx="3">
                  <c:v>15.744999999999999</c:v>
                </c:pt>
                <c:pt idx="4">
                  <c:v>7.0649999999999995</c:v>
                </c:pt>
                <c:pt idx="6">
                  <c:v>5.0500000000000007</c:v>
                </c:pt>
                <c:pt idx="7">
                  <c:v>17.759999999999998</c:v>
                </c:pt>
                <c:pt idx="9">
                  <c:v>18.484999999999999</c:v>
                </c:pt>
                <c:pt idx="10">
                  <c:v>4.3250000000000002</c:v>
                </c:pt>
                <c:pt idx="12">
                  <c:v>4.49</c:v>
                </c:pt>
                <c:pt idx="13">
                  <c:v>18.319999999999997</c:v>
                </c:pt>
                <c:pt idx="15">
                  <c:v>17.52</c:v>
                </c:pt>
                <c:pt idx="16">
                  <c:v>5.29</c:v>
                </c:pt>
                <c:pt idx="18">
                  <c:v>6.4049999999999994</c:v>
                </c:pt>
                <c:pt idx="19">
                  <c:v>16.404999999999998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981-4259-B236-B9376EA22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17536"/>
        <c:axId val="89619072"/>
      </c:lineChart>
      <c:catAx>
        <c:axId val="896175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190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9619072"/>
        <c:scaling>
          <c:orientation val="minMax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17536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[1]L8!$W$79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930232558139542"/>
          <c:w val="0.86885477729779659"/>
          <c:h val="0.61627906976744173"/>
        </c:manualLayout>
      </c:layout>
      <c:lineChart>
        <c:grouping val="standard"/>
        <c:varyColors val="0"/>
        <c:ser>
          <c:idx val="0"/>
          <c:order val="0"/>
          <c:tx>
            <c:strRef>
              <c:f>[1]L8!$W$80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[1]L8!$X$79:$Y$79</c:f>
              <c:strCache>
                <c:ptCount val="2"/>
              </c:strCache>
            </c:strRef>
          </c:cat>
          <c:val>
            <c:numRef>
              <c:f>[1]L8!$X$80:$Y$80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C-4BA9-942C-C2891B576901}"/>
            </c:ext>
          </c:extLst>
        </c:ser>
        <c:ser>
          <c:idx val="1"/>
          <c:order val="1"/>
          <c:tx>
            <c:strRef>
              <c:f>[1]L8!$W$81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[1]L8!$X$79:$Y$79</c:f>
              <c:strCache>
                <c:ptCount val="2"/>
              </c:strCache>
            </c:strRef>
          </c:cat>
          <c:val>
            <c:numRef>
              <c:f>[1]L8!$X$81:$Y$81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C-4BA9-942C-C2891B576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51840"/>
        <c:axId val="89658112"/>
      </c:lineChart>
      <c:catAx>
        <c:axId val="8965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581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65811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5184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[1]L8!$Z$79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953488372093026"/>
          <c:w val="0.86885477729779659"/>
          <c:h val="0.69476744186046502"/>
        </c:manualLayout>
      </c:layout>
      <c:lineChart>
        <c:grouping val="standard"/>
        <c:varyColors val="0"/>
        <c:ser>
          <c:idx val="0"/>
          <c:order val="0"/>
          <c:tx>
            <c:strRef>
              <c:f>[1]L8!$AA$79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[1]L8!$Z$80:$Z$81</c:f>
              <c:strCache>
                <c:ptCount val="2"/>
              </c:strCache>
            </c:strRef>
          </c:cat>
          <c:val>
            <c:numRef>
              <c:f>[1]L8!$AA$80:$AA$81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5-4BA8-AC22-1574B14600DD}"/>
            </c:ext>
          </c:extLst>
        </c:ser>
        <c:ser>
          <c:idx val="1"/>
          <c:order val="1"/>
          <c:tx>
            <c:strRef>
              <c:f>[1]L8!$AB$79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[1]L8!$Z$80:$Z$81</c:f>
              <c:strCache>
                <c:ptCount val="2"/>
              </c:strCache>
            </c:strRef>
          </c:cat>
          <c:val>
            <c:numRef>
              <c:f>[1]L8!$AB$80:$AB$81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5-4BA8-AC22-1574B1460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70784"/>
        <c:axId val="89672704"/>
      </c:lineChart>
      <c:catAx>
        <c:axId val="89670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72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6727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707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901761819506226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[1]L8!$AC$79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639534883720936"/>
          <c:w val="0.86885477729779659"/>
          <c:h val="0.63372093023255838"/>
        </c:manualLayout>
      </c:layout>
      <c:lineChart>
        <c:grouping val="standard"/>
        <c:varyColors val="0"/>
        <c:ser>
          <c:idx val="0"/>
          <c:order val="0"/>
          <c:tx>
            <c:strRef>
              <c:f>[1]L8!$AD$79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[1]L8!$AC$80:$AC$81</c:f>
              <c:strCache>
                <c:ptCount val="2"/>
              </c:strCache>
            </c:strRef>
          </c:cat>
          <c:val>
            <c:numRef>
              <c:f>[1]L8!$AD$80:$AD$81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7-4965-95D8-C46B54997988}"/>
            </c:ext>
          </c:extLst>
        </c:ser>
        <c:ser>
          <c:idx val="1"/>
          <c:order val="1"/>
          <c:tx>
            <c:strRef>
              <c:f>[1]L8!$AE$79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[1]L8!$AC$80:$AC$81</c:f>
              <c:strCache>
                <c:ptCount val="2"/>
              </c:strCache>
            </c:strRef>
          </c:cat>
          <c:val>
            <c:numRef>
              <c:f>[1]L8!$AE$80:$AE$81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7-4965-95D8-C46B54997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18784"/>
        <c:axId val="89720704"/>
      </c:lineChart>
      <c:catAx>
        <c:axId val="89718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20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7207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187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97674418604646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[1]L8!$AF$79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[1]L8!$AG$79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[1]L8!$AF$80:$AF$81</c:f>
              <c:strCache>
                <c:ptCount val="2"/>
              </c:strCache>
            </c:strRef>
          </c:cat>
          <c:val>
            <c:numRef>
              <c:f>[1]L8!$AG$80:$AG$81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5-4839-BCBF-9B040635AF26}"/>
            </c:ext>
          </c:extLst>
        </c:ser>
        <c:ser>
          <c:idx val="1"/>
          <c:order val="1"/>
          <c:tx>
            <c:strRef>
              <c:f>[1]L8!$AH$79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[1]L8!$AF$80:$AF$81</c:f>
              <c:strCache>
                <c:ptCount val="2"/>
              </c:strCache>
            </c:strRef>
          </c:cat>
          <c:val>
            <c:numRef>
              <c:f>[1]L8!$AH$80:$AH$81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5-4839-BCBF-9B040635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45664"/>
        <c:axId val="89747840"/>
      </c:lineChart>
      <c:catAx>
        <c:axId val="897456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478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7478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4566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[1]L8!$AI$79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[1]L8!$AJ$79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[1]L8!$AI$80:$AI$81</c:f>
              <c:strCache>
                <c:ptCount val="2"/>
              </c:strCache>
            </c:strRef>
          </c:cat>
          <c:val>
            <c:numRef>
              <c:f>[1]L8!$AJ$80:$AJ$81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C-4E4B-9660-2CE9C9FA0488}"/>
            </c:ext>
          </c:extLst>
        </c:ser>
        <c:ser>
          <c:idx val="1"/>
          <c:order val="1"/>
          <c:tx>
            <c:strRef>
              <c:f>[1]L8!$AK$79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[1]L8!$AI$80:$AI$81</c:f>
              <c:strCache>
                <c:ptCount val="2"/>
              </c:strCache>
            </c:strRef>
          </c:cat>
          <c:val>
            <c:numRef>
              <c:f>[1]L8!$AK$80:$AK$81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C-4E4B-9660-2CE9C9FA0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76512"/>
        <c:axId val="89778432"/>
      </c:lineChart>
      <c:catAx>
        <c:axId val="897765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784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77843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7651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21436137711697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[1]L8!$AL$79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697674418604654"/>
          <c:w val="0.86885477729779659"/>
          <c:h val="0.67732558139534882"/>
        </c:manualLayout>
      </c:layout>
      <c:lineChart>
        <c:grouping val="standard"/>
        <c:varyColors val="0"/>
        <c:ser>
          <c:idx val="0"/>
          <c:order val="0"/>
          <c:tx>
            <c:strRef>
              <c:f>[1]L8!$AM$79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[1]L8!$AL$80:$AL$81</c:f>
              <c:strCache>
                <c:ptCount val="2"/>
              </c:strCache>
            </c:strRef>
          </c:cat>
          <c:val>
            <c:numRef>
              <c:f>[1]L8!$AM$80:$AM$81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B-4AE6-A282-A7DEB7C537C5}"/>
            </c:ext>
          </c:extLst>
        </c:ser>
        <c:ser>
          <c:idx val="1"/>
          <c:order val="1"/>
          <c:tx>
            <c:strRef>
              <c:f>[1]L8!$AN$79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[1]L8!$AL$80:$AL$81</c:f>
              <c:strCache>
                <c:ptCount val="2"/>
              </c:strCache>
            </c:strRef>
          </c:cat>
          <c:val>
            <c:numRef>
              <c:f>[1]L8!$AN$80:$AN$81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B-4AE6-A282-A7DEB7C53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73024"/>
        <c:axId val="89875200"/>
      </c:lineChart>
      <c:catAx>
        <c:axId val="898730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8752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87520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8730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[1]L8!$Z$83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[1]L8!$AA$83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[1]L8!$Z$84:$Z$85</c:f>
              <c:strCache>
                <c:ptCount val="2"/>
              </c:strCache>
            </c:strRef>
          </c:cat>
          <c:val>
            <c:numRef>
              <c:f>[1]L8!$AA$84:$AA$85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C-4F1E-8387-925135B5C488}"/>
            </c:ext>
          </c:extLst>
        </c:ser>
        <c:ser>
          <c:idx val="1"/>
          <c:order val="1"/>
          <c:tx>
            <c:strRef>
              <c:f>[1]L8!$AB$83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[1]L8!$Z$84:$Z$85</c:f>
              <c:strCache>
                <c:ptCount val="2"/>
              </c:strCache>
            </c:strRef>
          </c:cat>
          <c:val>
            <c:numRef>
              <c:f>[1]L8!$AB$84:$AB$85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C-4F1E-8387-925135B5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12448"/>
        <c:axId val="89914368"/>
      </c:lineChart>
      <c:catAx>
        <c:axId val="89912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9143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9143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91244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351135185761544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(fract)'!$AC$83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2807082668250489"/>
          <c:w val="0.86885477729779659"/>
          <c:h val="0.6052648861958787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(fract)'!$AD$83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(fract)'!$AC$84:$AC$85</c:f>
            </c:multiLvlStrRef>
          </c:cat>
          <c:val>
            <c:numRef>
              <c:f>'Durée (fract)'!$AD$84:$AD$85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8-43E0-87FC-5D0A03F3CEA3}"/>
            </c:ext>
          </c:extLst>
        </c:ser>
        <c:ser>
          <c:idx val="1"/>
          <c:order val="1"/>
          <c:tx>
            <c:strRef>
              <c:f>'Durée (fract)'!$AE$83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(fract)'!$AC$84:$AC$85</c:f>
            </c:multiLvlStrRef>
          </c:cat>
          <c:val>
            <c:numRef>
              <c:f>'Durée (fract)'!$AE$84:$AE$85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8-43E0-87FC-5D0A03F3C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57952"/>
        <c:axId val="91784704"/>
      </c:lineChart>
      <c:catAx>
        <c:axId val="917579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784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7847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75795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[1]L8!$AC$83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2807082668250489"/>
          <c:w val="0.86885477729779659"/>
          <c:h val="0.6052648861958787"/>
        </c:manualLayout>
      </c:layout>
      <c:lineChart>
        <c:grouping val="standard"/>
        <c:varyColors val="0"/>
        <c:ser>
          <c:idx val="0"/>
          <c:order val="0"/>
          <c:tx>
            <c:strRef>
              <c:f>[1]L8!$AD$83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[1]L8!$AC$84:$AC$85</c:f>
              <c:strCache>
                <c:ptCount val="2"/>
              </c:strCache>
            </c:strRef>
          </c:cat>
          <c:val>
            <c:numRef>
              <c:f>[1]L8!$AD$84:$AD$85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F-4DFF-9E8D-628186A6B932}"/>
            </c:ext>
          </c:extLst>
        </c:ser>
        <c:ser>
          <c:idx val="1"/>
          <c:order val="1"/>
          <c:tx>
            <c:strRef>
              <c:f>[1]L8!$AE$83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[1]L8!$AC$84:$AC$85</c:f>
              <c:strCache>
                <c:ptCount val="2"/>
              </c:strCache>
            </c:strRef>
          </c:cat>
          <c:val>
            <c:numRef>
              <c:f>[1]L8!$AE$84:$AE$85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F-4DFF-9E8D-628186A6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57952"/>
        <c:axId val="91784704"/>
      </c:lineChart>
      <c:catAx>
        <c:axId val="917579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784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7847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75795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[1]L8!$AF$83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327526291593259"/>
          <c:w val="0.86885477729779659"/>
          <c:h val="0.69298443491991879"/>
        </c:manualLayout>
      </c:layout>
      <c:lineChart>
        <c:grouping val="standard"/>
        <c:varyColors val="0"/>
        <c:ser>
          <c:idx val="0"/>
          <c:order val="0"/>
          <c:tx>
            <c:strRef>
              <c:f>[1]L8!$AG$83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[1]L8!$AF$84:$AF$85</c:f>
              <c:strCache>
                <c:ptCount val="2"/>
              </c:strCache>
            </c:strRef>
          </c:cat>
          <c:val>
            <c:numRef>
              <c:f>[1]L8!$AG$84:$AG$85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8-4516-8E60-3BC20E6FC37C}"/>
            </c:ext>
          </c:extLst>
        </c:ser>
        <c:ser>
          <c:idx val="1"/>
          <c:order val="1"/>
          <c:tx>
            <c:strRef>
              <c:f>[1]L8!$AH$83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[1]L8!$AF$84:$AF$85</c:f>
              <c:strCache>
                <c:ptCount val="2"/>
              </c:strCache>
            </c:strRef>
          </c:cat>
          <c:val>
            <c:numRef>
              <c:f>[1]L8!$AH$84:$AH$85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8-4516-8E60-3BC20E6FC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01472"/>
        <c:axId val="91885568"/>
      </c:lineChart>
      <c:catAx>
        <c:axId val="918014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8855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8855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80147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[1]L8!$AI$83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35127795846455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[1]L8!$AJ$83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[1]L8!$AI$84:$AI$85</c:f>
              <c:strCache>
                <c:ptCount val="2"/>
              </c:strCache>
            </c:strRef>
          </c:cat>
          <c:val>
            <c:numRef>
              <c:f>[1]L8!$AJ$84:$AJ$85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0-40A7-982D-96BEEDF8C87B}"/>
            </c:ext>
          </c:extLst>
        </c:ser>
        <c:ser>
          <c:idx val="1"/>
          <c:order val="1"/>
          <c:tx>
            <c:strRef>
              <c:f>[1]L8!$AK$83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[1]L8!$AI$84:$AI$85</c:f>
              <c:strCache>
                <c:ptCount val="2"/>
              </c:strCache>
            </c:strRef>
          </c:cat>
          <c:val>
            <c:numRef>
              <c:f>[1]L8!$AK$84:$AK$85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0-40A7-982D-96BEEDF8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06432"/>
        <c:axId val="91908352"/>
      </c:lineChart>
      <c:catAx>
        <c:axId val="919064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083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9083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064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[1]L8!$AL$83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883240483485476"/>
        </c:manualLayout>
      </c:layout>
      <c:lineChart>
        <c:grouping val="standard"/>
        <c:varyColors val="0"/>
        <c:ser>
          <c:idx val="0"/>
          <c:order val="0"/>
          <c:tx>
            <c:strRef>
              <c:f>[1]L8!$AM$83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[1]L8!$AL$84:$AL$85</c:f>
              <c:strCache>
                <c:ptCount val="2"/>
              </c:strCache>
            </c:strRef>
          </c:cat>
          <c:val>
            <c:numRef>
              <c:f>[1]L8!$AM$84:$AM$85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3-4C59-8AEA-D56AEFA01B10}"/>
            </c:ext>
          </c:extLst>
        </c:ser>
        <c:ser>
          <c:idx val="1"/>
          <c:order val="1"/>
          <c:tx>
            <c:strRef>
              <c:f>[1]L8!$AN$83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[1]L8!$AL$84:$AL$85</c:f>
              <c:strCache>
                <c:ptCount val="2"/>
              </c:strCache>
            </c:strRef>
          </c:cat>
          <c:val>
            <c:numRef>
              <c:f>[1]L8!$AN$84:$AN$85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3-4C59-8AEA-D56AEFA01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25120"/>
        <c:axId val="91939584"/>
      </c:lineChart>
      <c:catAx>
        <c:axId val="919251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395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93958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2512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[1]L8!$AC$87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[1]L8!$AD$87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[1]L8!$AC$88:$AC$89</c:f>
              <c:strCache>
                <c:ptCount val="2"/>
              </c:strCache>
            </c:strRef>
          </c:cat>
          <c:val>
            <c:numRef>
              <c:f>[1]L8!$AD$88:$AD$89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2-4067-93E6-136253CED1E4}"/>
            </c:ext>
          </c:extLst>
        </c:ser>
        <c:ser>
          <c:idx val="1"/>
          <c:order val="1"/>
          <c:tx>
            <c:strRef>
              <c:f>[1]L8!$AE$87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[1]L8!$AC$88:$AC$89</c:f>
              <c:strCache>
                <c:ptCount val="2"/>
              </c:strCache>
            </c:strRef>
          </c:cat>
          <c:val>
            <c:numRef>
              <c:f>[1]L8!$AE$88:$AE$89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2-4067-93E6-136253CED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72736"/>
        <c:axId val="91974656"/>
      </c:lineChart>
      <c:catAx>
        <c:axId val="919727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746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97465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72736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[1]L8!$AF$87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[1]L8!$AG$87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[1]L8!$AF$88:$AF$89</c:f>
              <c:strCache>
                <c:ptCount val="2"/>
              </c:strCache>
            </c:strRef>
          </c:cat>
          <c:val>
            <c:numRef>
              <c:f>[1]L8!$AG$88:$AG$89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7-4696-A54E-DDCAAD288CCE}"/>
            </c:ext>
          </c:extLst>
        </c:ser>
        <c:ser>
          <c:idx val="1"/>
          <c:order val="1"/>
          <c:tx>
            <c:strRef>
              <c:f>[1]L8!$AH$87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[1]L8!$AF$88:$AF$89</c:f>
              <c:strCache>
                <c:ptCount val="2"/>
              </c:strCache>
            </c:strRef>
          </c:cat>
          <c:val>
            <c:numRef>
              <c:f>[1]L8!$AH$88:$AH$89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7-4696-A54E-DDCAAD288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91424"/>
        <c:axId val="96474624"/>
      </c:lineChart>
      <c:catAx>
        <c:axId val="91991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4746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47462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914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[1]L8!$AI$87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249266862170091"/>
          <c:w val="0.86885477729779659"/>
          <c:h val="0.68035190615835772"/>
        </c:manualLayout>
      </c:layout>
      <c:lineChart>
        <c:grouping val="standard"/>
        <c:varyColors val="0"/>
        <c:ser>
          <c:idx val="0"/>
          <c:order val="0"/>
          <c:tx>
            <c:strRef>
              <c:f>[1]L8!$AJ$87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[1]L8!$AI$88:$AI$89</c:f>
              <c:strCache>
                <c:ptCount val="2"/>
              </c:strCache>
            </c:strRef>
          </c:cat>
          <c:val>
            <c:numRef>
              <c:f>[1]L8!$AJ$88:$AJ$89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486E-9160-65550623E469}"/>
            </c:ext>
          </c:extLst>
        </c:ser>
        <c:ser>
          <c:idx val="1"/>
          <c:order val="1"/>
          <c:tx>
            <c:strRef>
              <c:f>[1]L8!$AK$87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[1]L8!$AI$88:$AI$89</c:f>
              <c:strCache>
                <c:ptCount val="2"/>
              </c:strCache>
            </c:strRef>
          </c:cat>
          <c:val>
            <c:numRef>
              <c:f>[1]L8!$AK$88:$AK$89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0-486E-9160-65550623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99968"/>
        <c:axId val="96506240"/>
      </c:lineChart>
      <c:catAx>
        <c:axId val="964999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5062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5062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49996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[1]L8!$AL$87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[1]L8!$AM$87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[1]L8!$AL$88:$AL$89</c:f>
              <c:strCache>
                <c:ptCount val="2"/>
              </c:strCache>
            </c:strRef>
          </c:cat>
          <c:val>
            <c:numRef>
              <c:f>[1]L8!$AM$88:$AM$89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3-4D04-B026-547F17CE56BE}"/>
            </c:ext>
          </c:extLst>
        </c:ser>
        <c:ser>
          <c:idx val="1"/>
          <c:order val="1"/>
          <c:tx>
            <c:strRef>
              <c:f>[1]L8!$AN$87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[1]L8!$AL$88:$AL$89</c:f>
              <c:strCache>
                <c:ptCount val="2"/>
              </c:strCache>
            </c:strRef>
          </c:cat>
          <c:val>
            <c:numRef>
              <c:f>[1]L8!$AN$88:$AN$89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3-4D04-B026-547F17CE5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7104"/>
        <c:axId val="96529024"/>
      </c:lineChart>
      <c:catAx>
        <c:axId val="965271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5290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52902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52710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[1]L8!$AF$91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[1]L8!$AG$91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[1]L8!$AF$92:$AF$93</c:f>
              <c:strCache>
                <c:ptCount val="2"/>
              </c:strCache>
            </c:strRef>
          </c:cat>
          <c:val>
            <c:numRef>
              <c:f>[1]L8!$AG$92:$AG$93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D-4701-92CE-DE8932F8E81A}"/>
            </c:ext>
          </c:extLst>
        </c:ser>
        <c:ser>
          <c:idx val="1"/>
          <c:order val="1"/>
          <c:tx>
            <c:strRef>
              <c:f>[1]L8!$AH$91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[1]L8!$AF$92:$AF$93</c:f>
              <c:strCache>
                <c:ptCount val="2"/>
              </c:strCache>
            </c:strRef>
          </c:cat>
          <c:val>
            <c:numRef>
              <c:f>[1]L8!$AH$92:$AH$93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D-4701-92CE-DE8932F8E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15424"/>
        <c:axId val="96629888"/>
      </c:lineChart>
      <c:catAx>
        <c:axId val="96615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298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62988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154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[1]L8!$AI$91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472801017417256"/>
          <c:w val="0.86885477729779659"/>
          <c:h val="0.68481471169680075"/>
        </c:manualLayout>
      </c:layout>
      <c:lineChart>
        <c:grouping val="standard"/>
        <c:varyColors val="0"/>
        <c:ser>
          <c:idx val="0"/>
          <c:order val="0"/>
          <c:tx>
            <c:strRef>
              <c:f>[1]L8!$AJ$91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[1]L8!$AI$92:$AI$93</c:f>
              <c:strCache>
                <c:ptCount val="2"/>
              </c:strCache>
            </c:strRef>
          </c:cat>
          <c:val>
            <c:numRef>
              <c:f>[1]L8!$AJ$92:$AJ$93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6-473D-AFBE-609473FE2EE4}"/>
            </c:ext>
          </c:extLst>
        </c:ser>
        <c:ser>
          <c:idx val="1"/>
          <c:order val="1"/>
          <c:tx>
            <c:strRef>
              <c:f>[1]L8!$AK$91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[1]L8!$AI$92:$AI$93</c:f>
              <c:strCache>
                <c:ptCount val="2"/>
              </c:strCache>
            </c:strRef>
          </c:cat>
          <c:val>
            <c:numRef>
              <c:f>[1]L8!$AK$92:$AK$93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6-473D-AFBE-609473FE2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63424"/>
        <c:axId val="96669696"/>
      </c:lineChart>
      <c:catAx>
        <c:axId val="96663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69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66969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634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(fract)'!$AF$83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327526291593259"/>
          <c:w val="0.86885477729779659"/>
          <c:h val="0.69298443491991879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(fract)'!$AG$83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(fract)'!$AF$84:$AF$85</c:f>
            </c:multiLvlStrRef>
          </c:cat>
          <c:val>
            <c:numRef>
              <c:f>'Durée (fract)'!$AG$84:$AG$85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4-486A-BADC-FC937EF2E688}"/>
            </c:ext>
          </c:extLst>
        </c:ser>
        <c:ser>
          <c:idx val="1"/>
          <c:order val="1"/>
          <c:tx>
            <c:strRef>
              <c:f>'Durée (fract)'!$AH$83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(fract)'!$AF$84:$AF$85</c:f>
            </c:multiLvlStrRef>
          </c:cat>
          <c:val>
            <c:numRef>
              <c:f>'Durée (fract)'!$AH$84:$AH$85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4-486A-BADC-FC937EF2E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01472"/>
        <c:axId val="91885568"/>
      </c:lineChart>
      <c:catAx>
        <c:axId val="918014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8855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8855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80147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[1]L8!$AL$91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[1]L8!$AM$91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[1]L8!$AL$92:$AL$93</c:f>
              <c:strCache>
                <c:ptCount val="2"/>
              </c:strCache>
            </c:strRef>
          </c:cat>
          <c:val>
            <c:numRef>
              <c:f>[1]L8!$AM$92:$AM$93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A-4801-8BF0-71B2C2FAAAF2}"/>
            </c:ext>
          </c:extLst>
        </c:ser>
        <c:ser>
          <c:idx val="1"/>
          <c:order val="1"/>
          <c:tx>
            <c:strRef>
              <c:f>[1]L8!$AN$91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[1]L8!$AL$92:$AL$93</c:f>
              <c:strCache>
                <c:ptCount val="2"/>
              </c:strCache>
            </c:strRef>
          </c:cat>
          <c:val>
            <c:numRef>
              <c:f>[1]L8!$AN$92:$AN$93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A-4801-8BF0-71B2C2FAA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02848"/>
        <c:axId val="96704768"/>
      </c:lineChart>
      <c:catAx>
        <c:axId val="967028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7047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7047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70284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[1]L8!$AI$95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753659289117103"/>
          <c:w val="0.86885477729779659"/>
          <c:h val="0.70724837876013014"/>
        </c:manualLayout>
      </c:layout>
      <c:lineChart>
        <c:grouping val="standard"/>
        <c:varyColors val="0"/>
        <c:ser>
          <c:idx val="0"/>
          <c:order val="0"/>
          <c:tx>
            <c:strRef>
              <c:f>[1]L8!$AJ$95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[1]L8!$AI$96:$AI$97</c:f>
              <c:strCache>
                <c:ptCount val="2"/>
              </c:strCache>
            </c:strRef>
          </c:cat>
          <c:val>
            <c:numRef>
              <c:f>[1]L8!$AJ$96:$AJ$97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0-4A55-8B06-FBA991B3A72B}"/>
            </c:ext>
          </c:extLst>
        </c:ser>
        <c:ser>
          <c:idx val="1"/>
          <c:order val="1"/>
          <c:tx>
            <c:strRef>
              <c:f>[1]L8!$AK$95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[1]L8!$AI$96:$AI$97</c:f>
              <c:strCache>
                <c:ptCount val="2"/>
              </c:strCache>
            </c:strRef>
          </c:cat>
          <c:val>
            <c:numRef>
              <c:f>[1]L8!$AK$96:$AK$97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0-4A55-8B06-FBA991B3A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25632"/>
        <c:axId val="96801536"/>
      </c:lineChart>
      <c:catAx>
        <c:axId val="967256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015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0153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7256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435038595557604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[1]L8!$AL$95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072506432592939"/>
          <c:w val="0.86885477729779659"/>
          <c:h val="0.68116134839602682"/>
        </c:manualLayout>
      </c:layout>
      <c:lineChart>
        <c:grouping val="standard"/>
        <c:varyColors val="0"/>
        <c:ser>
          <c:idx val="0"/>
          <c:order val="0"/>
          <c:tx>
            <c:strRef>
              <c:f>[1]L8!$AM$95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[1]L8!$AL$96:$AL$97</c:f>
              <c:strCache>
                <c:ptCount val="2"/>
              </c:strCache>
            </c:strRef>
          </c:cat>
          <c:val>
            <c:numRef>
              <c:f>[1]L8!$AM$96:$AM$97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8-4E26-9C31-B44F8E160C6C}"/>
            </c:ext>
          </c:extLst>
        </c:ser>
        <c:ser>
          <c:idx val="1"/>
          <c:order val="1"/>
          <c:tx>
            <c:strRef>
              <c:f>[1]L8!$AN$95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[1]L8!$AL$96:$AL$97</c:f>
              <c:strCache>
                <c:ptCount val="2"/>
              </c:strCache>
            </c:strRef>
          </c:cat>
          <c:val>
            <c:numRef>
              <c:f>[1]L8!$AN$96:$AN$97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8-4E26-9C31-B44F8E1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34688"/>
        <c:axId val="96836608"/>
      </c:lineChart>
      <c:catAx>
        <c:axId val="968346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366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3660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3468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145182702623139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[1]L8!$AL$99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2941683337665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941195055714413"/>
          <c:w val="0.86885477729779659"/>
          <c:h val="0.69705982459188975"/>
        </c:manualLayout>
      </c:layout>
      <c:lineChart>
        <c:grouping val="standard"/>
        <c:varyColors val="0"/>
        <c:ser>
          <c:idx val="0"/>
          <c:order val="0"/>
          <c:tx>
            <c:strRef>
              <c:f>[1]L8!$AM$99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[1]L8!$AL$100:$AL$101</c:f>
              <c:strCache>
                <c:ptCount val="2"/>
              </c:strCache>
            </c:strRef>
          </c:cat>
          <c:val>
            <c:numRef>
              <c:f>[1]L8!$AM$100:$AM$101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2-474B-96B9-4FF5B7AA1317}"/>
            </c:ext>
          </c:extLst>
        </c:ser>
        <c:ser>
          <c:idx val="1"/>
          <c:order val="1"/>
          <c:tx>
            <c:strRef>
              <c:f>[1]L8!$AN$99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[1]L8!$AL$100:$AL$101</c:f>
              <c:strCache>
                <c:ptCount val="2"/>
              </c:strCache>
            </c:strRef>
          </c:cat>
          <c:val>
            <c:numRef>
              <c:f>[1]L8!$AN$100:$AN$101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2-474B-96B9-4FF5B7AA1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65280"/>
        <c:axId val="96871552"/>
      </c:lineChart>
      <c:catAx>
        <c:axId val="968652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715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715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6528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355312274035903"/>
          <c:y val="0.90294247320552801"/>
          <c:w val="0.20491857955136711"/>
          <c:h val="6.17647945840915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D-48A5-93A4-E717B8F2DF9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D-48A5-93A4-E717B8F2DF9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17D-48A5-93A4-E717B8F2DF9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17D-48A5-93A4-E717B8F2DF9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17D-48A5-93A4-E717B8F2DF9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17D-48A5-93A4-E717B8F2DF9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17D-48A5-93A4-E717B8F2DF9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17D-48A5-93A4-E717B8F2DF9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17D-48A5-93A4-E717B8F2DF9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7D-48A5-93A4-E717B8F2DF9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7D-48A5-93A4-E717B8F2DF9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7D-48A5-93A4-E717B8F2D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21472"/>
        <c:axId val="96923008"/>
      </c:barChart>
      <c:catAx>
        <c:axId val="96921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9230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69230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6921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0-4708-9B59-77E97D8B29E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0-4708-9B59-77E97D8B29E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0D0-4708-9B59-77E97D8B29E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0D0-4708-9B59-77E97D8B29E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0D0-4708-9B59-77E97D8B29E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0D0-4708-9B59-77E97D8B29E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0D0-4708-9B59-77E97D8B29E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0D0-4708-9B59-77E97D8B29E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0D0-4708-9B59-77E97D8B29E3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D0-4708-9B59-77E97D8B29E3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D0-4708-9B59-77E97D8B29E3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D0-4708-9B59-77E97D8B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062912"/>
        <c:axId val="97064448"/>
      </c:barChart>
      <c:catAx>
        <c:axId val="97062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0644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0644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062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457-B9A8-4F7DBC2CF18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457-B9A8-4F7DBC2CF18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717-4457-B9A8-4F7DBC2CF18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717-4457-B9A8-4F7DBC2CF18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717-4457-B9A8-4F7DBC2CF18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717-4457-B9A8-4F7DBC2CF18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717-4457-B9A8-4F7DBC2CF18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717-4457-B9A8-4F7DBC2CF18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717-4457-B9A8-4F7DBC2CF18E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17-4457-B9A8-4F7DBC2CF18E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17-4457-B9A8-4F7DBC2CF18E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17-4457-B9A8-4F7DBC2CF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26272"/>
        <c:axId val="97127808"/>
      </c:barChart>
      <c:catAx>
        <c:axId val="971262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1278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1278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12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A13-9EA6-160990599A4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B-4A13-9EA6-160990599A4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B3B-4A13-9EA6-160990599A4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B3B-4A13-9EA6-160990599A4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B3B-4A13-9EA6-160990599A4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B3B-4A13-9EA6-160990599A4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B3B-4A13-9EA6-160990599A4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B3B-4A13-9EA6-160990599A4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B3B-4A13-9EA6-160990599A4E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3B-4A13-9EA6-160990599A4E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3B-4A13-9EA6-160990599A4E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3B-4A13-9EA6-160990599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9888"/>
        <c:axId val="97191424"/>
      </c:barChart>
      <c:catAx>
        <c:axId val="97189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1914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1914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189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2-4612-9D10-66094A65120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2-4612-9D10-66094A65120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692-4612-9D10-66094A65120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692-4612-9D10-66094A65120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692-4612-9D10-66094A65120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692-4612-9D10-66094A65120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692-4612-9D10-66094A65120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692-4612-9D10-66094A65120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692-4612-9D10-66094A651208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92-4612-9D10-66094A651208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92-4612-9D10-66094A651208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92-4612-9D10-66094A651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49152"/>
        <c:axId val="97250688"/>
      </c:barChart>
      <c:catAx>
        <c:axId val="972491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2506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2506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24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D-472E-9A46-3A8E16A190F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D-472E-9A46-3A8E16A190F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84D-472E-9A46-3A8E16A190F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84D-472E-9A46-3A8E16A190F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84D-472E-9A46-3A8E16A190F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84D-472E-9A46-3A8E16A190F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84D-472E-9A46-3A8E16A190F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84D-472E-9A46-3A8E16A190F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84D-472E-9A46-3A8E16A190F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4D-472E-9A46-3A8E16A190F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4D-472E-9A46-3A8E16A190F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4D-472E-9A46-3A8E16A1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78304"/>
        <c:axId val="97379840"/>
      </c:barChart>
      <c:catAx>
        <c:axId val="97378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3798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3798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378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(fract)'!$AI$83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35127795846455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(fract)'!$AJ$83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(fract)'!$AI$84:$AI$85</c:f>
            </c:multiLvlStrRef>
          </c:cat>
          <c:val>
            <c:numRef>
              <c:f>'Durée (fract)'!$AJ$84:$AJ$85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6-4C48-B8EB-90107FE4669B}"/>
            </c:ext>
          </c:extLst>
        </c:ser>
        <c:ser>
          <c:idx val="1"/>
          <c:order val="1"/>
          <c:tx>
            <c:strRef>
              <c:f>'Durée (fract)'!$AK$83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(fract)'!$AI$84:$AI$85</c:f>
            </c:multiLvlStrRef>
          </c:cat>
          <c:val>
            <c:numRef>
              <c:f>'Durée (fract)'!$AK$84:$AK$85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6-4C48-B8EB-90107FE46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06432"/>
        <c:axId val="91908352"/>
      </c:lineChart>
      <c:catAx>
        <c:axId val="919064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083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9083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064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4-432F-95BE-582976D7F88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4-432F-95BE-582976D7F88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9C4-432F-95BE-582976D7F88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9C4-432F-95BE-582976D7F88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9C4-432F-95BE-582976D7F88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9C4-432F-95BE-582976D7F88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9C4-432F-95BE-582976D7F88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9C4-432F-95BE-582976D7F88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9C4-432F-95BE-582976D7F880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C4-432F-95BE-582976D7F880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C4-432F-95BE-582976D7F880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C4-432F-95BE-582976D7F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45760"/>
        <c:axId val="97447296"/>
      </c:barChart>
      <c:catAx>
        <c:axId val="974457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4472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4472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445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A-483D-BA58-E38CDB54890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A-483D-BA58-E38CDB54890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3BA-483D-BA58-E38CDB54890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3BA-483D-BA58-E38CDB54890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3BA-483D-BA58-E38CDB54890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3BA-483D-BA58-E38CDB54890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3BA-483D-BA58-E38CDB54890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3BA-483D-BA58-E38CDB54890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3BA-483D-BA58-E38CDB548908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BA-483D-BA58-E38CDB548908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BA-483D-BA58-E38CDB548908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BA-483D-BA58-E38CDB54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74912"/>
        <c:axId val="97576448"/>
      </c:barChart>
      <c:catAx>
        <c:axId val="97574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5764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5764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574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1-4EC2-B91B-C7BE6D95466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1-4EC2-B91B-C7BE6D95466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321-4EC2-B91B-C7BE6D95466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321-4EC2-B91B-C7BE6D95466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321-4EC2-B91B-C7BE6D95466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321-4EC2-B91B-C7BE6D95466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321-4EC2-B91B-C7BE6D95466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321-4EC2-B91B-C7BE6D95466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321-4EC2-B91B-C7BE6D95466B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21-4EC2-B91B-C7BE6D95466B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21-4EC2-B91B-C7BE6D95466B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21-4EC2-B91B-C7BE6D954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25984"/>
        <c:axId val="97627520"/>
      </c:barChart>
      <c:catAx>
        <c:axId val="976259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6275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62752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625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5-4073-85CB-58C1BAEFA07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5-4073-85CB-58C1BAEFA07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6F5-4073-85CB-58C1BAEFA07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6F5-4073-85CB-58C1BAEFA07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6F5-4073-85CB-58C1BAEFA07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6F5-4073-85CB-58C1BAEFA07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6F5-4073-85CB-58C1BAEFA07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6F5-4073-85CB-58C1BAEFA07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6F5-4073-85CB-58C1BAEFA07B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F5-4073-85CB-58C1BAEFA07B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F5-4073-85CB-58C1BAEFA07B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F5-4073-85CB-58C1BAEFA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75616"/>
        <c:axId val="97777152"/>
      </c:barChart>
      <c:catAx>
        <c:axId val="97775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7771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7771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775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9-468D-8C45-876CA805E3E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9-468D-8C45-876CA805E3E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3A9-468D-8C45-876CA805E3E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3A9-468D-8C45-876CA805E3E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3A9-468D-8C45-876CA805E3E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3A9-468D-8C45-876CA805E3E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3A9-468D-8C45-876CA805E3E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3A9-468D-8C45-876CA805E3E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3A9-468D-8C45-876CA805E3E9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A9-468D-8C45-876CA805E3E9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A9-468D-8C45-876CA805E3E9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A9-468D-8C45-876CA805E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34880"/>
        <c:axId val="97836416"/>
      </c:barChart>
      <c:catAx>
        <c:axId val="97834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8364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8364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834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A-4A0C-980D-5C928D2E1B3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A-4A0C-980D-5C928D2E1B3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FCA-4A0C-980D-5C928D2E1B3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FCA-4A0C-980D-5C928D2E1B3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FCA-4A0C-980D-5C928D2E1B3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FCA-4A0C-980D-5C928D2E1B3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FCA-4A0C-980D-5C928D2E1B3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FCA-4A0C-980D-5C928D2E1B3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FCA-4A0C-980D-5C928D2E1B36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CA-4A0C-980D-5C928D2E1B36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CA-4A0C-980D-5C928D2E1B36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CA-4A0C-980D-5C928D2E1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90688"/>
        <c:axId val="97892224"/>
      </c:barChart>
      <c:catAx>
        <c:axId val="97890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8922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8922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890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E-409C-AD59-1075A0237A6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E-409C-AD59-1075A0237A6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76E-409C-AD59-1075A0237A6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76E-409C-AD59-1075A0237A6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76E-409C-AD59-1075A0237A6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76E-409C-AD59-1075A0237A6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76E-409C-AD59-1075A0237A6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76E-409C-AD59-1075A0237A6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76E-409C-AD59-1075A0237A6F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6E-409C-AD59-1075A0237A6F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6E-409C-AD59-1075A0237A6F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6E-409C-AD59-1075A0237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52256"/>
        <c:axId val="99153792"/>
      </c:barChart>
      <c:catAx>
        <c:axId val="99152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1537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1537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152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7-4748-8527-0752E196F04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7-4748-8527-0752E196F04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367-4748-8527-0752E196F04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367-4748-8527-0752E196F04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367-4748-8527-0752E196F04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367-4748-8527-0752E196F04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367-4748-8527-0752E196F04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367-4748-8527-0752E196F04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367-4748-8527-0752E196F04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67-4748-8527-0752E196F04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67-4748-8527-0752E196F04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67-4748-8527-0752E196F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76352"/>
        <c:axId val="99082240"/>
      </c:barChart>
      <c:catAx>
        <c:axId val="99076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0822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0822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076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1-4BFC-9DB6-D50AABEC7CA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1-4BFC-9DB6-D50AABEC7CA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ED1-4BFC-9DB6-D50AABEC7CA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ED1-4BFC-9DB6-D50AABEC7CA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ED1-4BFC-9DB6-D50AABEC7CA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ED1-4BFC-9DB6-D50AABEC7CA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ED1-4BFC-9DB6-D50AABEC7CA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ED1-4BFC-9DB6-D50AABEC7CA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ED1-4BFC-9DB6-D50AABEC7CAD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D1-4BFC-9DB6-D50AABEC7CAD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D1-4BFC-9DB6-D50AABEC7CAD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D1-4BFC-9DB6-D50AABEC7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01408"/>
        <c:axId val="99202944"/>
      </c:barChart>
      <c:catAx>
        <c:axId val="99201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2029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2029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201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C-4DAA-9FDF-FFC5CF382CE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C-4DAA-9FDF-FFC5CF382CE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A1C-4DAA-9FDF-FFC5CF382CE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A1C-4DAA-9FDF-FFC5CF382CE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A1C-4DAA-9FDF-FFC5CF382CE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A1C-4DAA-9FDF-FFC5CF382CE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A1C-4DAA-9FDF-FFC5CF382CE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A1C-4DAA-9FDF-FFC5CF382CE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A1C-4DAA-9FDF-FFC5CF382CE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1C-4DAA-9FDF-FFC5CF382CE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A1C-4DAA-9FDF-FFC5CF382CE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A1C-4DAA-9FDF-FFC5CF382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30304"/>
        <c:axId val="99336192"/>
      </c:barChart>
      <c:catAx>
        <c:axId val="99330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3361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3361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330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(fract)'!$AL$83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883240483485476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(fract)'!$AM$83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(fract)'!$AL$84:$AL$85</c:f>
            </c:multiLvlStrRef>
          </c:cat>
          <c:val>
            <c:numRef>
              <c:f>'Durée (fract)'!$AM$84:$AM$85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7-453C-A27C-1883772B424B}"/>
            </c:ext>
          </c:extLst>
        </c:ser>
        <c:ser>
          <c:idx val="1"/>
          <c:order val="1"/>
          <c:tx>
            <c:strRef>
              <c:f>'Durée (fract)'!$AN$83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(fract)'!$AL$84:$AL$85</c:f>
            </c:multiLvlStrRef>
          </c:cat>
          <c:val>
            <c:numRef>
              <c:f>'Durée (fract)'!$AN$84:$AN$85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7-453C-A27C-1883772B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25120"/>
        <c:axId val="91939584"/>
      </c:lineChart>
      <c:catAx>
        <c:axId val="919251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395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93958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2512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1-44A9-9C8A-CFD51E82171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1-44A9-9C8A-CFD51E82171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8E1-44A9-9C8A-CFD51E82171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8E1-44A9-9C8A-CFD51E82171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8E1-44A9-9C8A-CFD51E82171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8E1-44A9-9C8A-CFD51E82171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8E1-44A9-9C8A-CFD51E82171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8E1-44A9-9C8A-CFD51E82171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8E1-44A9-9C8A-CFD51E821710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E1-44A9-9C8A-CFD51E821710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E1-44A9-9C8A-CFD51E821710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E1-44A9-9C8A-CFD51E821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06208"/>
        <c:axId val="99407744"/>
      </c:barChart>
      <c:catAx>
        <c:axId val="994062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077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077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06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5-4FA1-B6E7-753704DAD59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5-4FA1-B6E7-753704DAD59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115-4FA1-B6E7-753704DAD59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115-4FA1-B6E7-753704DAD59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115-4FA1-B6E7-753704DAD59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115-4FA1-B6E7-753704DAD59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115-4FA1-B6E7-753704DAD59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115-4FA1-B6E7-753704DAD59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115-4FA1-B6E7-753704DAD591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5-4FA1-B6E7-753704DAD591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15-4FA1-B6E7-753704DAD591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15-4FA1-B6E7-753704DAD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61376"/>
        <c:axId val="99475456"/>
      </c:barChart>
      <c:catAx>
        <c:axId val="994613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7545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7545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61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D-412E-8A38-0B1D5D11DB2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D-412E-8A38-0B1D5D11DB2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84D-412E-8A38-0B1D5D11DB2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84D-412E-8A38-0B1D5D11DB2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84D-412E-8A38-0B1D5D11DB2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84D-412E-8A38-0B1D5D11DB2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84D-412E-8A38-0B1D5D11DB2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84D-412E-8A38-0B1D5D11DB2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84D-412E-8A38-0B1D5D11DB2E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4D-412E-8A38-0B1D5D11DB2E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4D-412E-8A38-0B1D5D11DB2E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4D-412E-8A38-0B1D5D11D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06912"/>
        <c:axId val="99608448"/>
      </c:barChart>
      <c:catAx>
        <c:axId val="99606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084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084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0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E-4E05-89E4-309F5E0A824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E-4E05-89E4-309F5E0A824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31E-4E05-89E4-309F5E0A824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31E-4E05-89E4-309F5E0A824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31E-4E05-89E4-309F5E0A824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31E-4E05-89E4-309F5E0A824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31E-4E05-89E4-309F5E0A824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31E-4E05-89E4-309F5E0A824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31E-4E05-89E4-309F5E0A8249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1E-4E05-89E4-309F5E0A8249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1E-4E05-89E4-309F5E0A8249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1E-4E05-89E4-309F5E0A8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78464"/>
        <c:axId val="99684352"/>
      </c:barChart>
      <c:catAx>
        <c:axId val="99678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843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843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7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5-40C7-BE48-D5DD95EF8C5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5-40C7-BE48-D5DD95EF8C5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145-40C7-BE48-D5DD95EF8C5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145-40C7-BE48-D5DD95EF8C5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145-40C7-BE48-D5DD95EF8C5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145-40C7-BE48-D5DD95EF8C5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145-40C7-BE48-D5DD95EF8C5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145-40C7-BE48-D5DD95EF8C5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145-40C7-BE48-D5DD95EF8C5D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45-40C7-BE48-D5DD95EF8C5D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45-40C7-BE48-D5DD95EF8C5D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45-40C7-BE48-D5DD95EF8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35808"/>
        <c:axId val="99749888"/>
      </c:barChart>
      <c:catAx>
        <c:axId val="99735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7498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7498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73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F-458F-A9D1-96BFB9A13A0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F-458F-A9D1-96BFB9A13A0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3BF-458F-A9D1-96BFB9A13A0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3BF-458F-A9D1-96BFB9A13A0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3BF-458F-A9D1-96BFB9A13A0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3BF-458F-A9D1-96BFB9A13A0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3BF-458F-A9D1-96BFB9A13A0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3BF-458F-A9D1-96BFB9A13A0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3BF-458F-A9D1-96BFB9A13A00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BF-458F-A9D1-96BFB9A13A00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BF-458F-A9D1-96BFB9A13A00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BF-458F-A9D1-96BFB9A13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80960"/>
        <c:axId val="99882496"/>
      </c:barChart>
      <c:catAx>
        <c:axId val="998809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8824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8824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880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0-410B-A140-86746A9567E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0-410B-A140-86746A9567E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AD0-410B-A140-86746A9567E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AD0-410B-A140-86746A9567E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AD0-410B-A140-86746A9567E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AD0-410B-A140-86746A9567E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AD0-410B-A140-86746A9567E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AD0-410B-A140-86746A9567E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AD0-410B-A140-86746A9567EB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D0-410B-A140-86746A9567EB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D0-410B-A140-86746A9567EB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D0-410B-A140-86746A956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36128"/>
        <c:axId val="99937664"/>
      </c:barChart>
      <c:catAx>
        <c:axId val="999361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9376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9376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936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0-457E-B91E-BD2EA18A372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0-457E-B91E-BD2EA18A372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FD0-457E-B91E-BD2EA18A372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FD0-457E-B91E-BD2EA18A372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FD0-457E-B91E-BD2EA18A372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FD0-457E-B91E-BD2EA18A372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FD0-457E-B91E-BD2EA18A372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FD0-457E-B91E-BD2EA18A372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FD0-457E-B91E-BD2EA18A3722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D0-457E-B91E-BD2EA18A3722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D0-457E-B91E-BD2EA18A3722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D0-457E-B91E-BD2EA18A3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81664"/>
        <c:axId val="100083200"/>
      </c:barChart>
      <c:catAx>
        <c:axId val="100081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0832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0832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081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C-46C0-A19C-AA2F43ECEEA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C-46C0-A19C-AA2F43ECEEA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C7C-46C0-A19C-AA2F43ECEEA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C7C-46C0-A19C-AA2F43ECEEA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C7C-46C0-A19C-AA2F43ECEEA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C7C-46C0-A19C-AA2F43ECEEA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C7C-46C0-A19C-AA2F43ECEEA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C7C-46C0-A19C-AA2F43ECEEA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C7C-46C0-A19C-AA2F43ECEEA6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7C-46C0-A19C-AA2F43ECEEA6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7C-46C0-A19C-AA2F43ECEEA6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7C-46C0-A19C-AA2F43ECE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40928"/>
        <c:axId val="100142464"/>
      </c:barChart>
      <c:catAx>
        <c:axId val="100140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1424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1424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140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6-4FAA-A25E-EB747597A59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6-4FAA-A25E-EB747597A59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C16-4FAA-A25E-EB747597A59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C16-4FAA-A25E-EB747597A59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C16-4FAA-A25E-EB747597A59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C16-4FAA-A25E-EB747597A59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C16-4FAA-A25E-EB747597A59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C16-4FAA-A25E-EB747597A59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C16-4FAA-A25E-EB747597A594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16-4FAA-A25E-EB747597A594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16-4FAA-A25E-EB747597A594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16-4FAA-A25E-EB747597A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12736"/>
        <c:axId val="100214272"/>
      </c:barChart>
      <c:catAx>
        <c:axId val="10021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2142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2142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212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(fract)'!$AC$87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(fract)'!$AD$87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(fract)'!$AC$88:$AC$89</c:f>
            </c:multiLvlStrRef>
          </c:cat>
          <c:val>
            <c:numRef>
              <c:f>'Durée (fract)'!$AD$88:$AD$89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F-44F3-8ACC-C62461ABAB27}"/>
            </c:ext>
          </c:extLst>
        </c:ser>
        <c:ser>
          <c:idx val="1"/>
          <c:order val="1"/>
          <c:tx>
            <c:strRef>
              <c:f>'Durée (fract)'!$AE$87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(fract)'!$AC$88:$AC$89</c:f>
            </c:multiLvlStrRef>
          </c:cat>
          <c:val>
            <c:numRef>
              <c:f>'Durée (fract)'!$AE$88:$AE$89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F-44F3-8ACC-C62461ABA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72736"/>
        <c:axId val="91974656"/>
      </c:lineChart>
      <c:catAx>
        <c:axId val="919727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746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97465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72736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7-49EF-B683-B441D49D6D4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7-49EF-B683-B441D49D6D4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5B7-49EF-B683-B441D49D6D4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5B7-49EF-B683-B441D49D6D4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5B7-49EF-B683-B441D49D6D4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5B7-49EF-B683-B441D49D6D4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5B7-49EF-B683-B441D49D6D4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5B7-49EF-B683-B441D49D6D4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5B7-49EF-B683-B441D49D6D4D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B7-49EF-B683-B441D49D6D4D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B7-49EF-B683-B441D49D6D4D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B7-49EF-B683-B441D49D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45728"/>
        <c:axId val="100347264"/>
      </c:barChart>
      <c:catAx>
        <c:axId val="1003457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3472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3472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345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B-47F9-AB35-A3EDE86174A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B-47F9-AB35-A3EDE86174A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6EB-47F9-AB35-A3EDE86174A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6EB-47F9-AB35-A3EDE86174A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6EB-47F9-AB35-A3EDE86174A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6EB-47F9-AB35-A3EDE86174A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6EB-47F9-AB35-A3EDE86174A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6EB-47F9-AB35-A3EDE86174A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6EB-47F9-AB35-A3EDE86174AD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EB-47F9-AB35-A3EDE86174AD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EB-47F9-AB35-A3EDE86174AD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EB-47F9-AB35-A3EDE8617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09344"/>
        <c:axId val="100410880"/>
      </c:barChart>
      <c:catAx>
        <c:axId val="100409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4108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4108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409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9-4F61-A9CA-7ECB75CD357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9-4F61-A9CA-7ECB75CD357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869-4F61-A9CA-7ECB75CD357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869-4F61-A9CA-7ECB75CD357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869-4F61-A9CA-7ECB75CD357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869-4F61-A9CA-7ECB75CD357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869-4F61-A9CA-7ECB75CD357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869-4F61-A9CA-7ECB75CD357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869-4F61-A9CA-7ECB75CD3574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69-4F61-A9CA-7ECB75CD3574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69-4F61-A9CA-7ECB75CD3574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69-4F61-A9CA-7ECB75CD3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89088"/>
        <c:axId val="100490624"/>
      </c:barChart>
      <c:catAx>
        <c:axId val="100489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4906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4906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489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8-4976-A03A-506258D7102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8-4976-A03A-506258D7102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CF8-4976-A03A-506258D7102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CF8-4976-A03A-506258D7102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CF8-4976-A03A-506258D7102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CF8-4976-A03A-506258D7102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CF8-4976-A03A-506258D7102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CF8-4976-A03A-506258D7102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CF8-4976-A03A-506258D71024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F8-4976-A03A-506258D71024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F8-4976-A03A-506258D71024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F8-4976-A03A-506258D71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630528"/>
        <c:axId val="100632064"/>
      </c:barChart>
      <c:catAx>
        <c:axId val="1006305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6320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6320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630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E-4A97-BEAA-07C0528D264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E-4A97-BEAA-07C0528D264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F3E-4A97-BEAA-07C0528D264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F3E-4A97-BEAA-07C0528D264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F3E-4A97-BEAA-07C0528D264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F3E-4A97-BEAA-07C0528D264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F3E-4A97-BEAA-07C0528D264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F3E-4A97-BEAA-07C0528D264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F3E-4A97-BEAA-07C0528D264D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3E-4A97-BEAA-07C0528D264D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3E-4A97-BEAA-07C0528D264D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3E-4A97-BEAA-07C0528D2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42464"/>
        <c:axId val="101744000"/>
      </c:barChart>
      <c:catAx>
        <c:axId val="101742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17440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17440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174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F-434F-A1C5-40857CF30F0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F-434F-A1C5-40857CF30F0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43F-434F-A1C5-40857CF30F0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43F-434F-A1C5-40857CF30F0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43F-434F-A1C5-40857CF30F0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43F-434F-A1C5-40857CF30F0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43F-434F-A1C5-40857CF30F0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43F-434F-A1C5-40857CF30F0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43F-434F-A1C5-40857CF30F05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3F-434F-A1C5-40857CF30F05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3F-434F-A1C5-40857CF30F05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3F-434F-A1C5-40857CF30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04096"/>
        <c:axId val="102405632"/>
      </c:barChart>
      <c:catAx>
        <c:axId val="1024040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056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056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04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1-48EF-B487-1F925036AF8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1-48EF-B487-1F925036AF8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A11-48EF-B487-1F925036AF8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A11-48EF-B487-1F925036AF8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A11-48EF-B487-1F925036AF8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A11-48EF-B487-1F925036AF8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A11-48EF-B487-1F925036AF8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A11-48EF-B487-1F925036AF8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A11-48EF-B487-1F925036AF83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11-48EF-B487-1F925036AF83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11-48EF-B487-1F925036AF83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11-48EF-B487-1F925036A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67456"/>
        <c:axId val="102468992"/>
      </c:barChart>
      <c:catAx>
        <c:axId val="102467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689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689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67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4-4FE4-9B59-6FB36DA7BE9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4-4FE4-9B59-6FB36DA7BE9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054-4FE4-9B59-6FB36DA7BE9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054-4FE4-9B59-6FB36DA7BE9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054-4FE4-9B59-6FB36DA7BE9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054-4FE4-9B59-6FB36DA7BE9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054-4FE4-9B59-6FB36DA7BE9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054-4FE4-9B59-6FB36DA7BE9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054-4FE4-9B59-6FB36DA7BE95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54-4FE4-9B59-6FB36DA7BE95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54-4FE4-9B59-6FB36DA7BE95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054-4FE4-9B59-6FB36DA7B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39264"/>
        <c:axId val="102540800"/>
      </c:barChart>
      <c:catAx>
        <c:axId val="102539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5408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5408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539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1-400F-80D7-4DC9237D349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1-400F-80D7-4DC9237D349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091-400F-80D7-4DC9237D349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091-400F-80D7-4DC9237D349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091-400F-80D7-4DC9237D349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091-400F-80D7-4DC9237D349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091-400F-80D7-4DC9237D349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091-400F-80D7-4DC9237D349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091-400F-80D7-4DC9237D3494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91-400F-80D7-4DC9237D3494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91-400F-80D7-4DC9237D3494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91-400F-80D7-4DC9237D3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860672"/>
        <c:axId val="102862208"/>
      </c:barChart>
      <c:catAx>
        <c:axId val="102860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8622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8622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860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D-4B95-B87E-0735BDE698C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D-4B95-B87E-0735BDE698C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72D-4B95-B87E-0735BDE698C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72D-4B95-B87E-0735BDE698C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72D-4B95-B87E-0735BDE698C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72D-4B95-B87E-0735BDE698C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72D-4B95-B87E-0735BDE698C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72D-4B95-B87E-0735BDE698C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72D-4B95-B87E-0735BDE698C3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2D-4B95-B87E-0735BDE698C3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2D-4B95-B87E-0735BDE698C3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2D-4B95-B87E-0735BDE69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33888"/>
        <c:axId val="103335424"/>
      </c:barChart>
      <c:catAx>
        <c:axId val="103333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3354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3354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333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(fract)'!$AF$87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(fract)'!$AG$87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(fract)'!$AF$88:$AF$89</c:f>
            </c:multiLvlStrRef>
          </c:cat>
          <c:val>
            <c:numRef>
              <c:f>'Durée (fract)'!$AG$88:$AG$89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7-4ACA-B35C-634DC61330C8}"/>
            </c:ext>
          </c:extLst>
        </c:ser>
        <c:ser>
          <c:idx val="1"/>
          <c:order val="1"/>
          <c:tx>
            <c:strRef>
              <c:f>'Durée (fract)'!$AH$87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(fract)'!$AF$88:$AF$89</c:f>
            </c:multiLvlStrRef>
          </c:cat>
          <c:val>
            <c:numRef>
              <c:f>'Durée (fract)'!$AH$88:$AH$89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7-4ACA-B35C-634DC6133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91424"/>
        <c:axId val="96474624"/>
      </c:lineChart>
      <c:catAx>
        <c:axId val="91991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4746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47462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914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F-4A8B-B6C9-C2EAE747577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F-4A8B-B6C9-C2EAE747577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48F-4A8B-B6C9-C2EAE747577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48F-4A8B-B6C9-C2EAE747577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48F-4A8B-B6C9-C2EAE747577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48F-4A8B-B6C9-C2EAE747577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48F-4A8B-B6C9-C2EAE747577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48F-4A8B-B6C9-C2EAE747577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48F-4A8B-B6C9-C2EAE747577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8F-4A8B-B6C9-C2EAE747577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8F-4A8B-B6C9-C2EAE747577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8F-4A8B-B6C9-C2EAE7475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3664"/>
        <c:axId val="103075200"/>
      </c:barChart>
      <c:catAx>
        <c:axId val="103073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0752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0752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073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8-4DE7-A561-F8559308BE0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8-4DE7-A561-F8559308BE0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ED8-4DE7-A561-F8559308BE0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ED8-4DE7-A561-F8559308BE0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ED8-4DE7-A561-F8559308BE0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ED8-4DE7-A561-F8559308BE0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ED8-4DE7-A561-F8559308BE0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ED8-4DE7-A561-F8559308BE0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ED8-4DE7-A561-F8559308BE0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D8-4DE7-A561-F8559308BE0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D8-4DE7-A561-F8559308BE0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D8-4DE7-A561-F8559308B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23296"/>
        <c:axId val="103224832"/>
      </c:barChart>
      <c:catAx>
        <c:axId val="103223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248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2248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223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4-42EA-9095-4236BC6B3F4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4-42EA-9095-4236BC6B3F4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7D4-42EA-9095-4236BC6B3F4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7D4-42EA-9095-4236BC6B3F4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7D4-42EA-9095-4236BC6B3F4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7D4-42EA-9095-4236BC6B3F4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7D4-42EA-9095-4236BC6B3F4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7D4-42EA-9095-4236BC6B3F4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7D4-42EA-9095-4236BC6B3F4B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D4-42EA-9095-4236BC6B3F4B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D4-42EA-9095-4236BC6B3F4B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D4-42EA-9095-4236BC6B3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78464"/>
        <c:axId val="103280000"/>
      </c:barChart>
      <c:catAx>
        <c:axId val="103278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800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2800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27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E-4C6B-B564-F399DF0AEAE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E-4C6B-B564-F399DF0AEAE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F1E-4C6B-B564-F399DF0AEAE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F1E-4C6B-B564-F399DF0AEAE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F1E-4C6B-B564-F399DF0AEAE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F1E-4C6B-B564-F399DF0AEAE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F1E-4C6B-B564-F399DF0AEAE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F1E-4C6B-B564-F399DF0AEAE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F1E-4C6B-B564-F399DF0AEAE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1E-4C6B-B564-F399DF0AEAE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C6B-B564-F399DF0AEAE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1E-4C6B-B564-F399DF0AE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1712"/>
        <c:axId val="103413248"/>
      </c:barChart>
      <c:catAx>
        <c:axId val="1034117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4132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4132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41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1-4461-9658-C2E22E93745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1-4461-9658-C2E22E93745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2B1-4461-9658-C2E22E93745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2B1-4461-9658-C2E22E93745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2B1-4461-9658-C2E22E93745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2B1-4461-9658-C2E22E93745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2B1-4461-9658-C2E22E93745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2B1-4461-9658-C2E22E93745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2B1-4461-9658-C2E22E937451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B1-4461-9658-C2E22E937451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B1-4461-9658-C2E22E937451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B1-4461-9658-C2E22E93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44704"/>
        <c:axId val="103546240"/>
      </c:barChart>
      <c:catAx>
        <c:axId val="103544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5462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5462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544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9-4A56-AD4A-FAB46875883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9-4A56-AD4A-FAB46875883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6D9-4A56-AD4A-FAB46875883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6D9-4A56-AD4A-FAB46875883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6D9-4A56-AD4A-FAB46875883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6D9-4A56-AD4A-FAB46875883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6D9-4A56-AD4A-FAB46875883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6D9-4A56-AD4A-FAB46875883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6D9-4A56-AD4A-FAB46875883E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9-4A56-AD4A-FAB46875883E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9-4A56-AD4A-FAB46875883E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9-4A56-AD4A-FAB468758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16512"/>
        <c:axId val="103618048"/>
      </c:barChart>
      <c:catAx>
        <c:axId val="103616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6180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6180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616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E-4662-9FE1-19D97C7BCFB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E-4662-9FE1-19D97C7BCFB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41E-4662-9FE1-19D97C7BCFB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41E-4662-9FE1-19D97C7BCFB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41E-4662-9FE1-19D97C7BCFB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41E-4662-9FE1-19D97C7BCFB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41E-4662-9FE1-19D97C7BCFB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41E-4662-9FE1-19D97C7BCFB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41E-4662-9FE1-19D97C7BCFB0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1E-4662-9FE1-19D97C7BCFB0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1E-4662-9FE1-19D97C7BCFB0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1E-4662-9FE1-19D97C7B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83968"/>
        <c:axId val="103685504"/>
      </c:barChart>
      <c:catAx>
        <c:axId val="1036839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6855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6855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683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F-4119-A0F9-EAAF8ED4BF7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F-4119-A0F9-EAAF8ED4BF7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66F-4119-A0F9-EAAF8ED4BF7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66F-4119-A0F9-EAAF8ED4BF7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66F-4119-A0F9-EAAF8ED4BF7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66F-4119-A0F9-EAAF8ED4BF7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66F-4119-A0F9-EAAF8ED4BF7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66F-4119-A0F9-EAAF8ED4BF7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66F-4119-A0F9-EAAF8ED4BF7D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6F-4119-A0F9-EAAF8ED4BF7D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6F-4119-A0F9-EAAF8ED4BF7D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6F-4119-A0F9-EAAF8ED4B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25408"/>
        <c:axId val="103826944"/>
      </c:barChart>
      <c:catAx>
        <c:axId val="103825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8269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8269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825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2-4737-AB11-FA7AD16B7D0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2-4737-AB11-FA7AD16B7D0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E62-4737-AB11-FA7AD16B7D0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E62-4737-AB11-FA7AD16B7D0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E62-4737-AB11-FA7AD16B7D0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E62-4737-AB11-FA7AD16B7D0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E62-4737-AB11-FA7AD16B7D0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E62-4737-AB11-FA7AD16B7D0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E62-4737-AB11-FA7AD16B7D07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62-4737-AB11-FA7AD16B7D07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62-4737-AB11-FA7AD16B7D07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62-4737-AB11-FA7AD16B7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80576"/>
        <c:axId val="103882112"/>
      </c:barChart>
      <c:catAx>
        <c:axId val="1038805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8821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8821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880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8-4F87-9A0E-7C7CA20364E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8-4F87-9A0E-7C7CA20364E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308-4F87-9A0E-7C7CA20364E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308-4F87-9A0E-7C7CA20364E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308-4F87-9A0E-7C7CA20364E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308-4F87-9A0E-7C7CA20364E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308-4F87-9A0E-7C7CA20364E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308-4F87-9A0E-7C7CA20364E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308-4F87-9A0E-7C7CA20364E9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08-4F87-9A0E-7C7CA20364E9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08-4F87-9A0E-7C7CA20364E9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08-4F87-9A0E-7C7CA2036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42496"/>
        <c:axId val="104044032"/>
      </c:barChart>
      <c:catAx>
        <c:axId val="1040424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0440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0440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042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(fract)'!$AI$87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249266862170091"/>
          <c:w val="0.86885477729779659"/>
          <c:h val="0.68035190615835772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(fract)'!$AJ$87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(fract)'!$AI$88:$AI$89</c:f>
            </c:multiLvlStrRef>
          </c:cat>
          <c:val>
            <c:numRef>
              <c:f>'Durée (fract)'!$AJ$88:$AJ$89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B-4CFB-ABE2-BC5A507C0FD1}"/>
            </c:ext>
          </c:extLst>
        </c:ser>
        <c:ser>
          <c:idx val="1"/>
          <c:order val="1"/>
          <c:tx>
            <c:strRef>
              <c:f>'Durée (fract)'!$AK$87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(fract)'!$AI$88:$AI$89</c:f>
            </c:multiLvlStrRef>
          </c:cat>
          <c:val>
            <c:numRef>
              <c:f>'Durée (fract)'!$AK$88:$AK$89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B-4CFB-ABE2-BC5A507C0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99968"/>
        <c:axId val="96506240"/>
      </c:lineChart>
      <c:catAx>
        <c:axId val="964999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5062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5062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49996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9-439D-AF53-EC7B4BB6126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9-439D-AF53-EC7B4BB6126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939-439D-AF53-EC7B4BB6126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939-439D-AF53-EC7B4BB6126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939-439D-AF53-EC7B4BB6126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939-439D-AF53-EC7B4BB6126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939-439D-AF53-EC7B4BB6126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939-439D-AF53-EC7B4BB6126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939-439D-AF53-EC7B4BB61260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39-439D-AF53-EC7B4BB61260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39-439D-AF53-EC7B4BB61260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39-439D-AF53-EC7B4BB6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05856"/>
        <c:axId val="104107392"/>
      </c:barChart>
      <c:catAx>
        <c:axId val="104105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1073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1073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10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9-416F-A700-AD66C1B96D7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9-416F-A700-AD66C1B96D7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909-416F-A700-AD66C1B96D7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909-416F-A700-AD66C1B96D7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909-416F-A700-AD66C1B96D7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909-416F-A700-AD66C1B96D7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909-416F-A700-AD66C1B96D7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909-416F-A700-AD66C1B96D7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909-416F-A700-AD66C1B96D71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09-416F-A700-AD66C1B96D71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09-416F-A700-AD66C1B96D71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909-416F-A700-AD66C1B96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73568"/>
        <c:axId val="104175104"/>
      </c:barChart>
      <c:catAx>
        <c:axId val="1041735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1751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1751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173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C-487D-9BF3-7E9534C948D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C-487D-9BF3-7E9534C948D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DAC-487D-9BF3-7E9534C948D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DAC-487D-9BF3-7E9534C948D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DAC-487D-9BF3-7E9534C948D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DAC-487D-9BF3-7E9534C948D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DAC-487D-9BF3-7E9534C948D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DAC-487D-9BF3-7E9534C948D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DAC-487D-9BF3-7E9534C948D6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AC-487D-9BF3-7E9534C948D6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AC-487D-9BF3-7E9534C948D6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AC-487D-9BF3-7E9534C94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98368"/>
        <c:axId val="104299904"/>
      </c:barChart>
      <c:catAx>
        <c:axId val="104298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2999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2999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298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B-4086-9C9F-318218B0903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B-4086-9C9F-318218B0903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4DB-4086-9C9F-318218B0903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4DB-4086-9C9F-318218B0903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4DB-4086-9C9F-318218B0903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4DB-4086-9C9F-318218B0903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4DB-4086-9C9F-318218B0903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4DB-4086-9C9F-318218B0903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4DB-4086-9C9F-318218B0903D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DB-4086-9C9F-318218B0903D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DB-4086-9C9F-318218B0903D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DB-4086-9C9F-318218B09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43904"/>
        <c:axId val="104445440"/>
      </c:barChart>
      <c:catAx>
        <c:axId val="104443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4454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4454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44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D-4EA0-A3D8-A10708FFFB9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D-4EA0-A3D8-A10708FFFB9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7BD-4EA0-A3D8-A10708FFFB9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7BD-4EA0-A3D8-A10708FFFB9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7BD-4EA0-A3D8-A10708FFFB9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7BD-4EA0-A3D8-A10708FFFB9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7BD-4EA0-A3D8-A10708FFFB9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7BD-4EA0-A3D8-A10708FFFB9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7BD-4EA0-A3D8-A10708FFFB9B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BD-4EA0-A3D8-A10708FFFB9B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BD-4EA0-A3D8-A10708FFFB9B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BD-4EA0-A3D8-A10708FF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507264"/>
        <c:axId val="104508800"/>
      </c:barChart>
      <c:catAx>
        <c:axId val="104507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5088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5088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507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E-40D1-87D5-763F2055EE6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E-40D1-87D5-763F2055EE6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E8E-40D1-87D5-763F2055EE6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E8E-40D1-87D5-763F2055EE6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E8E-40D1-87D5-763F2055EE6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E8E-40D1-87D5-763F2055EE6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E8E-40D1-87D5-763F2055EE6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E8E-40D1-87D5-763F2055EE6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E8E-40D1-87D5-763F2055EE69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8E-40D1-87D5-763F2055EE69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8E-40D1-87D5-763F2055EE69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8E-40D1-87D5-763F2055E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56896"/>
        <c:axId val="104658432"/>
      </c:barChart>
      <c:catAx>
        <c:axId val="104656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6584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6584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656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9-4B11-A3C2-9E32816AB4E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9-4B11-A3C2-9E32816AB4E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389-4B11-A3C2-9E32816AB4E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389-4B11-A3C2-9E32816AB4E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389-4B11-A3C2-9E32816AB4E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389-4B11-A3C2-9E32816AB4E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389-4B11-A3C2-9E32816AB4E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389-4B11-A3C2-9E32816AB4E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389-4B11-A3C2-9E32816AB4E0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89-4B11-A3C2-9E32816AB4E0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89-4B11-A3C2-9E32816AB4E0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89-4B11-A3C2-9E32816A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728448"/>
        <c:axId val="104729984"/>
      </c:barChart>
      <c:catAx>
        <c:axId val="1047284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72998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72998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728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0-4ACB-853D-A40FCBB46E1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90-4ACB-853D-A40FCBB46E1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590-4ACB-853D-A40FCBB46E1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590-4ACB-853D-A40FCBB46E1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590-4ACB-853D-A40FCBB46E1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590-4ACB-853D-A40FCBB46E1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590-4ACB-853D-A40FCBB46E1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590-4ACB-853D-A40FCBB46E1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590-4ACB-853D-A40FCBB46E1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90-4ACB-853D-A40FCBB46E1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90-4ACB-853D-A40FCBB46E1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90-4ACB-853D-A40FCBB46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35424"/>
        <c:axId val="104936960"/>
      </c:barChart>
      <c:catAx>
        <c:axId val="104935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93696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93696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93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E-41C9-8886-AD100AE921F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E-41C9-8886-AD100AE921F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29E-41C9-8886-AD100AE921F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29E-41C9-8886-AD100AE921F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29E-41C9-8886-AD100AE921F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29E-41C9-8886-AD100AE921F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29E-41C9-8886-AD100AE921F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29E-41C9-8886-AD100AE921F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29E-41C9-8886-AD100AE921F2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9E-41C9-8886-AD100AE921F2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9E-41C9-8886-AD100AE921F2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9E-41C9-8886-AD100AE92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80000"/>
        <c:axId val="104881536"/>
      </c:barChart>
      <c:catAx>
        <c:axId val="104880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88153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88153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880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4-42A7-A717-75DB3F39552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4-42A7-A717-75DB3F39552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154-42A7-A717-75DB3F39552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154-42A7-A717-75DB3F39552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154-42A7-A717-75DB3F39552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154-42A7-A717-75DB3F39552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154-42A7-A717-75DB3F39552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154-42A7-A717-75DB3F39552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154-42A7-A717-75DB3F395522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54-42A7-A717-75DB3F395522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54-42A7-A717-75DB3F395522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54-42A7-A717-75DB3F39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17344"/>
        <c:axId val="105018880"/>
      </c:barChart>
      <c:catAx>
        <c:axId val="105017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0188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0188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017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(fract)'!$AL$87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(fract)'!$AM$87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(fract)'!$AL$88:$AL$89</c:f>
            </c:multiLvlStrRef>
          </c:cat>
          <c:val>
            <c:numRef>
              <c:f>'Durée (fract)'!$AM$88:$AM$89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6-4AC6-A222-E47A500C63F3}"/>
            </c:ext>
          </c:extLst>
        </c:ser>
        <c:ser>
          <c:idx val="1"/>
          <c:order val="1"/>
          <c:tx>
            <c:strRef>
              <c:f>'Durée (fract)'!$AN$87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(fract)'!$AL$88:$AL$89</c:f>
            </c:multiLvlStrRef>
          </c:cat>
          <c:val>
            <c:numRef>
              <c:f>'Durée (fract)'!$AN$88:$AN$89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6-4AC6-A222-E47A500C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7104"/>
        <c:axId val="96529024"/>
      </c:lineChart>
      <c:catAx>
        <c:axId val="965271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5290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52902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52710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C-4203-84C3-4822FF0942E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C-4203-84C3-4822FF0942E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3AC-4203-84C3-4822FF0942E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3AC-4203-84C3-4822FF0942E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3AC-4203-84C3-4822FF0942E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3AC-4203-84C3-4822FF0942E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3AC-4203-84C3-4822FF0942E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3AC-4203-84C3-4822FF0942E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3AC-4203-84C3-4822FF0942E1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AC-4203-84C3-4822FF0942E1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AC-4203-84C3-4822FF0942E1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AC-4203-84C3-4822FF094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0822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0822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080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5-4B80-B9C1-3EFC9AE7F65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5-4B80-B9C1-3EFC9AE7F65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835-4B80-B9C1-3EFC9AE7F65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835-4B80-B9C1-3EFC9AE7F65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835-4B80-B9C1-3EFC9AE7F65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835-4B80-B9C1-3EFC9AE7F65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835-4B80-B9C1-3EFC9AE7F65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835-4B80-B9C1-3EFC9AE7F65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835-4B80-B9C1-3EFC9AE7F652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35-4B80-B9C1-3EFC9AE7F652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35-4B80-B9C1-3EFC9AE7F652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35-4B80-B9C1-3EFC9AE7F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152512"/>
        <c:axId val="105154048"/>
      </c:barChart>
      <c:catAx>
        <c:axId val="105152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1540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1540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152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C47-A905-18A47CE45C2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C47-A905-18A47CE45C2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FFF-4C47-A905-18A47CE45C2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FFF-4C47-A905-18A47CE45C2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FFF-4C47-A905-18A47CE45C2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FFF-4C47-A905-18A47CE45C2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FFF-4C47-A905-18A47CE45C2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FFF-4C47-A905-18A47CE45C2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FFF-4C47-A905-18A47CE45C2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FF-4C47-A905-18A47CE45C2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FF-4C47-A905-18A47CE45C2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FFF-4C47-A905-18A47CE45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85504"/>
        <c:axId val="105287040"/>
      </c:barChart>
      <c:catAx>
        <c:axId val="1052855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2870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2870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285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2-45E7-9EC5-3A07434D397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2-45E7-9EC5-3A07434D397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782-45E7-9EC5-3A07434D397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782-45E7-9EC5-3A07434D397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782-45E7-9EC5-3A07434D397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782-45E7-9EC5-3A07434D397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782-45E7-9EC5-3A07434D397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782-45E7-9EC5-3A07434D397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782-45E7-9EC5-3A07434D3971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82-45E7-9EC5-3A07434D3971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82-45E7-9EC5-3A07434D3971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82-45E7-9EC5-3A07434D3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39232"/>
        <c:axId val="105440768"/>
      </c:barChart>
      <c:catAx>
        <c:axId val="1054392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44076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44076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439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4-40B3-AD44-01A588A8FE1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4-40B3-AD44-01A588A8FE1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284-40B3-AD44-01A588A8FE1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284-40B3-AD44-01A588A8FE1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284-40B3-AD44-01A588A8FE1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284-40B3-AD44-01A588A8FE1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284-40B3-AD44-01A588A8FE1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284-40B3-AD44-01A588A8FE1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284-40B3-AD44-01A588A8FE18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84-40B3-AD44-01A588A8FE18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84-40B3-AD44-01A588A8FE18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84-40B3-AD44-01A588A8F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06688"/>
        <c:axId val="105508224"/>
      </c:barChart>
      <c:catAx>
        <c:axId val="105506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5082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5082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506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A-4369-85A9-333BFDD5C87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A-4369-85A9-333BFDD5C87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30A-4369-85A9-333BFDD5C87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30A-4369-85A9-333BFDD5C87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30A-4369-85A9-333BFDD5C87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30A-4369-85A9-333BFDD5C87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30A-4369-85A9-333BFDD5C87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30A-4369-85A9-333BFDD5C87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30A-4369-85A9-333BFDD5C87D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0A-4369-85A9-333BFDD5C87D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0A-4369-85A9-333BFDD5C87D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0A-4369-85A9-333BFDD5C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25248"/>
        <c:axId val="105526784"/>
      </c:barChart>
      <c:catAx>
        <c:axId val="105525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52678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52678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525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C-4390-BF32-2D59CE399D8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C-4390-BF32-2D59CE399D8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EBC-4390-BF32-2D59CE399D8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EBC-4390-BF32-2D59CE399D8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EBC-4390-BF32-2D59CE399D8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EBC-4390-BF32-2D59CE399D8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EBC-4390-BF32-2D59CE399D8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EBC-4390-BF32-2D59CE399D8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EBC-4390-BF32-2D59CE399D84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BC-4390-BF32-2D59CE399D84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BC-4390-BF32-2D59CE399D84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BC-4390-BF32-2D59CE399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27872"/>
        <c:axId val="105729408"/>
      </c:barChart>
      <c:catAx>
        <c:axId val="105727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7294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7294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727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F-45E6-9B8D-229DD831E78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F-45E6-9B8D-229DD831E78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D1F-45E6-9B8D-229DD831E78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D1F-45E6-9B8D-229DD831E78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D1F-45E6-9B8D-229DD831E78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D1F-45E6-9B8D-229DD831E78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D1F-45E6-9B8D-229DD831E78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D1F-45E6-9B8D-229DD831E78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D1F-45E6-9B8D-229DD831E786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1F-45E6-9B8D-229DD831E786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1F-45E6-9B8D-229DD831E786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1F-45E6-9B8D-229DD831E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91488"/>
        <c:axId val="105793024"/>
      </c:barChart>
      <c:catAx>
        <c:axId val="105791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7930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7930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791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5-48D7-ADF9-48AB08381BE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5-48D7-ADF9-48AB08381BE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1A5-48D7-ADF9-48AB08381BE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1A5-48D7-ADF9-48AB08381BE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1A5-48D7-ADF9-48AB08381BE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1A5-48D7-ADF9-48AB08381BE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1A5-48D7-ADF9-48AB08381BE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1A5-48D7-ADF9-48AB08381BE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1A5-48D7-ADF9-48AB08381BE8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A5-48D7-ADF9-48AB08381BE8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A5-48D7-ADF9-48AB08381BE8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A5-48D7-ADF9-48AB08381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912192"/>
        <c:axId val="105913728"/>
      </c:barChart>
      <c:catAx>
        <c:axId val="1059121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9137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9137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912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5-4DBE-B88A-5697C45286C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5-4DBE-B88A-5697C45286C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145-4DBE-B88A-5697C45286C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145-4DBE-B88A-5697C45286C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145-4DBE-B88A-5697C45286C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145-4DBE-B88A-5697C45286C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145-4DBE-B88A-5697C45286C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145-4DBE-B88A-5697C45286C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145-4DBE-B88A-5697C45286C3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45-4DBE-B88A-5697C45286C3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45-4DBE-B88A-5697C45286C3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45-4DBE-B88A-5697C452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12672"/>
        <c:axId val="106014208"/>
      </c:barChart>
      <c:catAx>
        <c:axId val="106012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0142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0142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012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(fract)'!$AF$91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(fract)'!$AG$91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(fract)'!$AF$92:$AF$93</c:f>
            </c:multiLvlStrRef>
          </c:cat>
          <c:val>
            <c:numRef>
              <c:f>'Durée (fract)'!$AG$92:$AG$93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A-432F-871B-BCFA9B5D9C46}"/>
            </c:ext>
          </c:extLst>
        </c:ser>
        <c:ser>
          <c:idx val="1"/>
          <c:order val="1"/>
          <c:tx>
            <c:strRef>
              <c:f>'Durée (fract)'!$AH$91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(fract)'!$AF$92:$AF$93</c:f>
            </c:multiLvlStrRef>
          </c:cat>
          <c:val>
            <c:numRef>
              <c:f>'Durée (fract)'!$AH$92:$AH$93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A-432F-871B-BCFA9B5D9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15424"/>
        <c:axId val="96629888"/>
      </c:lineChart>
      <c:catAx>
        <c:axId val="96615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298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62988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154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F-44E1-9C8D-1698E524849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F-44E1-9C8D-1698E524849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05F-44E1-9C8D-1698E524849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05F-44E1-9C8D-1698E524849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05F-44E1-9C8D-1698E524849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05F-44E1-9C8D-1698E524849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05F-44E1-9C8D-1698E524849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05F-44E1-9C8D-1698E524849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05F-44E1-9C8D-1698E524849F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5F-44E1-9C8D-1698E524849F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5F-44E1-9C8D-1698E524849F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5F-44E1-9C8D-1698E5248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80128"/>
        <c:axId val="106081664"/>
      </c:barChart>
      <c:catAx>
        <c:axId val="1060801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0816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0816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080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E-49E8-907E-A3B6453BBEB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E-49E8-907E-A3B6453BBEB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10E-49E8-907E-A3B6453BBEB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10E-49E8-907E-A3B6453BBEB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10E-49E8-907E-A3B6453BBEB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10E-49E8-907E-A3B6453BBEB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10E-49E8-907E-A3B6453BBEB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10E-49E8-907E-A3B6453BBEB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10E-49E8-907E-A3B6453BBEB4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0E-49E8-907E-A3B6453BBEB4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0E-49E8-907E-A3B6453BBEB4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0E-49E8-907E-A3B6453BB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17472"/>
        <c:axId val="106219008"/>
      </c:barChart>
      <c:catAx>
        <c:axId val="106217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2190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2190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217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E-439E-B3CF-2B7C37B04AB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E-439E-B3CF-2B7C37B04AB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FCE-439E-B3CF-2B7C37B04AB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FCE-439E-B3CF-2B7C37B04AB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FCE-439E-B3CF-2B7C37B04AB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FCE-439E-B3CF-2B7C37B04AB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FCE-439E-B3CF-2B7C37B04AB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FCE-439E-B3CF-2B7C37B04AB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FCE-439E-B3CF-2B7C37B04ABC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CE-439E-B3CF-2B7C37B04ABC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CE-439E-B3CF-2B7C37B04ABC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CE-439E-B3CF-2B7C37B04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01312"/>
        <c:axId val="106302848"/>
      </c:barChart>
      <c:catAx>
        <c:axId val="1063013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3028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3028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301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4-40FF-B79C-681FE66C8EE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4-40FF-B79C-681FE66C8EE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A24-40FF-B79C-681FE66C8EE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A24-40FF-B79C-681FE66C8EE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A24-40FF-B79C-681FE66C8EE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A24-40FF-B79C-681FE66C8EE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A24-40FF-B79C-681FE66C8EE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A24-40FF-B79C-681FE66C8EE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A24-40FF-B79C-681FE66C8EE7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24-40FF-B79C-681FE66C8EE7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24-40FF-B79C-681FE66C8EE7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24-40FF-B79C-681FE66C8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38656"/>
        <c:axId val="106440192"/>
      </c:barChart>
      <c:catAx>
        <c:axId val="106438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4401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4401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43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8-405A-BEEC-9DE6327CA4C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8-405A-BEEC-9DE6327CA4C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418-405A-BEEC-9DE6327CA4C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418-405A-BEEC-9DE6327CA4C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418-405A-BEEC-9DE6327CA4C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418-405A-BEEC-9DE6327CA4C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418-405A-BEEC-9DE6327CA4C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418-405A-BEEC-9DE6327CA4C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418-405A-BEEC-9DE6327CA4C7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18-405A-BEEC-9DE6327CA4C7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18-405A-BEEC-9DE6327CA4C7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418-405A-BEEC-9DE6327CA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06112"/>
        <c:axId val="106507648"/>
      </c:barChart>
      <c:catAx>
        <c:axId val="106506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5076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5076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506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Graphe du</a:t>
            </a:r>
            <a:r>
              <a:rPr lang="en-US" sz="2400" baseline="0"/>
              <a:t> Ratio Signal / Bruit</a:t>
            </a:r>
            <a:endParaRPr lang="en-US" sz="2400"/>
          </a:p>
        </c:rich>
      </c:tx>
      <c:layout>
        <c:manualLayout>
          <c:xMode val="edge"/>
          <c:yMode val="edge"/>
          <c:x val="0.35482380831474486"/>
          <c:y val="2.034493801121663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28018372703413"/>
          <c:y val="7.4548702245552642E-2"/>
          <c:w val="0.67380227471566068"/>
          <c:h val="0.68198344998541849"/>
        </c:manualLayout>
      </c:layout>
      <c:lineChart>
        <c:grouping val="standard"/>
        <c:varyColors val="0"/>
        <c:ser>
          <c:idx val="0"/>
          <c:order val="0"/>
          <c:spPr>
            <a:ln w="635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[1]L8!$B$33:$B$52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fuselage1</c:v>
                </c:pt>
                <c:pt idx="7">
                  <c:v>Larg fuselage2</c:v>
                </c:pt>
                <c:pt idx="9">
                  <c:v>Long fuselage1</c:v>
                </c:pt>
                <c:pt idx="10">
                  <c:v>Long fuselage2</c:v>
                </c:pt>
                <c:pt idx="12">
                  <c:v>inclinaison pales1</c:v>
                </c:pt>
                <c:pt idx="13">
                  <c:v>inclinaison pales2</c:v>
                </c:pt>
                <c:pt idx="15">
                  <c:v>Nbre trombones1</c:v>
                </c:pt>
                <c:pt idx="16">
                  <c:v>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[1]L8!$E$33:$E$52</c:f>
              <c:numCache>
                <c:formatCode>General</c:formatCode>
                <c:ptCount val="20"/>
                <c:pt idx="0">
                  <c:v>5.5554153883646258</c:v>
                </c:pt>
                <c:pt idx="1">
                  <c:v>6.1814358293128793</c:v>
                </c:pt>
                <c:pt idx="3">
                  <c:v>6.0627261072998886</c:v>
                </c:pt>
                <c:pt idx="4">
                  <c:v>5.6741251103776165</c:v>
                </c:pt>
                <c:pt idx="6">
                  <c:v>2.7587316544960476</c:v>
                </c:pt>
                <c:pt idx="7">
                  <c:v>8.9781195631814583</c:v>
                </c:pt>
                <c:pt idx="9">
                  <c:v>7.7751582779612241</c:v>
                </c:pt>
                <c:pt idx="10">
                  <c:v>3.961692939716281</c:v>
                </c:pt>
                <c:pt idx="12">
                  <c:v>5.9557309725031278</c:v>
                </c:pt>
                <c:pt idx="13">
                  <c:v>5.7811202451743773</c:v>
                </c:pt>
                <c:pt idx="15">
                  <c:v>7.0571199491859469</c:v>
                </c:pt>
                <c:pt idx="16">
                  <c:v>4.6797312684915582</c:v>
                </c:pt>
                <c:pt idx="18">
                  <c:v>5.8372403926615828</c:v>
                </c:pt>
                <c:pt idx="19">
                  <c:v>5.8996108250159223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4300-BBFD-C7A8D50EF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15840"/>
        <c:axId val="106521728"/>
      </c:lineChart>
      <c:catAx>
        <c:axId val="10651584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in"/>
        <c:tickLblPos val="nextTo"/>
        <c:txPr>
          <a:bodyPr/>
          <a:lstStyle/>
          <a:p>
            <a:pPr>
              <a:defRPr sz="2400"/>
            </a:pPr>
            <a:endParaRPr lang="fr-FR"/>
          </a:p>
        </c:txPr>
        <c:crossAx val="106521728"/>
        <c:crosses val="autoZero"/>
        <c:auto val="1"/>
        <c:lblAlgn val="ctr"/>
        <c:lblOffset val="100"/>
        <c:noMultiLvlLbl val="0"/>
      </c:catAx>
      <c:valAx>
        <c:axId val="106521728"/>
        <c:scaling>
          <c:orientation val="minMax"/>
          <c:min val="2.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1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113426971533352E-2"/>
          <c:y val="0.1165049924446683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spPr>
            <a:ln w="57150">
              <a:solidFill>
                <a:srgbClr val="000080"/>
              </a:solidFill>
              <a:prstDash val="solid"/>
              <a:headEnd type="oval" w="med" len="med"/>
              <a:tailEnd type="oval" w="med" len="med"/>
            </a:ln>
          </c:spPr>
          <c:marker>
            <c:symbol val="diamond"/>
            <c:size val="5"/>
            <c:spPr>
              <a:solidFill>
                <a:srgbClr val="000080"/>
              </a:solidFill>
              <a:ln w="57150">
                <a:solidFill>
                  <a:srgbClr val="000080"/>
                </a:solidFill>
                <a:prstDash val="solid"/>
                <a:headEnd type="oval" w="med" len="med"/>
                <a:tailEnd type="oval" w="med" len="med"/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1-58C9-4B8B-B325-53A7B7719A2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3-58C9-4B8B-B325-53A7B7719A20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5-58C9-4B8B-B325-53A7B7719A20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7-58C9-4B8B-B325-53A7B7719A20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9-58C9-4B8B-B325-53A7B7719A20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B-58C9-4B8B-B325-53A7B7719A20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D-58C9-4B8B-B325-53A7B7719A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[1]L8!$B$33:$B$52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fuselage1</c:v>
                </c:pt>
                <c:pt idx="7">
                  <c:v>Larg fuselage2</c:v>
                </c:pt>
                <c:pt idx="9">
                  <c:v>Long fuselage1</c:v>
                </c:pt>
                <c:pt idx="10">
                  <c:v>Long fuselage2</c:v>
                </c:pt>
                <c:pt idx="12">
                  <c:v>inclinaison pales1</c:v>
                </c:pt>
                <c:pt idx="13">
                  <c:v>inclinaison pales2</c:v>
                </c:pt>
                <c:pt idx="15">
                  <c:v>Nbre trombones1</c:v>
                </c:pt>
                <c:pt idx="16">
                  <c:v>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[1]L8!$C$33:$C$52</c:f>
              <c:numCache>
                <c:formatCode>General</c:formatCode>
                <c:ptCount val="20"/>
                <c:pt idx="0">
                  <c:v>11.5</c:v>
                </c:pt>
                <c:pt idx="1">
                  <c:v>23</c:v>
                </c:pt>
                <c:pt idx="3">
                  <c:v>17.899999999999999</c:v>
                </c:pt>
                <c:pt idx="4">
                  <c:v>16.600000000000001</c:v>
                </c:pt>
                <c:pt idx="6">
                  <c:v>8.5</c:v>
                </c:pt>
                <c:pt idx="7">
                  <c:v>26</c:v>
                </c:pt>
                <c:pt idx="9">
                  <c:v>18.249999999999996</c:v>
                </c:pt>
                <c:pt idx="10">
                  <c:v>16.25</c:v>
                </c:pt>
                <c:pt idx="12">
                  <c:v>12.05</c:v>
                </c:pt>
                <c:pt idx="13">
                  <c:v>22.449999999999996</c:v>
                </c:pt>
                <c:pt idx="15">
                  <c:v>26.449999999999996</c:v>
                </c:pt>
                <c:pt idx="16">
                  <c:v>8.0500000000000007</c:v>
                </c:pt>
                <c:pt idx="18">
                  <c:v>14.25</c:v>
                </c:pt>
                <c:pt idx="19">
                  <c:v>20.25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C9-4B8B-B325-53A7B771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80608"/>
        <c:axId val="106582400"/>
      </c:lineChart>
      <c:catAx>
        <c:axId val="1065806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582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82400"/>
        <c:scaling>
          <c:orientation val="minMax"/>
          <c:min val="7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580608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Graphe</a:t>
            </a:r>
            <a:r>
              <a:rPr lang="fr-FR" baseline="0"/>
              <a:t> des </a:t>
            </a:r>
            <a:r>
              <a:rPr lang="fr-FR"/>
              <a:t>Effets sur la Variance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3975">
              <a:solidFill>
                <a:srgbClr val="FF0000"/>
              </a:solidFill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[1]L8!$B$33:$B$52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fuselage1</c:v>
                </c:pt>
                <c:pt idx="7">
                  <c:v>Larg fuselage2</c:v>
                </c:pt>
                <c:pt idx="9">
                  <c:v>Long fuselage1</c:v>
                </c:pt>
                <c:pt idx="10">
                  <c:v>Long fuselage2</c:v>
                </c:pt>
                <c:pt idx="12">
                  <c:v>inclinaison pales1</c:v>
                </c:pt>
                <c:pt idx="13">
                  <c:v>inclinaison pales2</c:v>
                </c:pt>
                <c:pt idx="15">
                  <c:v>Nbre trombones1</c:v>
                </c:pt>
                <c:pt idx="16">
                  <c:v>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[1]L8!$G$33:$G$52</c:f>
              <c:numCache>
                <c:formatCode>General</c:formatCode>
                <c:ptCount val="20"/>
                <c:pt idx="0">
                  <c:v>42.2</c:v>
                </c:pt>
                <c:pt idx="1">
                  <c:v>103.07499999999996</c:v>
                </c:pt>
                <c:pt idx="3">
                  <c:v>48.574999999999953</c:v>
                </c:pt>
                <c:pt idx="4">
                  <c:v>96.7</c:v>
                </c:pt>
                <c:pt idx="6">
                  <c:v>59.05</c:v>
                </c:pt>
                <c:pt idx="7">
                  <c:v>86.224999999999952</c:v>
                </c:pt>
                <c:pt idx="9">
                  <c:v>45.874999999999957</c:v>
                </c:pt>
                <c:pt idx="10">
                  <c:v>99.4</c:v>
                </c:pt>
                <c:pt idx="12">
                  <c:v>65.7</c:v>
                </c:pt>
                <c:pt idx="13">
                  <c:v>79.57499999999996</c:v>
                </c:pt>
                <c:pt idx="15">
                  <c:v>125.82499999999996</c:v>
                </c:pt>
                <c:pt idx="16">
                  <c:v>19.45</c:v>
                </c:pt>
                <c:pt idx="18">
                  <c:v>55.900000000000006</c:v>
                </c:pt>
                <c:pt idx="19">
                  <c:v>89.374999999999957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9-4EE1-B21E-7557B5FB7823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619648"/>
        <c:axId val="106621184"/>
      </c:lineChart>
      <c:catAx>
        <c:axId val="10661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106621184"/>
        <c:crosses val="autoZero"/>
        <c:auto val="1"/>
        <c:lblAlgn val="ctr"/>
        <c:lblOffset val="100"/>
        <c:noMultiLvlLbl val="0"/>
      </c:catAx>
      <c:valAx>
        <c:axId val="106621184"/>
        <c:scaling>
          <c:orientation val="minMax"/>
          <c:min val="18"/>
        </c:scaling>
        <c:delete val="0"/>
        <c:axPos val="l"/>
        <c:majorGridlines>
          <c:spPr>
            <a:ln w="22225"/>
          </c:spPr>
        </c:majorGridlines>
        <c:numFmt formatCode="General" sourceLinked="1"/>
        <c:majorTickMark val="out"/>
        <c:minorTickMark val="none"/>
        <c:tickLblPos val="nextTo"/>
        <c:crossAx val="106619648"/>
        <c:crosses val="autoZero"/>
        <c:crossBetween val="between"/>
      </c:valAx>
    </c:plotArea>
    <c:plotVisOnly val="1"/>
    <c:dispBlanksAs val="gap"/>
    <c:showDLblsOverMax val="0"/>
  </c:chart>
  <c:spPr>
    <a:ln w="28575"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Contribution</a:t>
            </a:r>
            <a:r>
              <a:rPr lang="fr-FR" baseline="0"/>
              <a:t> de chaque facteur à la réponse</a:t>
            </a:r>
            <a:endParaRPr lang="fr-FR"/>
          </a:p>
        </c:rich>
      </c:tx>
      <c:layout>
        <c:manualLayout>
          <c:xMode val="edge"/>
          <c:yMode val="edge"/>
          <c:x val="0.34453508312801329"/>
          <c:y val="5.9645914408010724E-2"/>
        </c:manualLayout>
      </c:layout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[1]L8!$C$59:$C$66</c:f>
              <c:strCache>
                <c:ptCount val="8"/>
                <c:pt idx="0">
                  <c:v>Larg pales</c:v>
                </c:pt>
                <c:pt idx="1">
                  <c:v>Long pales</c:v>
                </c:pt>
                <c:pt idx="2">
                  <c:v>Larg fuselage</c:v>
                </c:pt>
                <c:pt idx="3">
                  <c:v>Long fuselage</c:v>
                </c:pt>
                <c:pt idx="4">
                  <c:v>inclinaison pales</c:v>
                </c:pt>
                <c:pt idx="5">
                  <c:v>Nbre trombones</c:v>
                </c:pt>
                <c:pt idx="7">
                  <c:v>Résidus</c:v>
                </c:pt>
              </c:strCache>
            </c:strRef>
          </c:cat>
          <c:val>
            <c:numRef>
              <c:f>[1]L8!$E$59:$E$66</c:f>
              <c:numCache>
                <c:formatCode>General</c:formatCode>
                <c:ptCount val="8"/>
                <c:pt idx="0">
                  <c:v>1322.5</c:v>
                </c:pt>
                <c:pt idx="1">
                  <c:v>16.899999999999928</c:v>
                </c:pt>
                <c:pt idx="2">
                  <c:v>3062.5</c:v>
                </c:pt>
                <c:pt idx="3">
                  <c:v>39.999999999999716</c:v>
                </c:pt>
                <c:pt idx="4">
                  <c:v>1081.5999999999997</c:v>
                </c:pt>
                <c:pt idx="5">
                  <c:v>3385.5999999999967</c:v>
                </c:pt>
                <c:pt idx="6">
                  <c:v>360</c:v>
                </c:pt>
                <c:pt idx="7">
                  <c:v>2324.4000000000051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1-472C-AC93-E13288962F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F-458D-A337-31B4581D388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F-458D-A337-31B4581D388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FFF-458D-A337-31B4581D388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FFF-458D-A337-31B4581D388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FFF-458D-A337-31B4581D388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FFF-458D-A337-31B4581D388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FFF-458D-A337-31B4581D388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FFF-458D-A337-31B4581D388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FFF-458D-A337-31B4581D388E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FF-458D-A337-31B4581D388E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FF-458D-A337-31B4581D388E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FF-458D-A337-31B4581D3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98816"/>
        <c:axId val="87712896"/>
      </c:barChart>
      <c:catAx>
        <c:axId val="876988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77128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877128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87698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'Durée (fract)'!$B$33:$B$52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401F-B22D-8217FB695AC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'Durée (fract)'!$C$33:$C$52</c:f>
              <c:numCache>
                <c:formatCode>0.000</c:formatCode>
                <c:ptCount val="20"/>
                <c:pt idx="0">
                  <c:v>1.8154999999999997</c:v>
                </c:pt>
                <c:pt idx="1">
                  <c:v>1.8780000000000001</c:v>
                </c:pt>
                <c:pt idx="3">
                  <c:v>1.7174999999999998</c:v>
                </c:pt>
                <c:pt idx="4">
                  <c:v>1.976</c:v>
                </c:pt>
                <c:pt idx="6">
                  <c:v>2.0045000000000002</c:v>
                </c:pt>
                <c:pt idx="7">
                  <c:v>1.6890000000000001</c:v>
                </c:pt>
                <c:pt idx="9">
                  <c:v>1.843</c:v>
                </c:pt>
                <c:pt idx="10">
                  <c:v>1.8504999999999998</c:v>
                </c:pt>
                <c:pt idx="12">
                  <c:v>2.0590000000000002</c:v>
                </c:pt>
                <c:pt idx="13">
                  <c:v>1.6345000000000001</c:v>
                </c:pt>
                <c:pt idx="15">
                  <c:v>2.0529999999999999</c:v>
                </c:pt>
                <c:pt idx="16">
                  <c:v>1.6404999999999998</c:v>
                </c:pt>
                <c:pt idx="18">
                  <c:v>1.8319999999999999</c:v>
                </c:pt>
                <c:pt idx="19">
                  <c:v>1.8614999999999999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A-401F-B22D-8217FB695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37472"/>
        <c:axId val="87739392"/>
      </c:lineChart>
      <c:catAx>
        <c:axId val="87737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7739392"/>
        <c:crossesAt val="47.75"/>
        <c:auto val="0"/>
        <c:lblAlgn val="ctr"/>
        <c:lblOffset val="100"/>
        <c:tickLblSkip val="20"/>
        <c:tickMarkSkip val="1"/>
        <c:noMultiLvlLbl val="0"/>
      </c:catAx>
      <c:valAx>
        <c:axId val="87739392"/>
        <c:scaling>
          <c:orientation val="minMax"/>
          <c:max val="61"/>
          <c:min val="47.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77374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(fract)'!$AI$91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472801017417256"/>
          <c:w val="0.86885477729779659"/>
          <c:h val="0.68481471169680075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(fract)'!$AJ$91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(fract)'!$AI$92:$AI$93</c:f>
            </c:multiLvlStrRef>
          </c:cat>
          <c:val>
            <c:numRef>
              <c:f>'Durée (fract)'!$AJ$92:$AJ$93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0-4D60-9AB5-C017E1763A64}"/>
            </c:ext>
          </c:extLst>
        </c:ser>
        <c:ser>
          <c:idx val="1"/>
          <c:order val="1"/>
          <c:tx>
            <c:strRef>
              <c:f>'Durée (fract)'!$AK$91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(fract)'!$AI$92:$AI$93</c:f>
            </c:multiLvlStrRef>
          </c:cat>
          <c:val>
            <c:numRef>
              <c:f>'Durée (fract)'!$AK$92:$AK$93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0-4D60-9AB5-C017E1763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63424"/>
        <c:axId val="96669696"/>
      </c:lineChart>
      <c:catAx>
        <c:axId val="96663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69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66969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634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'Durée (Plan complet)'!$B$33:$B$52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5-4370-82D4-1AB83CB0EF0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'Durée (Plan complet)'!$C$33:$C$52</c:f>
              <c:numCache>
                <c:formatCode>0.000</c:formatCode>
                <c:ptCount val="20"/>
                <c:pt idx="0">
                  <c:v>2.1975000000000002</c:v>
                </c:pt>
                <c:pt idx="1">
                  <c:v>1.9308333333333334</c:v>
                </c:pt>
                <c:pt idx="3">
                  <c:v>1.8816666666666668</c:v>
                </c:pt>
                <c:pt idx="4">
                  <c:v>2.2466666666666666</c:v>
                </c:pt>
                <c:pt idx="6">
                  <c:v>2.0208333333333335</c:v>
                </c:pt>
                <c:pt idx="7">
                  <c:v>2.1074999999999999</c:v>
                </c:pt>
                <c:pt idx="9">
                  <c:v>2.2158333333333333</c:v>
                </c:pt>
                <c:pt idx="10">
                  <c:v>1.9124999999999999</c:v>
                </c:pt>
                <c:pt idx="12">
                  <c:v>2.0649999999999999</c:v>
                </c:pt>
                <c:pt idx="13">
                  <c:v>2.0633333333333335</c:v>
                </c:pt>
                <c:pt idx="15">
                  <c:v>2.1025</c:v>
                </c:pt>
                <c:pt idx="16">
                  <c:v>2.0258333333333334</c:v>
                </c:pt>
                <c:pt idx="18">
                  <c:v>2.041666666666667</c:v>
                </c:pt>
                <c:pt idx="19">
                  <c:v>2.0866666666666669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5-4370-82D4-1AB83CB0E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37472"/>
        <c:axId val="87739392"/>
      </c:lineChart>
      <c:catAx>
        <c:axId val="87737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7739392"/>
        <c:crossesAt val="47.75"/>
        <c:auto val="0"/>
        <c:lblAlgn val="ctr"/>
        <c:lblOffset val="100"/>
        <c:tickLblSkip val="20"/>
        <c:tickMarkSkip val="1"/>
        <c:noMultiLvlLbl val="0"/>
      </c:catAx>
      <c:valAx>
        <c:axId val="87739392"/>
        <c:scaling>
          <c:orientation val="minMax"/>
          <c:max val="61"/>
          <c:min val="47.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77374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565635003283374E-2"/>
          <c:y val="0.10352812285438354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spPr>
            <a:ln w="5715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 w="57150">
                <a:solidFill>
                  <a:srgbClr val="000080"/>
                </a:solidFill>
                <a:prstDash val="solid"/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5EE-4619-94D3-528BFA97476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5EE-4619-94D3-528BFA97476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5EE-4619-94D3-528BFA974765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5EE-4619-94D3-528BFA974765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5EE-4619-94D3-528BFA974765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5EE-4619-94D3-528BFA974765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5EE-4619-94D3-528BFA9747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'Durée (Plan complet)'!$B$33:$B$52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pales/Long pales1</c:v>
                </c:pt>
                <c:pt idx="7">
                  <c:v>Larg pales/Long pales2</c:v>
                </c:pt>
                <c:pt idx="9">
                  <c:v>Nbre trombones1</c:v>
                </c:pt>
                <c:pt idx="10">
                  <c:v>Nbre trombones2</c:v>
                </c:pt>
                <c:pt idx="12">
                  <c:v>Larg pales/Nbre trombones1</c:v>
                </c:pt>
                <c:pt idx="13">
                  <c:v>Larg pales/Nbre trombones2</c:v>
                </c:pt>
                <c:pt idx="15">
                  <c:v>Long pales/Nbre trombones1</c:v>
                </c:pt>
                <c:pt idx="16">
                  <c:v>Long pales/Nbre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'Durée (Plan complet)'!$C$33:$C$52</c:f>
              <c:numCache>
                <c:formatCode>0.000</c:formatCode>
                <c:ptCount val="20"/>
                <c:pt idx="0">
                  <c:v>2.1975000000000002</c:v>
                </c:pt>
                <c:pt idx="1">
                  <c:v>1.9308333333333334</c:v>
                </c:pt>
                <c:pt idx="3">
                  <c:v>1.8816666666666668</c:v>
                </c:pt>
                <c:pt idx="4">
                  <c:v>2.2466666666666666</c:v>
                </c:pt>
                <c:pt idx="6">
                  <c:v>2.0208333333333335</c:v>
                </c:pt>
                <c:pt idx="7">
                  <c:v>2.1074999999999999</c:v>
                </c:pt>
                <c:pt idx="9">
                  <c:v>2.2158333333333333</c:v>
                </c:pt>
                <c:pt idx="10">
                  <c:v>1.9124999999999999</c:v>
                </c:pt>
                <c:pt idx="12">
                  <c:v>2.0649999999999999</c:v>
                </c:pt>
                <c:pt idx="13">
                  <c:v>2.0633333333333335</c:v>
                </c:pt>
                <c:pt idx="15">
                  <c:v>2.1025</c:v>
                </c:pt>
                <c:pt idx="16">
                  <c:v>2.0258333333333334</c:v>
                </c:pt>
                <c:pt idx="18">
                  <c:v>2.041666666666667</c:v>
                </c:pt>
                <c:pt idx="19">
                  <c:v>2.0866666666666669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EE-4619-94D3-528BFA974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17536"/>
        <c:axId val="89619072"/>
      </c:lineChart>
      <c:catAx>
        <c:axId val="896175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190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9619072"/>
        <c:scaling>
          <c:orientation val="minMax"/>
          <c:min val="1.8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17536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complet)'!$W$79</c:f>
          <c:strCache>
            <c:ptCount val="1"/>
            <c:pt idx="0">
              <c:v>Interaction Larg pales/Long pales</c:v>
            </c:pt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930232558139542"/>
          <c:w val="0.86885477729779659"/>
          <c:h val="0.61627906976744173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complet)'!$W$80</c:f>
              <c:strCache>
                <c:ptCount val="1"/>
                <c:pt idx="0">
                  <c:v>Larg pales=1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(fract)'!$X$79:$Y$79</c:f>
            </c:multiLvlStrRef>
          </c:cat>
          <c:val>
            <c:numRef>
              <c:f>'Durée (Plan complet)'!$X$80:$Y$80</c:f>
              <c:numCache>
                <c:formatCode>0.000</c:formatCode>
                <c:ptCount val="2"/>
                <c:pt idx="0">
                  <c:v>1.9716666666666667</c:v>
                </c:pt>
                <c:pt idx="1">
                  <c:v>2.4233333333333333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6-4643-B062-BE8DC8B58171}"/>
            </c:ext>
          </c:extLst>
        </c:ser>
        <c:ser>
          <c:idx val="1"/>
          <c:order val="1"/>
          <c:tx>
            <c:strRef>
              <c:f>'Durée (Plan complet)'!$W$81</c:f>
              <c:strCache>
                <c:ptCount val="1"/>
                <c:pt idx="0">
                  <c:v>Larg pales=2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(fract)'!$X$79:$Y$79</c:f>
            </c:multiLvlStrRef>
          </c:cat>
          <c:val>
            <c:numRef>
              <c:f>'Durée (Plan complet)'!$X$81:$Y$81</c:f>
              <c:numCache>
                <c:formatCode>0.000</c:formatCode>
                <c:ptCount val="2"/>
                <c:pt idx="0">
                  <c:v>1.7916666666666667</c:v>
                </c:pt>
                <c:pt idx="1">
                  <c:v>2.0699999999999998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6-4643-B062-BE8DC8B58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51840"/>
        <c:axId val="89658112"/>
      </c:lineChart>
      <c:catAx>
        <c:axId val="8965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581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65811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5184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complet)'!$Z$79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953488372093026"/>
          <c:w val="0.86885477729779659"/>
          <c:h val="0.69476744186046502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complet)'!$AA$79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(fract)'!$Z$80:$Z$81</c:f>
            </c:multiLvlStrRef>
          </c:cat>
          <c:val>
            <c:numRef>
              <c:f>'Durée (Plan complet)'!$AA$80:$AA$81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7-4970-B863-0CE76E602CED}"/>
            </c:ext>
          </c:extLst>
        </c:ser>
        <c:ser>
          <c:idx val="1"/>
          <c:order val="1"/>
          <c:tx>
            <c:strRef>
              <c:f>'Durée (Plan complet)'!$AB$79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(fract)'!$Z$80:$Z$81</c:f>
            </c:multiLvlStrRef>
          </c:cat>
          <c:val>
            <c:numRef>
              <c:f>'Durée (Plan complet)'!$AB$80:$AB$81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7-4970-B863-0CE76E602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70784"/>
        <c:axId val="89672704"/>
      </c:lineChart>
      <c:catAx>
        <c:axId val="89670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72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6727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707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901761819506226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complet)'!$AC$79</c:f>
          <c:strCache>
            <c:ptCount val="1"/>
            <c:pt idx="0">
              <c:v>Interaction Larg pales/Nbre trombones</c:v>
            </c:pt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639534883720936"/>
          <c:w val="0.86885477729779659"/>
          <c:h val="0.63372093023255838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complet)'!$AD$79</c:f>
              <c:strCache>
                <c:ptCount val="1"/>
                <c:pt idx="0">
                  <c:v>Nbre trombones=1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(fract)'!$AC$80:$AC$81</c:f>
            </c:multiLvlStrRef>
          </c:cat>
          <c:val>
            <c:numRef>
              <c:f>'Durée (Plan complet)'!$AD$80:$AD$81</c:f>
              <c:numCache>
                <c:formatCode>0.000</c:formatCode>
                <c:ptCount val="2"/>
                <c:pt idx="0">
                  <c:v>2.35</c:v>
                </c:pt>
                <c:pt idx="1">
                  <c:v>2.081666666666667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5-49CA-BB80-968652B14E51}"/>
            </c:ext>
          </c:extLst>
        </c:ser>
        <c:ser>
          <c:idx val="1"/>
          <c:order val="1"/>
          <c:tx>
            <c:strRef>
              <c:f>'Durée (Plan complet)'!$AE$79</c:f>
              <c:strCache>
                <c:ptCount val="1"/>
                <c:pt idx="0">
                  <c:v>Nbre trombones=2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(fract)'!$AC$80:$AC$81</c:f>
            </c:multiLvlStrRef>
          </c:cat>
          <c:val>
            <c:numRef>
              <c:f>'Durée (Plan complet)'!$AE$80:$AE$81</c:f>
              <c:numCache>
                <c:formatCode>0.000</c:formatCode>
                <c:ptCount val="2"/>
                <c:pt idx="0">
                  <c:v>2.0449999999999999</c:v>
                </c:pt>
                <c:pt idx="1">
                  <c:v>1.7799999999999998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5-49CA-BB80-968652B1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18784"/>
        <c:axId val="89720704"/>
      </c:lineChart>
      <c:catAx>
        <c:axId val="89718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20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7207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187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97674418604646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complet)'!$AF$79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complet)'!$AG$79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(fract)'!$AF$80:$AF$81</c:f>
            </c:multiLvlStrRef>
          </c:cat>
          <c:val>
            <c:numRef>
              <c:f>'Durée (Plan complet)'!$AG$80:$AG$81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3-4087-A8C5-2521A2367B18}"/>
            </c:ext>
          </c:extLst>
        </c:ser>
        <c:ser>
          <c:idx val="1"/>
          <c:order val="1"/>
          <c:tx>
            <c:strRef>
              <c:f>'Durée (Plan complet)'!$AH$79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(fract)'!$AF$80:$AF$81</c:f>
            </c:multiLvlStrRef>
          </c:cat>
          <c:val>
            <c:numRef>
              <c:f>'Durée (Plan complet)'!$AH$80:$AH$81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3-4087-A8C5-2521A236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45664"/>
        <c:axId val="89747840"/>
      </c:lineChart>
      <c:catAx>
        <c:axId val="897456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478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7478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4566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complet)'!$AI$79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complet)'!$AJ$79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(fract)'!$AI$80:$AI$81</c:f>
            </c:multiLvlStrRef>
          </c:cat>
          <c:val>
            <c:numRef>
              <c:f>'Durée (Plan complet)'!$AJ$80:$AJ$81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A-47DD-8AEF-2C18C5D83E81}"/>
            </c:ext>
          </c:extLst>
        </c:ser>
        <c:ser>
          <c:idx val="1"/>
          <c:order val="1"/>
          <c:tx>
            <c:strRef>
              <c:f>'Durée (Plan complet)'!$AK$79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(fract)'!$AI$80:$AI$81</c:f>
            </c:multiLvlStrRef>
          </c:cat>
          <c:val>
            <c:numRef>
              <c:f>'Durée (Plan complet)'!$AK$80:$AK$81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A-47DD-8AEF-2C18C5D83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76512"/>
        <c:axId val="89778432"/>
      </c:lineChart>
      <c:catAx>
        <c:axId val="897765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784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77843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7651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21436137711697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complet)'!$AL$79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697674418604654"/>
          <c:w val="0.86885477729779659"/>
          <c:h val="0.67732558139534882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complet)'!$AM$79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(fract)'!$AL$80:$AL$81</c:f>
            </c:multiLvlStrRef>
          </c:cat>
          <c:val>
            <c:numRef>
              <c:f>'Durée (Plan complet)'!$AM$80:$AM$81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B-433A-A2D5-A34E121362AC}"/>
            </c:ext>
          </c:extLst>
        </c:ser>
        <c:ser>
          <c:idx val="1"/>
          <c:order val="1"/>
          <c:tx>
            <c:strRef>
              <c:f>'Durée (Plan complet)'!$AN$79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(fract)'!$AL$80:$AL$81</c:f>
            </c:multiLvlStrRef>
          </c:cat>
          <c:val>
            <c:numRef>
              <c:f>'Durée (Plan complet)'!$AN$80:$AN$81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B-433A-A2D5-A34E12136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73024"/>
        <c:axId val="89875200"/>
      </c:lineChart>
      <c:catAx>
        <c:axId val="898730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8752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87520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8730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complet)'!$Z$83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complet)'!$AA$83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(fract)'!$Z$84:$Z$85</c:f>
            </c:multiLvlStrRef>
          </c:cat>
          <c:val>
            <c:numRef>
              <c:f>'Durée (Plan complet)'!$AA$84:$AA$85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B-412A-9E95-B0B9BF6423AF}"/>
            </c:ext>
          </c:extLst>
        </c:ser>
        <c:ser>
          <c:idx val="1"/>
          <c:order val="1"/>
          <c:tx>
            <c:strRef>
              <c:f>'Durée (Plan complet)'!$AB$83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(fract)'!$Z$84:$Z$85</c:f>
            </c:multiLvlStrRef>
          </c:cat>
          <c:val>
            <c:numRef>
              <c:f>'Durée (Plan complet)'!$AB$84:$AB$85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B-412A-9E95-B0B9BF642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12448"/>
        <c:axId val="89914368"/>
      </c:lineChart>
      <c:catAx>
        <c:axId val="89912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9143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9143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91244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351135185761544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complet)'!$AC$83</c:f>
          <c:strCache>
            <c:ptCount val="1"/>
            <c:pt idx="0">
              <c:v>Interaction Long pales/Nbre trombones</c:v>
            </c:pt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2807082668250489"/>
          <c:w val="0.86885477729779659"/>
          <c:h val="0.6052648861958787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complet)'!$AD$83</c:f>
              <c:strCache>
                <c:ptCount val="1"/>
                <c:pt idx="0">
                  <c:v>Nbre trombones=1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(fract)'!$AC$84:$AC$85</c:f>
            </c:multiLvlStrRef>
          </c:cat>
          <c:val>
            <c:numRef>
              <c:f>'Durée (Plan complet)'!$AD$84:$AD$85</c:f>
              <c:numCache>
                <c:formatCode>0.000</c:formatCode>
                <c:ptCount val="2"/>
                <c:pt idx="0">
                  <c:v>2.0716666666666668</c:v>
                </c:pt>
                <c:pt idx="1">
                  <c:v>2.3600000000000003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D-417D-A3AF-9C0361861DE8}"/>
            </c:ext>
          </c:extLst>
        </c:ser>
        <c:ser>
          <c:idx val="1"/>
          <c:order val="1"/>
          <c:tx>
            <c:strRef>
              <c:f>'Durée (Plan complet)'!$AE$83</c:f>
              <c:strCache>
                <c:ptCount val="1"/>
                <c:pt idx="0">
                  <c:v>Nbre trombones=2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(fract)'!$AC$84:$AC$85</c:f>
            </c:multiLvlStrRef>
          </c:cat>
          <c:val>
            <c:numRef>
              <c:f>'Durée (Plan complet)'!$AE$84:$AE$85</c:f>
              <c:numCache>
                <c:formatCode>0.000</c:formatCode>
                <c:ptCount val="2"/>
                <c:pt idx="0">
                  <c:v>1.6916666666666669</c:v>
                </c:pt>
                <c:pt idx="1">
                  <c:v>2.1333333333333333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D-417D-A3AF-9C0361861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57952"/>
        <c:axId val="91784704"/>
      </c:lineChart>
      <c:catAx>
        <c:axId val="917579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784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7847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75795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(fract)'!$AL$91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(fract)'!$AM$91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(fract)'!$AL$92:$AL$93</c:f>
            </c:multiLvlStrRef>
          </c:cat>
          <c:val>
            <c:numRef>
              <c:f>'Durée (fract)'!$AM$92:$AM$93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E-4B2C-838D-4B6C2AE3AE58}"/>
            </c:ext>
          </c:extLst>
        </c:ser>
        <c:ser>
          <c:idx val="1"/>
          <c:order val="1"/>
          <c:tx>
            <c:strRef>
              <c:f>'Durée (fract)'!$AN$91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(fract)'!$AL$92:$AL$93</c:f>
            </c:multiLvlStrRef>
          </c:cat>
          <c:val>
            <c:numRef>
              <c:f>'Durée (fract)'!$AN$92:$AN$93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E-4B2C-838D-4B6C2AE3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02848"/>
        <c:axId val="96704768"/>
      </c:lineChart>
      <c:catAx>
        <c:axId val="967028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7047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7047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70284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complet)'!$AF$83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327526291593259"/>
          <c:w val="0.86885477729779659"/>
          <c:h val="0.69298443491991879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complet)'!$AG$83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(fract)'!$AF$84:$AF$85</c:f>
            </c:multiLvlStrRef>
          </c:cat>
          <c:val>
            <c:numRef>
              <c:f>'Durée (Plan complet)'!$AG$84:$AG$85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6-4702-9C1F-7025358497BA}"/>
            </c:ext>
          </c:extLst>
        </c:ser>
        <c:ser>
          <c:idx val="1"/>
          <c:order val="1"/>
          <c:tx>
            <c:strRef>
              <c:f>'Durée (Plan complet)'!$AH$83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(fract)'!$AF$84:$AF$85</c:f>
            </c:multiLvlStrRef>
          </c:cat>
          <c:val>
            <c:numRef>
              <c:f>'Durée (Plan complet)'!$AH$84:$AH$85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6-4702-9C1F-70253584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01472"/>
        <c:axId val="91885568"/>
      </c:lineChart>
      <c:catAx>
        <c:axId val="918014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8855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8855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80147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complet)'!$AI$83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35127795846455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complet)'!$AJ$83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(fract)'!$AI$84:$AI$85</c:f>
            </c:multiLvlStrRef>
          </c:cat>
          <c:val>
            <c:numRef>
              <c:f>'Durée (Plan complet)'!$AJ$84:$AJ$85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5-4AAC-A273-09FA722894E8}"/>
            </c:ext>
          </c:extLst>
        </c:ser>
        <c:ser>
          <c:idx val="1"/>
          <c:order val="1"/>
          <c:tx>
            <c:strRef>
              <c:f>'Durée (Plan complet)'!$AK$83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(fract)'!$AI$84:$AI$85</c:f>
            </c:multiLvlStrRef>
          </c:cat>
          <c:val>
            <c:numRef>
              <c:f>'Durée (Plan complet)'!$AK$84:$AK$85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5-4AAC-A273-09FA72289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06432"/>
        <c:axId val="91908352"/>
      </c:lineChart>
      <c:catAx>
        <c:axId val="919064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083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9083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064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complet)'!$AL$83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883240483485476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complet)'!$AM$83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(fract)'!$AL$84:$AL$85</c:f>
            </c:multiLvlStrRef>
          </c:cat>
          <c:val>
            <c:numRef>
              <c:f>'Durée (Plan complet)'!$AM$84:$AM$85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8-4896-82B8-8F9B6B94A79D}"/>
            </c:ext>
          </c:extLst>
        </c:ser>
        <c:ser>
          <c:idx val="1"/>
          <c:order val="1"/>
          <c:tx>
            <c:strRef>
              <c:f>'Durée (Plan complet)'!$AN$83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(fract)'!$AL$84:$AL$85</c:f>
            </c:multiLvlStrRef>
          </c:cat>
          <c:val>
            <c:numRef>
              <c:f>'Durée (Plan complet)'!$AN$84:$AN$85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8-4896-82B8-8F9B6B94A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25120"/>
        <c:axId val="91939584"/>
      </c:lineChart>
      <c:catAx>
        <c:axId val="919251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395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93958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2512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complet)'!$AC$87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complet)'!$AD$87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(fract)'!$AC$88:$AC$89</c:f>
            </c:multiLvlStrRef>
          </c:cat>
          <c:val>
            <c:numRef>
              <c:f>'Durée (Plan complet)'!$AD$88:$AD$89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4-4EA5-8E71-8391AB141361}"/>
            </c:ext>
          </c:extLst>
        </c:ser>
        <c:ser>
          <c:idx val="1"/>
          <c:order val="1"/>
          <c:tx>
            <c:strRef>
              <c:f>'Durée (Plan complet)'!$AE$87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(fract)'!$AC$88:$AC$89</c:f>
            </c:multiLvlStrRef>
          </c:cat>
          <c:val>
            <c:numRef>
              <c:f>'Durée (Plan complet)'!$AE$88:$AE$89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4-4EA5-8E71-8391AB141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72736"/>
        <c:axId val="91974656"/>
      </c:lineChart>
      <c:catAx>
        <c:axId val="919727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746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97465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72736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complet)'!$AF$87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complet)'!$AG$87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(fract)'!$AF$88:$AF$89</c:f>
            </c:multiLvlStrRef>
          </c:cat>
          <c:val>
            <c:numRef>
              <c:f>'Durée (Plan complet)'!$AG$88:$AG$89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4-459F-8688-0324D5A09D7C}"/>
            </c:ext>
          </c:extLst>
        </c:ser>
        <c:ser>
          <c:idx val="1"/>
          <c:order val="1"/>
          <c:tx>
            <c:strRef>
              <c:f>'Durée (Plan complet)'!$AH$87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(fract)'!$AF$88:$AF$89</c:f>
            </c:multiLvlStrRef>
          </c:cat>
          <c:val>
            <c:numRef>
              <c:f>'Durée (Plan complet)'!$AH$88:$AH$89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4-459F-8688-0324D5A09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91424"/>
        <c:axId val="96474624"/>
      </c:lineChart>
      <c:catAx>
        <c:axId val="91991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4746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47462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914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complet)'!$AI$87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249266862170091"/>
          <c:w val="0.86885477729779659"/>
          <c:h val="0.68035190615835772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complet)'!$AJ$87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(fract)'!$AI$88:$AI$89</c:f>
            </c:multiLvlStrRef>
          </c:cat>
          <c:val>
            <c:numRef>
              <c:f>'Durée (Plan complet)'!$AJ$88:$AJ$89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7-4E57-8B3B-9A9E173EFBF1}"/>
            </c:ext>
          </c:extLst>
        </c:ser>
        <c:ser>
          <c:idx val="1"/>
          <c:order val="1"/>
          <c:tx>
            <c:strRef>
              <c:f>'Durée (Plan complet)'!$AK$87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(fract)'!$AI$88:$AI$89</c:f>
            </c:multiLvlStrRef>
          </c:cat>
          <c:val>
            <c:numRef>
              <c:f>'Durée (Plan complet)'!$AK$88:$AK$89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7-4E57-8B3B-9A9E173EF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99968"/>
        <c:axId val="96506240"/>
      </c:lineChart>
      <c:catAx>
        <c:axId val="964999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5062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5062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49996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complet)'!$AL$87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complet)'!$AM$87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(fract)'!$AL$88:$AL$89</c:f>
            </c:multiLvlStrRef>
          </c:cat>
          <c:val>
            <c:numRef>
              <c:f>'Durée (Plan complet)'!$AM$88:$AM$89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9-4C2E-BC3F-42EE3F90A60A}"/>
            </c:ext>
          </c:extLst>
        </c:ser>
        <c:ser>
          <c:idx val="1"/>
          <c:order val="1"/>
          <c:tx>
            <c:strRef>
              <c:f>'Durée (Plan complet)'!$AN$87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(fract)'!$AL$88:$AL$89</c:f>
            </c:multiLvlStrRef>
          </c:cat>
          <c:val>
            <c:numRef>
              <c:f>'Durée (Plan complet)'!$AN$88:$AN$89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9-4C2E-BC3F-42EE3F90A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7104"/>
        <c:axId val="96529024"/>
      </c:lineChart>
      <c:catAx>
        <c:axId val="965271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5290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52902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52710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complet)'!$AF$91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complet)'!$AG$91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(fract)'!$AF$92:$AF$93</c:f>
            </c:multiLvlStrRef>
          </c:cat>
          <c:val>
            <c:numRef>
              <c:f>'Durée (Plan complet)'!$AG$92:$AG$93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6-4933-B805-F278AE52EFCA}"/>
            </c:ext>
          </c:extLst>
        </c:ser>
        <c:ser>
          <c:idx val="1"/>
          <c:order val="1"/>
          <c:tx>
            <c:strRef>
              <c:f>'Durée (Plan complet)'!$AH$91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(fract)'!$AF$92:$AF$93</c:f>
            </c:multiLvlStrRef>
          </c:cat>
          <c:val>
            <c:numRef>
              <c:f>'Durée (Plan complet)'!$AH$92:$AH$93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6-4933-B805-F278AE52E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15424"/>
        <c:axId val="96629888"/>
      </c:lineChart>
      <c:catAx>
        <c:axId val="96615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298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62988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154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complet)'!$AI$91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472801017417256"/>
          <c:w val="0.86885477729779659"/>
          <c:h val="0.68481471169680075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complet)'!$AJ$91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(fract)'!$AI$92:$AI$93</c:f>
            </c:multiLvlStrRef>
          </c:cat>
          <c:val>
            <c:numRef>
              <c:f>'Durée (Plan complet)'!$AJ$92:$AJ$93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D-471D-B402-584D4F6DBF52}"/>
            </c:ext>
          </c:extLst>
        </c:ser>
        <c:ser>
          <c:idx val="1"/>
          <c:order val="1"/>
          <c:tx>
            <c:strRef>
              <c:f>'Durée (Plan complet)'!$AK$91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(fract)'!$AI$92:$AI$93</c:f>
            </c:multiLvlStrRef>
          </c:cat>
          <c:val>
            <c:numRef>
              <c:f>'Durée (Plan complet)'!$AK$92:$AK$93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D-471D-B402-584D4F6DB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63424"/>
        <c:axId val="96669696"/>
      </c:lineChart>
      <c:catAx>
        <c:axId val="96663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69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66969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634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complet)'!$AL$91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complet)'!$AM$91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(fract)'!$AL$92:$AL$93</c:f>
            </c:multiLvlStrRef>
          </c:cat>
          <c:val>
            <c:numRef>
              <c:f>'Durée (Plan complet)'!$AM$92:$AM$93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1-48BC-9A4A-CD936C97211E}"/>
            </c:ext>
          </c:extLst>
        </c:ser>
        <c:ser>
          <c:idx val="1"/>
          <c:order val="1"/>
          <c:tx>
            <c:strRef>
              <c:f>'Durée (Plan complet)'!$AN$91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(fract)'!$AL$92:$AL$93</c:f>
            </c:multiLvlStrRef>
          </c:cat>
          <c:val>
            <c:numRef>
              <c:f>'Durée (Plan complet)'!$AN$92:$AN$93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1-48BC-9A4A-CD936C97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02848"/>
        <c:axId val="96704768"/>
      </c:lineChart>
      <c:catAx>
        <c:axId val="967028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7047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7047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70284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(fract)'!$AI$95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753659289117103"/>
          <c:w val="0.86885477729779659"/>
          <c:h val="0.70724837876013014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(fract)'!$AJ$95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(fract)'!$AI$96:$AI$97</c:f>
            </c:multiLvlStrRef>
          </c:cat>
          <c:val>
            <c:numRef>
              <c:f>'Durée (fract)'!$AJ$96:$AJ$97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3-4368-808F-6ED6CD6AD685}"/>
            </c:ext>
          </c:extLst>
        </c:ser>
        <c:ser>
          <c:idx val="1"/>
          <c:order val="1"/>
          <c:tx>
            <c:strRef>
              <c:f>'Durée (fract)'!$AK$95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(fract)'!$AI$96:$AI$97</c:f>
            </c:multiLvlStrRef>
          </c:cat>
          <c:val>
            <c:numRef>
              <c:f>'Durée (fract)'!$AK$96:$AK$97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3-4368-808F-6ED6CD6AD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25632"/>
        <c:axId val="96801536"/>
      </c:lineChart>
      <c:catAx>
        <c:axId val="967256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015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0153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7256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435038595557604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complet)'!$AI$95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753659289117103"/>
          <c:w val="0.86885477729779659"/>
          <c:h val="0.70724837876013014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complet)'!$AJ$95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(fract)'!$AI$96:$AI$97</c:f>
            </c:multiLvlStrRef>
          </c:cat>
          <c:val>
            <c:numRef>
              <c:f>'Durée (Plan complet)'!$AJ$96:$AJ$97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7-4571-9318-F85B2F3CBFD6}"/>
            </c:ext>
          </c:extLst>
        </c:ser>
        <c:ser>
          <c:idx val="1"/>
          <c:order val="1"/>
          <c:tx>
            <c:strRef>
              <c:f>'Durée (Plan complet)'!$AK$95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(fract)'!$AI$96:$AI$97</c:f>
            </c:multiLvlStrRef>
          </c:cat>
          <c:val>
            <c:numRef>
              <c:f>'Durée (Plan complet)'!$AK$96:$AK$97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7-4571-9318-F85B2F3C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25632"/>
        <c:axId val="96801536"/>
      </c:lineChart>
      <c:catAx>
        <c:axId val="967256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015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0153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7256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435038595557604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complet)'!$AL$95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072506432592939"/>
          <c:w val="0.86885477729779659"/>
          <c:h val="0.68116134839602682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complet)'!$AM$95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(fract)'!$AL$96:$AL$97</c:f>
            </c:multiLvlStrRef>
          </c:cat>
          <c:val>
            <c:numRef>
              <c:f>'Durée (Plan complet)'!$AM$96:$AM$97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D-42FD-997E-16A198FE0111}"/>
            </c:ext>
          </c:extLst>
        </c:ser>
        <c:ser>
          <c:idx val="1"/>
          <c:order val="1"/>
          <c:tx>
            <c:strRef>
              <c:f>'Durée (Plan complet)'!$AN$95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(fract)'!$AL$96:$AL$97</c:f>
            </c:multiLvlStrRef>
          </c:cat>
          <c:val>
            <c:numRef>
              <c:f>'Durée (Plan complet)'!$AN$96:$AN$97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D-42FD-997E-16A198FE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34688"/>
        <c:axId val="96836608"/>
      </c:lineChart>
      <c:catAx>
        <c:axId val="968346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366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3660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3468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145182702623139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complet)'!$AL$99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2941683337665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941195055714413"/>
          <c:w val="0.86885477729779659"/>
          <c:h val="0.69705982459188975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complet)'!$AM$99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(fract)'!$AL$100:$AL$101</c:f>
            </c:multiLvlStrRef>
          </c:cat>
          <c:val>
            <c:numRef>
              <c:f>'Durée (Plan complet)'!$AM$100:$AM$101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6-41D4-AAEF-C0FBA1798B4F}"/>
            </c:ext>
          </c:extLst>
        </c:ser>
        <c:ser>
          <c:idx val="1"/>
          <c:order val="1"/>
          <c:tx>
            <c:strRef>
              <c:f>'Durée (Plan complet)'!$AN$99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(fract)'!$AL$100:$AL$101</c:f>
            </c:multiLvlStrRef>
          </c:cat>
          <c:val>
            <c:numRef>
              <c:f>'Durée (Plan complet)'!$AN$100:$AN$101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6-41D4-AAEF-C0FBA1798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65280"/>
        <c:axId val="96871552"/>
      </c:lineChart>
      <c:catAx>
        <c:axId val="968652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715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715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6528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355312274035903"/>
          <c:y val="0.90294247320552801"/>
          <c:w val="0.20491857955136711"/>
          <c:h val="6.17647945840915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D-455A-85C4-D6798DA5B5A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D-455A-85C4-D6798DA5B5A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F1D-455A-85C4-D6798DA5B5A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F1D-455A-85C4-D6798DA5B5A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F1D-455A-85C4-D6798DA5B5A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F1D-455A-85C4-D6798DA5B5A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F1D-455A-85C4-D6798DA5B5A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F1D-455A-85C4-D6798DA5B5A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F1D-455A-85C4-D6798DA5B5A1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1D-455A-85C4-D6798DA5B5A1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1D-455A-85C4-D6798DA5B5A1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1D-455A-85C4-D6798DA5B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21472"/>
        <c:axId val="96923008"/>
      </c:barChart>
      <c:catAx>
        <c:axId val="96921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9230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69230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6921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3-475F-8848-5789AB170DE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73-475F-8848-5789AB170DE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F73-475F-8848-5789AB170DE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F73-475F-8848-5789AB170DE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F73-475F-8848-5789AB170DE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F73-475F-8848-5789AB170DE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F73-475F-8848-5789AB170DE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F73-475F-8848-5789AB170DE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F73-475F-8848-5789AB170DE0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73-475F-8848-5789AB170DE0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73-475F-8848-5789AB170DE0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73-475F-8848-5789AB17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062912"/>
        <c:axId val="97064448"/>
      </c:barChart>
      <c:catAx>
        <c:axId val="97062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0644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0644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062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E-43C0-9799-DD1C87AD74E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E-43C0-9799-DD1C87AD74E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12E-43C0-9799-DD1C87AD74E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12E-43C0-9799-DD1C87AD74E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12E-43C0-9799-DD1C87AD74E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12E-43C0-9799-DD1C87AD74E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12E-43C0-9799-DD1C87AD74E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12E-43C0-9799-DD1C87AD74E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12E-43C0-9799-DD1C87AD74E7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2E-43C0-9799-DD1C87AD74E7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2E-43C0-9799-DD1C87AD74E7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2E-43C0-9799-DD1C87AD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26272"/>
        <c:axId val="97127808"/>
      </c:barChart>
      <c:catAx>
        <c:axId val="971262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1278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1278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12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0-40E4-8B47-7CBDE91B9DC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0-40E4-8B47-7CBDE91B9DC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140-40E4-8B47-7CBDE91B9DC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140-40E4-8B47-7CBDE91B9DC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140-40E4-8B47-7CBDE91B9DC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140-40E4-8B47-7CBDE91B9DC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140-40E4-8B47-7CBDE91B9DC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140-40E4-8B47-7CBDE91B9DC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140-40E4-8B47-7CBDE91B9DC7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40-40E4-8B47-7CBDE91B9DC7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40-40E4-8B47-7CBDE91B9DC7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40-40E4-8B47-7CBDE91B9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9888"/>
        <c:axId val="97191424"/>
      </c:barChart>
      <c:catAx>
        <c:axId val="97189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1914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1914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189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4-48FA-B817-678852011DE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4-48FA-B817-678852011DE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204-48FA-B817-678852011DE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204-48FA-B817-678852011DE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204-48FA-B817-678852011DE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204-48FA-B817-678852011DE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204-48FA-B817-678852011DE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204-48FA-B817-678852011DE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204-48FA-B817-678852011DE0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04-48FA-B817-678852011DE0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04-48FA-B817-678852011DE0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04-48FA-B817-678852011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49152"/>
        <c:axId val="97250688"/>
      </c:barChart>
      <c:catAx>
        <c:axId val="972491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2506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2506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24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8-4089-854D-73B5B43E4ED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8-4089-854D-73B5B43E4ED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D48-4089-854D-73B5B43E4ED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D48-4089-854D-73B5B43E4ED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D48-4089-854D-73B5B43E4ED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D48-4089-854D-73B5B43E4ED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D48-4089-854D-73B5B43E4ED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D48-4089-854D-73B5B43E4ED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D48-4089-854D-73B5B43E4ED7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48-4089-854D-73B5B43E4ED7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48-4089-854D-73B5B43E4ED7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48-4089-854D-73B5B43E4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78304"/>
        <c:axId val="97379840"/>
      </c:barChart>
      <c:catAx>
        <c:axId val="97378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3798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3798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378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9-4D72-B85B-5861A4AE1AF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9-4D72-B85B-5861A4AE1AF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1E9-4D72-B85B-5861A4AE1AF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1E9-4D72-B85B-5861A4AE1AF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1E9-4D72-B85B-5861A4AE1AF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1E9-4D72-B85B-5861A4AE1AF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1E9-4D72-B85B-5861A4AE1AF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1E9-4D72-B85B-5861A4AE1AF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1E9-4D72-B85B-5861A4AE1AF4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E9-4D72-B85B-5861A4AE1AF4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E9-4D72-B85B-5861A4AE1AF4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E9-4D72-B85B-5861A4AE1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45760"/>
        <c:axId val="97447296"/>
      </c:barChart>
      <c:catAx>
        <c:axId val="974457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4472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4472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445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(fract)'!$AL$95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072506432592939"/>
          <c:w val="0.86885477729779659"/>
          <c:h val="0.68116134839602682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(fract)'!$AM$95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(fract)'!$AL$96:$AL$97</c:f>
            </c:multiLvlStrRef>
          </c:cat>
          <c:val>
            <c:numRef>
              <c:f>'Durée (fract)'!$AM$96:$AM$97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E-4B24-BA83-2D208703A43D}"/>
            </c:ext>
          </c:extLst>
        </c:ser>
        <c:ser>
          <c:idx val="1"/>
          <c:order val="1"/>
          <c:tx>
            <c:strRef>
              <c:f>'Durée (fract)'!$AN$95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(fract)'!$AL$96:$AL$97</c:f>
            </c:multiLvlStrRef>
          </c:cat>
          <c:val>
            <c:numRef>
              <c:f>'Durée (fract)'!$AN$96:$AN$97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E-4B24-BA83-2D208703A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34688"/>
        <c:axId val="96836608"/>
      </c:lineChart>
      <c:catAx>
        <c:axId val="968346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366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3660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3468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145182702623139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C-4865-AFAB-6EC92A71F9C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C-4865-AFAB-6EC92A71F9C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E9C-4865-AFAB-6EC92A71F9C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E9C-4865-AFAB-6EC92A71F9C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E9C-4865-AFAB-6EC92A71F9C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E9C-4865-AFAB-6EC92A71F9C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E9C-4865-AFAB-6EC92A71F9C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E9C-4865-AFAB-6EC92A71F9C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E9C-4865-AFAB-6EC92A71F9C4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9C-4865-AFAB-6EC92A71F9C4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9C-4865-AFAB-6EC92A71F9C4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9C-4865-AFAB-6EC92A71F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74912"/>
        <c:axId val="97576448"/>
      </c:barChart>
      <c:catAx>
        <c:axId val="97574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5764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5764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574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7-4B1B-B864-B210B05CC6F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7-4B1B-B864-B210B05CC6F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217-4B1B-B864-B210B05CC6F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217-4B1B-B864-B210B05CC6F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217-4B1B-B864-B210B05CC6F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217-4B1B-B864-B210B05CC6F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217-4B1B-B864-B210B05CC6F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217-4B1B-B864-B210B05CC6F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217-4B1B-B864-B210B05CC6F6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17-4B1B-B864-B210B05CC6F6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17-4B1B-B864-B210B05CC6F6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17-4B1B-B864-B210B05CC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25984"/>
        <c:axId val="97627520"/>
      </c:barChart>
      <c:catAx>
        <c:axId val="976259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6275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62752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625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F-467A-9E90-AB316D0D839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F-467A-9E90-AB316D0D839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FAF-467A-9E90-AB316D0D839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FAF-467A-9E90-AB316D0D839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FAF-467A-9E90-AB316D0D839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FAF-467A-9E90-AB316D0D839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FAF-467A-9E90-AB316D0D839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FAF-467A-9E90-AB316D0D839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FAF-467A-9E90-AB316D0D8394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AF-467A-9E90-AB316D0D8394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AF-467A-9E90-AB316D0D8394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AF-467A-9E90-AB316D0D8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75616"/>
        <c:axId val="97777152"/>
      </c:barChart>
      <c:catAx>
        <c:axId val="97775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7771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7771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775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C-475F-88B4-24010A0A80B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C-475F-88B4-24010A0A80B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EBC-475F-88B4-24010A0A80B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EBC-475F-88B4-24010A0A80B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EBC-475F-88B4-24010A0A80B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EBC-475F-88B4-24010A0A80B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EBC-475F-88B4-24010A0A80B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EBC-475F-88B4-24010A0A80B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EBC-475F-88B4-24010A0A80B8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BC-475F-88B4-24010A0A80B8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BC-475F-88B4-24010A0A80B8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BC-475F-88B4-24010A0A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34880"/>
        <c:axId val="97836416"/>
      </c:barChart>
      <c:catAx>
        <c:axId val="97834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8364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8364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834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9-420D-90D4-94BDB925206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9-420D-90D4-94BDB925206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629-420D-90D4-94BDB925206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629-420D-90D4-94BDB925206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629-420D-90D4-94BDB925206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629-420D-90D4-94BDB925206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629-420D-90D4-94BDB925206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629-420D-90D4-94BDB925206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629-420D-90D4-94BDB925206F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29-420D-90D4-94BDB925206F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29-420D-90D4-94BDB925206F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29-420D-90D4-94BDB925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90688"/>
        <c:axId val="97892224"/>
      </c:barChart>
      <c:catAx>
        <c:axId val="97890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8922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8922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890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A-4A93-A672-E40A7E4C3B0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A-4A93-A672-E40A7E4C3B0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D6A-4A93-A672-E40A7E4C3B0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D6A-4A93-A672-E40A7E4C3B0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D6A-4A93-A672-E40A7E4C3B0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D6A-4A93-A672-E40A7E4C3B0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D6A-4A93-A672-E40A7E4C3B0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D6A-4A93-A672-E40A7E4C3B0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D6A-4A93-A672-E40A7E4C3B03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6A-4A93-A672-E40A7E4C3B03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6A-4A93-A672-E40A7E4C3B03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6A-4A93-A672-E40A7E4C3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52256"/>
        <c:axId val="99153792"/>
      </c:barChart>
      <c:catAx>
        <c:axId val="99152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1537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1537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152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E-4C3E-A4AD-C25063479A4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E-4C3E-A4AD-C25063479A4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0FE-4C3E-A4AD-C25063479A4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0FE-4C3E-A4AD-C25063479A4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0FE-4C3E-A4AD-C25063479A4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0FE-4C3E-A4AD-C25063479A4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0FE-4C3E-A4AD-C25063479A4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0FE-4C3E-A4AD-C25063479A4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0FE-4C3E-A4AD-C25063479A40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FE-4C3E-A4AD-C25063479A40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FE-4C3E-A4AD-C25063479A40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FE-4C3E-A4AD-C25063479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76352"/>
        <c:axId val="99082240"/>
      </c:barChart>
      <c:catAx>
        <c:axId val="99076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0822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0822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076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D-449B-AB25-FB6C6C3E6DC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D-449B-AB25-FB6C6C3E6DC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8AD-449B-AB25-FB6C6C3E6DC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8AD-449B-AB25-FB6C6C3E6DC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8AD-449B-AB25-FB6C6C3E6DC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8AD-449B-AB25-FB6C6C3E6DC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8AD-449B-AB25-FB6C6C3E6DC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8AD-449B-AB25-FB6C6C3E6DC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8AD-449B-AB25-FB6C6C3E6DC9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AD-449B-AB25-FB6C6C3E6DC9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AD-449B-AB25-FB6C6C3E6DC9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AD-449B-AB25-FB6C6C3E6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01408"/>
        <c:axId val="99202944"/>
      </c:barChart>
      <c:catAx>
        <c:axId val="99201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2029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2029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201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D-4A59-9B40-5EC84951A55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D-4A59-9B40-5EC84951A55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E3D-4A59-9B40-5EC84951A55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E3D-4A59-9B40-5EC84951A55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E3D-4A59-9B40-5EC84951A55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E3D-4A59-9B40-5EC84951A55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E3D-4A59-9B40-5EC84951A55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E3D-4A59-9B40-5EC84951A55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E3D-4A59-9B40-5EC84951A550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3D-4A59-9B40-5EC84951A550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3D-4A59-9B40-5EC84951A550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E3D-4A59-9B40-5EC84951A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30304"/>
        <c:axId val="99336192"/>
      </c:barChart>
      <c:catAx>
        <c:axId val="99330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3361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3361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330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5-4C33-BBEA-279BDA968FD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5-4C33-BBEA-279BDA968FD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BB5-4C33-BBEA-279BDA968FD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BB5-4C33-BBEA-279BDA968FD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BB5-4C33-BBEA-279BDA968FD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BB5-4C33-BBEA-279BDA968FD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BB5-4C33-BBEA-279BDA968FD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BB5-4C33-BBEA-279BDA968FD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BB5-4C33-BBEA-279BDA968FDB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B5-4C33-BBEA-279BDA968FDB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B5-4C33-BBEA-279BDA968FDB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B5-4C33-BBEA-279BDA968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06208"/>
        <c:axId val="99407744"/>
      </c:barChart>
      <c:catAx>
        <c:axId val="994062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077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077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06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(fract)'!$AL$99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2941683337665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941195055714413"/>
          <c:w val="0.86885477729779659"/>
          <c:h val="0.69705982459188975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(fract)'!$AM$99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(fract)'!$AL$100:$AL$101</c:f>
            </c:multiLvlStrRef>
          </c:cat>
          <c:val>
            <c:numRef>
              <c:f>'Durée (fract)'!$AM$100:$AM$101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5-43DB-8DEE-D14691D8B96D}"/>
            </c:ext>
          </c:extLst>
        </c:ser>
        <c:ser>
          <c:idx val="1"/>
          <c:order val="1"/>
          <c:tx>
            <c:strRef>
              <c:f>'Durée (fract)'!$AN$99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(fract)'!$AL$100:$AL$101</c:f>
            </c:multiLvlStrRef>
          </c:cat>
          <c:val>
            <c:numRef>
              <c:f>'Durée (fract)'!$AN$100:$AN$101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5-43DB-8DEE-D14691D8B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65280"/>
        <c:axId val="96871552"/>
      </c:lineChart>
      <c:catAx>
        <c:axId val="968652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715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715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6528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355312274035903"/>
          <c:y val="0.90294247320552801"/>
          <c:w val="0.20491857955136711"/>
          <c:h val="6.17647945840915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A-43C3-8347-6D91C6578F1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A-43C3-8347-6D91C6578F1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97A-43C3-8347-6D91C6578F1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97A-43C3-8347-6D91C6578F1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97A-43C3-8347-6D91C6578F1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97A-43C3-8347-6D91C6578F1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97A-43C3-8347-6D91C6578F1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97A-43C3-8347-6D91C6578F1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97A-43C3-8347-6D91C6578F15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7A-43C3-8347-6D91C6578F15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7A-43C3-8347-6D91C6578F15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7A-43C3-8347-6D91C6578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61376"/>
        <c:axId val="99475456"/>
      </c:barChart>
      <c:catAx>
        <c:axId val="994613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7545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7545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61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0-4ACF-A911-377DA96F27D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0-4ACF-A911-377DA96F27D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3D0-4ACF-A911-377DA96F27D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3D0-4ACF-A911-377DA96F27D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3D0-4ACF-A911-377DA96F27D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3D0-4ACF-A911-377DA96F27D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3D0-4ACF-A911-377DA96F27D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3D0-4ACF-A911-377DA96F27D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3D0-4ACF-A911-377DA96F27DA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0-4ACF-A911-377DA96F27DA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0-4ACF-A911-377DA96F27DA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0-4ACF-A911-377DA96F2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06912"/>
        <c:axId val="99608448"/>
      </c:barChart>
      <c:catAx>
        <c:axId val="99606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084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084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0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0-4BD8-86C4-1DDD0F8EEE7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0-4BD8-86C4-1DDD0F8EEE7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D60-4BD8-86C4-1DDD0F8EEE7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D60-4BD8-86C4-1DDD0F8EEE7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D60-4BD8-86C4-1DDD0F8EEE7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D60-4BD8-86C4-1DDD0F8EEE7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D60-4BD8-86C4-1DDD0F8EEE7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D60-4BD8-86C4-1DDD0F8EEE7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D60-4BD8-86C4-1DDD0F8EEE70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60-4BD8-86C4-1DDD0F8EEE70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60-4BD8-86C4-1DDD0F8EEE70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60-4BD8-86C4-1DDD0F8EE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78464"/>
        <c:axId val="99684352"/>
      </c:barChart>
      <c:catAx>
        <c:axId val="99678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843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843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7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E-4EA4-8611-71BC9FCC844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E-4EA4-8611-71BC9FCC844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76E-4EA4-8611-71BC9FCC844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76E-4EA4-8611-71BC9FCC844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76E-4EA4-8611-71BC9FCC844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76E-4EA4-8611-71BC9FCC844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76E-4EA4-8611-71BC9FCC844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76E-4EA4-8611-71BC9FCC844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76E-4EA4-8611-71BC9FCC844C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6E-4EA4-8611-71BC9FCC844C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6E-4EA4-8611-71BC9FCC844C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6E-4EA4-8611-71BC9FCC8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35808"/>
        <c:axId val="99749888"/>
      </c:barChart>
      <c:catAx>
        <c:axId val="99735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7498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7498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73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9-49F7-921A-C9E9C959838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9-49F7-921A-C9E9C959838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469-49F7-921A-C9E9C959838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469-49F7-921A-C9E9C959838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469-49F7-921A-C9E9C959838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469-49F7-921A-C9E9C959838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469-49F7-921A-C9E9C959838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469-49F7-921A-C9E9C959838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469-49F7-921A-C9E9C9598382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69-49F7-921A-C9E9C9598382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69-49F7-921A-C9E9C9598382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69-49F7-921A-C9E9C9598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80960"/>
        <c:axId val="99882496"/>
      </c:barChart>
      <c:catAx>
        <c:axId val="998809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8824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8824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880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6-4C1B-A139-E734D7A6491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6-4C1B-A139-E734D7A6491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356-4C1B-A139-E734D7A6491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356-4C1B-A139-E734D7A6491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356-4C1B-A139-E734D7A6491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356-4C1B-A139-E734D7A6491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356-4C1B-A139-E734D7A6491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356-4C1B-A139-E734D7A6491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356-4C1B-A139-E734D7A6491F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56-4C1B-A139-E734D7A6491F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56-4C1B-A139-E734D7A6491F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56-4C1B-A139-E734D7A64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36128"/>
        <c:axId val="99937664"/>
      </c:barChart>
      <c:catAx>
        <c:axId val="999361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9376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9376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936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4-4913-8446-12BBC8A3A0D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4-4913-8446-12BBC8A3A0D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3B4-4913-8446-12BBC8A3A0D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3B4-4913-8446-12BBC8A3A0D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3B4-4913-8446-12BBC8A3A0D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3B4-4913-8446-12BBC8A3A0D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3B4-4913-8446-12BBC8A3A0D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3B4-4913-8446-12BBC8A3A0D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3B4-4913-8446-12BBC8A3A0D9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B4-4913-8446-12BBC8A3A0D9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B4-4913-8446-12BBC8A3A0D9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B4-4913-8446-12BBC8A3A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81664"/>
        <c:axId val="100083200"/>
      </c:barChart>
      <c:catAx>
        <c:axId val="100081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0832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0832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081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6-4082-970E-916A0E6EDEB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6-4082-970E-916A0E6EDEB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EF6-4082-970E-916A0E6EDEB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EF6-4082-970E-916A0E6EDEB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EF6-4082-970E-916A0E6EDEB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EF6-4082-970E-916A0E6EDEB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EF6-4082-970E-916A0E6EDEB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EF6-4082-970E-916A0E6EDEB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EF6-4082-970E-916A0E6EDEB2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F6-4082-970E-916A0E6EDEB2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F6-4082-970E-916A0E6EDEB2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F6-4082-970E-916A0E6E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40928"/>
        <c:axId val="100142464"/>
      </c:barChart>
      <c:catAx>
        <c:axId val="100140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1424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1424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140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2-4D37-86B1-63F45E134CC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2-4D37-86B1-63F45E134CC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D92-4D37-86B1-63F45E134CC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D92-4D37-86B1-63F45E134CC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D92-4D37-86B1-63F45E134CC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D92-4D37-86B1-63F45E134CC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D92-4D37-86B1-63F45E134CC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D92-4D37-86B1-63F45E134CC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D92-4D37-86B1-63F45E134CCE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92-4D37-86B1-63F45E134CCE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92-4D37-86B1-63F45E134CCE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92-4D37-86B1-63F45E13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12736"/>
        <c:axId val="100214272"/>
      </c:barChart>
      <c:catAx>
        <c:axId val="10021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2142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2142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212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A-44B6-9747-394C214E3A2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A-44B6-9747-394C214E3A2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F3A-44B6-9747-394C214E3A2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F3A-44B6-9747-394C214E3A2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F3A-44B6-9747-394C214E3A2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F3A-44B6-9747-394C214E3A2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F3A-44B6-9747-394C214E3A2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F3A-44B6-9747-394C214E3A2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F3A-44B6-9747-394C214E3A2D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A-44B6-9747-394C214E3A2D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3A-44B6-9747-394C214E3A2D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3A-44B6-9747-394C214E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45728"/>
        <c:axId val="100347264"/>
      </c:barChart>
      <c:catAx>
        <c:axId val="1003457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3472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3472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345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3-494E-9917-45775777E19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3-494E-9917-45775777E19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263-494E-9917-45775777E19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263-494E-9917-45775777E19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263-494E-9917-45775777E19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263-494E-9917-45775777E19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263-494E-9917-45775777E19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263-494E-9917-45775777E19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263-494E-9917-45775777E19F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63-494E-9917-45775777E19F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63-494E-9917-45775777E19F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63-494E-9917-45775777E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21472"/>
        <c:axId val="96923008"/>
      </c:barChart>
      <c:catAx>
        <c:axId val="96921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9230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69230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6921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8-4EF5-89AC-CD8C5DAEF91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8-4EF5-89AC-CD8C5DAEF91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AD8-4EF5-89AC-CD8C5DAEF91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AD8-4EF5-89AC-CD8C5DAEF91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AD8-4EF5-89AC-CD8C5DAEF91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AD8-4EF5-89AC-CD8C5DAEF91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AD8-4EF5-89AC-CD8C5DAEF91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AD8-4EF5-89AC-CD8C5DAEF91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AD8-4EF5-89AC-CD8C5DAEF913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D8-4EF5-89AC-CD8C5DAEF913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D8-4EF5-89AC-CD8C5DAEF913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D8-4EF5-89AC-CD8C5DAEF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09344"/>
        <c:axId val="100410880"/>
      </c:barChart>
      <c:catAx>
        <c:axId val="100409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4108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4108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409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C-465F-9B4C-9DBAD4C7AAB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C-465F-9B4C-9DBAD4C7AAB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9AC-465F-9B4C-9DBAD4C7AAB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9AC-465F-9B4C-9DBAD4C7AAB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9AC-465F-9B4C-9DBAD4C7AAB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9AC-465F-9B4C-9DBAD4C7AAB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9AC-465F-9B4C-9DBAD4C7AAB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9AC-465F-9B4C-9DBAD4C7AAB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9AC-465F-9B4C-9DBAD4C7AAB8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AC-465F-9B4C-9DBAD4C7AAB8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AC-465F-9B4C-9DBAD4C7AAB8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AC-465F-9B4C-9DBAD4C7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89088"/>
        <c:axId val="100490624"/>
      </c:barChart>
      <c:catAx>
        <c:axId val="100489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4906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4906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489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E-4C88-A171-15CD6D79C99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E-4C88-A171-15CD6D79C99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9FE-4C88-A171-15CD6D79C99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9FE-4C88-A171-15CD6D79C99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9FE-4C88-A171-15CD6D79C99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9FE-4C88-A171-15CD6D79C99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9FE-4C88-A171-15CD6D79C99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9FE-4C88-A171-15CD6D79C99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9FE-4C88-A171-15CD6D79C991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FE-4C88-A171-15CD6D79C991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FE-4C88-A171-15CD6D79C991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FE-4C88-A171-15CD6D79C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630528"/>
        <c:axId val="100632064"/>
      </c:barChart>
      <c:catAx>
        <c:axId val="1006305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6320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6320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630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D-4C69-AE3C-EF6132E79DB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D-4C69-AE3C-EF6132E79DB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39D-4C69-AE3C-EF6132E79DB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39D-4C69-AE3C-EF6132E79DB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39D-4C69-AE3C-EF6132E79DB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39D-4C69-AE3C-EF6132E79DB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39D-4C69-AE3C-EF6132E79DB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39D-4C69-AE3C-EF6132E79DB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39D-4C69-AE3C-EF6132E79DBC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9D-4C69-AE3C-EF6132E79DBC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9D-4C69-AE3C-EF6132E79DBC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9D-4C69-AE3C-EF6132E7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42464"/>
        <c:axId val="101744000"/>
      </c:barChart>
      <c:catAx>
        <c:axId val="101742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17440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17440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174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E-4F17-BAA1-17E3B8ECF57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E-4F17-BAA1-17E3B8ECF57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21E-4F17-BAA1-17E3B8ECF57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21E-4F17-BAA1-17E3B8ECF57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21E-4F17-BAA1-17E3B8ECF57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21E-4F17-BAA1-17E3B8ECF57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21E-4F17-BAA1-17E3B8ECF57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21E-4F17-BAA1-17E3B8ECF57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21E-4F17-BAA1-17E3B8ECF57D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1E-4F17-BAA1-17E3B8ECF57D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1E-4F17-BAA1-17E3B8ECF57D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1E-4F17-BAA1-17E3B8ECF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04096"/>
        <c:axId val="102405632"/>
      </c:barChart>
      <c:catAx>
        <c:axId val="1024040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056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056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04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2-4299-BCE7-C9F1A2671D1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2-4299-BCE7-C9F1A2671D1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832-4299-BCE7-C9F1A2671D1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832-4299-BCE7-C9F1A2671D1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832-4299-BCE7-C9F1A2671D1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832-4299-BCE7-C9F1A2671D1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832-4299-BCE7-C9F1A2671D1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832-4299-BCE7-C9F1A2671D1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832-4299-BCE7-C9F1A2671D1F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32-4299-BCE7-C9F1A2671D1F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32-4299-BCE7-C9F1A2671D1F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32-4299-BCE7-C9F1A2671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67456"/>
        <c:axId val="102468992"/>
      </c:barChart>
      <c:catAx>
        <c:axId val="102467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689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689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67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5-4DEF-A908-57A14F75963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5-4DEF-A908-57A14F75963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AF5-4DEF-A908-57A14F75963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AF5-4DEF-A908-57A14F75963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AF5-4DEF-A908-57A14F75963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AF5-4DEF-A908-57A14F75963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AF5-4DEF-A908-57A14F75963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AF5-4DEF-A908-57A14F75963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AF5-4DEF-A908-57A14F75963D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F5-4DEF-A908-57A14F75963D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F5-4DEF-A908-57A14F75963D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F5-4DEF-A908-57A14F759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39264"/>
        <c:axId val="102540800"/>
      </c:barChart>
      <c:catAx>
        <c:axId val="102539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5408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5408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539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9-45FF-95E3-3EB2A35FEA5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9-45FF-95E3-3EB2A35FEA5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109-45FF-95E3-3EB2A35FEA5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109-45FF-95E3-3EB2A35FEA5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109-45FF-95E3-3EB2A35FEA5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109-45FF-95E3-3EB2A35FEA5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109-45FF-95E3-3EB2A35FEA5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109-45FF-95E3-3EB2A35FEA5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109-45FF-95E3-3EB2A35FEA53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09-45FF-95E3-3EB2A35FEA53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09-45FF-95E3-3EB2A35FEA53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09-45FF-95E3-3EB2A35FE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860672"/>
        <c:axId val="102862208"/>
      </c:barChart>
      <c:catAx>
        <c:axId val="102860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8622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8622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860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8-4E62-BE7E-F2BBE7C6A45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8-4E62-BE7E-F2BBE7C6A45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D58-4E62-BE7E-F2BBE7C6A45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D58-4E62-BE7E-F2BBE7C6A45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D58-4E62-BE7E-F2BBE7C6A45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D58-4E62-BE7E-F2BBE7C6A45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D58-4E62-BE7E-F2BBE7C6A45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D58-4E62-BE7E-F2BBE7C6A45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D58-4E62-BE7E-F2BBE7C6A453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58-4E62-BE7E-F2BBE7C6A453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58-4E62-BE7E-F2BBE7C6A453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58-4E62-BE7E-F2BBE7C6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33888"/>
        <c:axId val="103335424"/>
      </c:barChart>
      <c:catAx>
        <c:axId val="103333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3354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3354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333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9B3-A56C-0CF1B76532D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9B3-A56C-0CF1B76532D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445-49B3-A56C-0CF1B76532D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445-49B3-A56C-0CF1B76532D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445-49B3-A56C-0CF1B76532D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445-49B3-A56C-0CF1B76532D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445-49B3-A56C-0CF1B76532D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445-49B3-A56C-0CF1B76532D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445-49B3-A56C-0CF1B76532DF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45-49B3-A56C-0CF1B76532DF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45-49B3-A56C-0CF1B76532DF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45-49B3-A56C-0CF1B7653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3664"/>
        <c:axId val="103075200"/>
      </c:barChart>
      <c:catAx>
        <c:axId val="103073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0752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0752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073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A-4DF2-B8AE-4EFAB08B5D3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A-4DF2-B8AE-4EFAB08B5D3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11A-4DF2-B8AE-4EFAB08B5D3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11A-4DF2-B8AE-4EFAB08B5D3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11A-4DF2-B8AE-4EFAB08B5D3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11A-4DF2-B8AE-4EFAB08B5D3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11A-4DF2-B8AE-4EFAB08B5D3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11A-4DF2-B8AE-4EFAB08B5D3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11A-4DF2-B8AE-4EFAB08B5D38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A-4DF2-B8AE-4EFAB08B5D38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1A-4DF2-B8AE-4EFAB08B5D38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1A-4DF2-B8AE-4EFAB08B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062912"/>
        <c:axId val="97064448"/>
      </c:barChart>
      <c:catAx>
        <c:axId val="97062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0644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0644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062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E-479C-B512-EABAC739D31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E-479C-B512-EABAC739D31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0BE-479C-B512-EABAC739D31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0BE-479C-B512-EABAC739D31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0BE-479C-B512-EABAC739D31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0BE-479C-B512-EABAC739D31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0BE-479C-B512-EABAC739D31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0BE-479C-B512-EABAC739D31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0BE-479C-B512-EABAC739D311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BE-479C-B512-EABAC739D311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BE-479C-B512-EABAC739D311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BE-479C-B512-EABAC739D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23296"/>
        <c:axId val="103224832"/>
      </c:barChart>
      <c:catAx>
        <c:axId val="103223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248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2248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223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7-420A-A242-09A65A53820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7-420A-A242-09A65A53820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D17-420A-A242-09A65A53820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D17-420A-A242-09A65A53820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D17-420A-A242-09A65A53820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D17-420A-A242-09A65A53820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D17-420A-A242-09A65A53820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D17-420A-A242-09A65A53820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D17-420A-A242-09A65A538204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17-420A-A242-09A65A538204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17-420A-A242-09A65A538204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17-420A-A242-09A65A53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78464"/>
        <c:axId val="103280000"/>
      </c:barChart>
      <c:catAx>
        <c:axId val="103278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800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2800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27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0-47BB-A5DF-D42613EA75E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0-47BB-A5DF-D42613EA75E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C50-47BB-A5DF-D42613EA75E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C50-47BB-A5DF-D42613EA75E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C50-47BB-A5DF-D42613EA75E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C50-47BB-A5DF-D42613EA75E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C50-47BB-A5DF-D42613EA75E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C50-47BB-A5DF-D42613EA75E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C50-47BB-A5DF-D42613EA75EE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50-47BB-A5DF-D42613EA75EE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50-47BB-A5DF-D42613EA75EE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C50-47BB-A5DF-D42613EA7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1712"/>
        <c:axId val="103413248"/>
      </c:barChart>
      <c:catAx>
        <c:axId val="1034117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4132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4132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41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E-477C-9EF1-F265DB79130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E-477C-9EF1-F265DB79130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C6E-477C-9EF1-F265DB79130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C6E-477C-9EF1-F265DB79130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C6E-477C-9EF1-F265DB79130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C6E-477C-9EF1-F265DB79130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C6E-477C-9EF1-F265DB79130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C6E-477C-9EF1-F265DB79130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C6E-477C-9EF1-F265DB79130D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6E-477C-9EF1-F265DB79130D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6E-477C-9EF1-F265DB79130D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6E-477C-9EF1-F265DB791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44704"/>
        <c:axId val="103546240"/>
      </c:barChart>
      <c:catAx>
        <c:axId val="103544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5462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5462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544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B-49E8-A909-93D5342676F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B-49E8-A909-93D5342676F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ADB-49E8-A909-93D5342676F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ADB-49E8-A909-93D5342676F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ADB-49E8-A909-93D5342676F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ADB-49E8-A909-93D5342676F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ADB-49E8-A909-93D5342676F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ADB-49E8-A909-93D5342676F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ADB-49E8-A909-93D5342676FC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DB-49E8-A909-93D5342676FC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DB-49E8-A909-93D5342676FC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DB-49E8-A909-93D534267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16512"/>
        <c:axId val="103618048"/>
      </c:barChart>
      <c:catAx>
        <c:axId val="103616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6180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6180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616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6-42B0-909D-E8EAFC25259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6-42B0-909D-E8EAFC25259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B46-42B0-909D-E8EAFC25259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B46-42B0-909D-E8EAFC25259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B46-42B0-909D-E8EAFC25259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B46-42B0-909D-E8EAFC25259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B46-42B0-909D-E8EAFC25259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B46-42B0-909D-E8EAFC25259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B46-42B0-909D-E8EAFC25259B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46-42B0-909D-E8EAFC25259B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46-42B0-909D-E8EAFC25259B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46-42B0-909D-E8EAFC252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83968"/>
        <c:axId val="103685504"/>
      </c:barChart>
      <c:catAx>
        <c:axId val="1036839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6855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6855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683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4-473C-8DAA-EADE03F4F01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4-473C-8DAA-EADE03F4F01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D24-473C-8DAA-EADE03F4F01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D24-473C-8DAA-EADE03F4F01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D24-473C-8DAA-EADE03F4F01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D24-473C-8DAA-EADE03F4F01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D24-473C-8DAA-EADE03F4F01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D24-473C-8DAA-EADE03F4F01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D24-473C-8DAA-EADE03F4F01B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24-473C-8DAA-EADE03F4F01B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24-473C-8DAA-EADE03F4F01B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24-473C-8DAA-EADE03F4F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25408"/>
        <c:axId val="103826944"/>
      </c:barChart>
      <c:catAx>
        <c:axId val="103825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8269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8269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825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E-4D75-BBCA-F4182CE5B57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E-4D75-BBCA-F4182CE5B57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03E-4D75-BBCA-F4182CE5B57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03E-4D75-BBCA-F4182CE5B57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03E-4D75-BBCA-F4182CE5B57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03E-4D75-BBCA-F4182CE5B57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03E-4D75-BBCA-F4182CE5B57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03E-4D75-BBCA-F4182CE5B57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03E-4D75-BBCA-F4182CE5B572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3E-4D75-BBCA-F4182CE5B572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3E-4D75-BBCA-F4182CE5B572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3E-4D75-BBCA-F4182CE5B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80576"/>
        <c:axId val="103882112"/>
      </c:barChart>
      <c:catAx>
        <c:axId val="1038805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8821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8821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880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3-4131-874A-674BD742BBE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3-4131-874A-674BD742BBE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933-4131-874A-674BD742BBE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933-4131-874A-674BD742BBE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933-4131-874A-674BD742BBE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933-4131-874A-674BD742BBE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933-4131-874A-674BD742BBE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933-4131-874A-674BD742BBE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933-4131-874A-674BD742BBEB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33-4131-874A-674BD742BBEB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33-4131-874A-674BD742BBEB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33-4131-874A-674BD742B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42496"/>
        <c:axId val="104044032"/>
      </c:barChart>
      <c:catAx>
        <c:axId val="1040424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0440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0440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042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F-4D91-A22F-CA97DBF9801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F-4D91-A22F-CA97DBF9801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7FF-4D91-A22F-CA97DBF9801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7FF-4D91-A22F-CA97DBF9801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7FF-4D91-A22F-CA97DBF9801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7FF-4D91-A22F-CA97DBF9801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7FF-4D91-A22F-CA97DBF9801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7FF-4D91-A22F-CA97DBF9801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7FF-4D91-A22F-CA97DBF98015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FF-4D91-A22F-CA97DBF98015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FF-4D91-A22F-CA97DBF98015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FF-4D91-A22F-CA97DBF98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05856"/>
        <c:axId val="104107392"/>
      </c:barChart>
      <c:catAx>
        <c:axId val="104105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1073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1073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10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1-4209-AE53-C53FC372CFD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1-4209-AE53-C53FC372CFD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3C1-4209-AE53-C53FC372CFD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3C1-4209-AE53-C53FC372CFD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3C1-4209-AE53-C53FC372CFD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3C1-4209-AE53-C53FC372CFD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3C1-4209-AE53-C53FC372CFD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3C1-4209-AE53-C53FC372CFD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3C1-4209-AE53-C53FC372CFD4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C1-4209-AE53-C53FC372CFD4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C1-4209-AE53-C53FC372CFD4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C1-4209-AE53-C53FC372C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26272"/>
        <c:axId val="97127808"/>
      </c:barChart>
      <c:catAx>
        <c:axId val="971262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1278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1278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12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C-4E02-AF33-F827B9039AB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C-4E02-AF33-F827B9039AB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2CC-4E02-AF33-F827B9039AB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2CC-4E02-AF33-F827B9039AB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2CC-4E02-AF33-F827B9039AB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2CC-4E02-AF33-F827B9039AB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2CC-4E02-AF33-F827B9039AB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2CC-4E02-AF33-F827B9039AB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2CC-4E02-AF33-F827B9039AB2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CC-4E02-AF33-F827B9039AB2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CC-4E02-AF33-F827B9039AB2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CC-4E02-AF33-F827B9039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73568"/>
        <c:axId val="104175104"/>
      </c:barChart>
      <c:catAx>
        <c:axId val="1041735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1751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1751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173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B-4F84-9CDB-EFD39AF420A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B-4F84-9CDB-EFD39AF420A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07B-4F84-9CDB-EFD39AF420A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07B-4F84-9CDB-EFD39AF420A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07B-4F84-9CDB-EFD39AF420A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07B-4F84-9CDB-EFD39AF420A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07B-4F84-9CDB-EFD39AF420A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07B-4F84-9CDB-EFD39AF420A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07B-4F84-9CDB-EFD39AF420AF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7B-4F84-9CDB-EFD39AF420AF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7B-4F84-9CDB-EFD39AF420AF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07B-4F84-9CDB-EFD39AF42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98368"/>
        <c:axId val="104299904"/>
      </c:barChart>
      <c:catAx>
        <c:axId val="104298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2999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2999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298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C-4F58-AAA3-B8CE557317B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C-4F58-AAA3-B8CE557317B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3CC-4F58-AAA3-B8CE557317B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3CC-4F58-AAA3-B8CE557317B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3CC-4F58-AAA3-B8CE557317B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3CC-4F58-AAA3-B8CE557317B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3CC-4F58-AAA3-B8CE557317B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3CC-4F58-AAA3-B8CE557317B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3CC-4F58-AAA3-B8CE557317B2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CC-4F58-AAA3-B8CE557317B2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CC-4F58-AAA3-B8CE557317B2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CC-4F58-AAA3-B8CE55731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43904"/>
        <c:axId val="104445440"/>
      </c:barChart>
      <c:catAx>
        <c:axId val="104443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4454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4454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44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A-4353-8C5C-0E7FEF91B5F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A-4353-8C5C-0E7FEF91B5F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DAA-4353-8C5C-0E7FEF91B5F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DAA-4353-8C5C-0E7FEF91B5F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DAA-4353-8C5C-0E7FEF91B5F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DAA-4353-8C5C-0E7FEF91B5F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DAA-4353-8C5C-0E7FEF91B5F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DAA-4353-8C5C-0E7FEF91B5F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DAA-4353-8C5C-0E7FEF91B5F8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AA-4353-8C5C-0E7FEF91B5F8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AA-4353-8C5C-0E7FEF91B5F8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AA-4353-8C5C-0E7FEF91B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507264"/>
        <c:axId val="104508800"/>
      </c:barChart>
      <c:catAx>
        <c:axId val="104507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5088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5088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507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F-449D-9B65-5840739E03A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F-449D-9B65-5840739E03A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67F-449D-9B65-5840739E03A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67F-449D-9B65-5840739E03A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67F-449D-9B65-5840739E03A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67F-449D-9B65-5840739E03A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67F-449D-9B65-5840739E03A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67F-449D-9B65-5840739E03A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67F-449D-9B65-5840739E03AD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7F-449D-9B65-5840739E03AD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7F-449D-9B65-5840739E03AD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7F-449D-9B65-5840739E0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56896"/>
        <c:axId val="104658432"/>
      </c:barChart>
      <c:catAx>
        <c:axId val="104656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6584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6584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656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9-422B-9699-16BB4D76B09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9-422B-9699-16BB4D76B09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509-422B-9699-16BB4D76B09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509-422B-9699-16BB4D76B09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509-422B-9699-16BB4D76B09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509-422B-9699-16BB4D76B09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509-422B-9699-16BB4D76B09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509-422B-9699-16BB4D76B09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509-422B-9699-16BB4D76B09E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09-422B-9699-16BB4D76B09E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09-422B-9699-16BB4D76B09E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09-422B-9699-16BB4D76B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728448"/>
        <c:axId val="104729984"/>
      </c:barChart>
      <c:catAx>
        <c:axId val="1047284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72998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72998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728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9-4ED4-BC77-C6106D791A6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9-4ED4-BC77-C6106D791A6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2C9-4ED4-BC77-C6106D791A6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2C9-4ED4-BC77-C6106D791A6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2C9-4ED4-BC77-C6106D791A6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2C9-4ED4-BC77-C6106D791A6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2C9-4ED4-BC77-C6106D791A6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2C9-4ED4-BC77-C6106D791A6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2C9-4ED4-BC77-C6106D791A64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C9-4ED4-BC77-C6106D791A64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C9-4ED4-BC77-C6106D791A64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C9-4ED4-BC77-C6106D791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35424"/>
        <c:axId val="104936960"/>
      </c:barChart>
      <c:catAx>
        <c:axId val="104935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93696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93696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93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9-4D51-A372-C2039AF07B9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9-4D51-A372-C2039AF07B9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599-4D51-A372-C2039AF07B9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599-4D51-A372-C2039AF07B9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599-4D51-A372-C2039AF07B9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599-4D51-A372-C2039AF07B9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599-4D51-A372-C2039AF07B9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599-4D51-A372-C2039AF07B9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599-4D51-A372-C2039AF07B9C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99-4D51-A372-C2039AF07B9C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99-4D51-A372-C2039AF07B9C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99-4D51-A372-C2039AF07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80000"/>
        <c:axId val="104881536"/>
      </c:barChart>
      <c:catAx>
        <c:axId val="104880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88153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88153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880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2-4E2F-8683-13D7B778A13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2-4E2F-8683-13D7B778A13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942-4E2F-8683-13D7B778A13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942-4E2F-8683-13D7B778A13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942-4E2F-8683-13D7B778A13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942-4E2F-8683-13D7B778A13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942-4E2F-8683-13D7B778A13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942-4E2F-8683-13D7B778A13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942-4E2F-8683-13D7B778A13D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42-4E2F-8683-13D7B778A13D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42-4E2F-8683-13D7B778A13D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42-4E2F-8683-13D7B778A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17344"/>
        <c:axId val="105018880"/>
      </c:barChart>
      <c:catAx>
        <c:axId val="105017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0188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0188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017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1-485D-9F16-E9AB2D78421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1-485D-9F16-E9AB2D78421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F51-485D-9F16-E9AB2D78421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F51-485D-9F16-E9AB2D78421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F51-485D-9F16-E9AB2D78421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F51-485D-9F16-E9AB2D78421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F51-485D-9F16-E9AB2D78421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F51-485D-9F16-E9AB2D78421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F51-485D-9F16-E9AB2D784218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51-485D-9F16-E9AB2D784218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51-485D-9F16-E9AB2D784218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51-485D-9F16-E9AB2D784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0822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0822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080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C-49D7-964F-DCC9CD21D4F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C-49D7-964F-DCC9CD21D4F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19C-49D7-964F-DCC9CD21D4F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19C-49D7-964F-DCC9CD21D4F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19C-49D7-964F-DCC9CD21D4F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19C-49D7-964F-DCC9CD21D4F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19C-49D7-964F-DCC9CD21D4F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19C-49D7-964F-DCC9CD21D4F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19C-49D7-964F-DCC9CD21D4F6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9C-49D7-964F-DCC9CD21D4F6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9C-49D7-964F-DCC9CD21D4F6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9C-49D7-964F-DCC9CD21D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9888"/>
        <c:axId val="97191424"/>
      </c:barChart>
      <c:catAx>
        <c:axId val="97189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1914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1914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189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E-4572-A182-F7A49D1ECBC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E-4572-A182-F7A49D1ECBC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B1E-4572-A182-F7A49D1ECBC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B1E-4572-A182-F7A49D1ECBC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B1E-4572-A182-F7A49D1ECBC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B1E-4572-A182-F7A49D1ECBC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B1E-4572-A182-F7A49D1ECBC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B1E-4572-A182-F7A49D1ECBC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B1E-4572-A182-F7A49D1ECBCC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1E-4572-A182-F7A49D1ECBCC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1E-4572-A182-F7A49D1ECBCC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1E-4572-A182-F7A49D1EC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152512"/>
        <c:axId val="105154048"/>
      </c:barChart>
      <c:catAx>
        <c:axId val="105152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1540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1540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152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3-4602-87EC-1F20F277467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3-4602-87EC-1F20F277467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A23-4602-87EC-1F20F277467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A23-4602-87EC-1F20F277467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A23-4602-87EC-1F20F277467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A23-4602-87EC-1F20F277467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A23-4602-87EC-1F20F277467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A23-4602-87EC-1F20F277467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A23-4602-87EC-1F20F2774678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23-4602-87EC-1F20F2774678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23-4602-87EC-1F20F2774678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23-4602-87EC-1F20F277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85504"/>
        <c:axId val="105287040"/>
      </c:barChart>
      <c:catAx>
        <c:axId val="1052855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2870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2870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285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1-4119-9D03-AAE81ECF111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1-4119-9D03-AAE81ECF111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9E1-4119-9D03-AAE81ECF111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9E1-4119-9D03-AAE81ECF111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9E1-4119-9D03-AAE81ECF111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9E1-4119-9D03-AAE81ECF111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9E1-4119-9D03-AAE81ECF111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9E1-4119-9D03-AAE81ECF111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9E1-4119-9D03-AAE81ECF1117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E1-4119-9D03-AAE81ECF1117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E1-4119-9D03-AAE81ECF1117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E1-4119-9D03-AAE81ECF1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39232"/>
        <c:axId val="105440768"/>
      </c:barChart>
      <c:catAx>
        <c:axId val="1054392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44076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44076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439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B-4E27-9C9A-BDEFE67DE5D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B-4E27-9C9A-BDEFE67DE5D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67B-4E27-9C9A-BDEFE67DE5D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67B-4E27-9C9A-BDEFE67DE5D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67B-4E27-9C9A-BDEFE67DE5D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67B-4E27-9C9A-BDEFE67DE5D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67B-4E27-9C9A-BDEFE67DE5D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67B-4E27-9C9A-BDEFE67DE5D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67B-4E27-9C9A-BDEFE67DE5D5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7B-4E27-9C9A-BDEFE67DE5D5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7B-4E27-9C9A-BDEFE67DE5D5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7B-4E27-9C9A-BDEFE67DE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06688"/>
        <c:axId val="105508224"/>
      </c:barChart>
      <c:catAx>
        <c:axId val="105506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5082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5082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506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C-47A3-9CD1-0BAC9F2001E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C-47A3-9CD1-0BAC9F2001E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77C-47A3-9CD1-0BAC9F2001E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77C-47A3-9CD1-0BAC9F2001E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77C-47A3-9CD1-0BAC9F2001E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77C-47A3-9CD1-0BAC9F2001E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77C-47A3-9CD1-0BAC9F2001E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77C-47A3-9CD1-0BAC9F2001E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77C-47A3-9CD1-0BAC9F2001EC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7C-47A3-9CD1-0BAC9F2001EC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7C-47A3-9CD1-0BAC9F2001EC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7C-47A3-9CD1-0BAC9F200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25248"/>
        <c:axId val="105526784"/>
      </c:barChart>
      <c:catAx>
        <c:axId val="105525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52678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52678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525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3-4FC7-8B9C-0172FAE895D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3-4FC7-8B9C-0172FAE895D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313-4FC7-8B9C-0172FAE895D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313-4FC7-8B9C-0172FAE895D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313-4FC7-8B9C-0172FAE895D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313-4FC7-8B9C-0172FAE895D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313-4FC7-8B9C-0172FAE895D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313-4FC7-8B9C-0172FAE895D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313-4FC7-8B9C-0172FAE895DA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13-4FC7-8B9C-0172FAE895DA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13-4FC7-8B9C-0172FAE895DA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13-4FC7-8B9C-0172FAE89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27872"/>
        <c:axId val="105729408"/>
      </c:barChart>
      <c:catAx>
        <c:axId val="105727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7294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7294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727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6-4B94-BFC4-0FEF488A843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6-4B94-BFC4-0FEF488A843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FA6-4B94-BFC4-0FEF488A843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FA6-4B94-BFC4-0FEF488A843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FA6-4B94-BFC4-0FEF488A843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FA6-4B94-BFC4-0FEF488A843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FA6-4B94-BFC4-0FEF488A843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FA6-4B94-BFC4-0FEF488A843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FA6-4B94-BFC4-0FEF488A8439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A6-4B94-BFC4-0FEF488A8439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A6-4B94-BFC4-0FEF488A8439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A6-4B94-BFC4-0FEF488A8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91488"/>
        <c:axId val="105793024"/>
      </c:barChart>
      <c:catAx>
        <c:axId val="105791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7930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7930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791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4-4683-AA6E-51455081032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4-4683-AA6E-51455081032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A94-4683-AA6E-51455081032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A94-4683-AA6E-51455081032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A94-4683-AA6E-51455081032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A94-4683-AA6E-51455081032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A94-4683-AA6E-51455081032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A94-4683-AA6E-51455081032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A94-4683-AA6E-514550810329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94-4683-AA6E-514550810329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94-4683-AA6E-514550810329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94-4683-AA6E-514550810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912192"/>
        <c:axId val="105913728"/>
      </c:barChart>
      <c:catAx>
        <c:axId val="1059121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9137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9137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912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B-4A13-B663-64954BE3CE4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B-4A13-B663-64954BE3CE4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82B-4A13-B663-64954BE3CE4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82B-4A13-B663-64954BE3CE4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82B-4A13-B663-64954BE3CE4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82B-4A13-B663-64954BE3CE4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82B-4A13-B663-64954BE3CE4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82B-4A13-B663-64954BE3CE4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82B-4A13-B663-64954BE3CE4B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2B-4A13-B663-64954BE3CE4B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2B-4A13-B663-64954BE3CE4B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2B-4A13-B663-64954BE3C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12672"/>
        <c:axId val="106014208"/>
      </c:barChart>
      <c:catAx>
        <c:axId val="106012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0142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0142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012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D-4FC7-9930-29EE2A47935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D-4FC7-9930-29EE2A47935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7FD-4FC7-9930-29EE2A47935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7FD-4FC7-9930-29EE2A47935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7FD-4FC7-9930-29EE2A47935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7FD-4FC7-9930-29EE2A47935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7FD-4FC7-9930-29EE2A47935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7FD-4FC7-9930-29EE2A47935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7FD-4FC7-9930-29EE2A47935A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FD-4FC7-9930-29EE2A47935A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FD-4FC7-9930-29EE2A47935A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FD-4FC7-9930-29EE2A479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80128"/>
        <c:axId val="106081664"/>
      </c:barChart>
      <c:catAx>
        <c:axId val="1060801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0816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0816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080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0-425A-BEDB-DE42075C5BE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0-425A-BEDB-DE42075C5BE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7B0-425A-BEDB-DE42075C5BE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7B0-425A-BEDB-DE42075C5BE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7B0-425A-BEDB-DE42075C5BE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7B0-425A-BEDB-DE42075C5BE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7B0-425A-BEDB-DE42075C5BE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7B0-425A-BEDB-DE42075C5BE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7B0-425A-BEDB-DE42075C5BED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B0-425A-BEDB-DE42075C5BED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B0-425A-BEDB-DE42075C5BED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B0-425A-BEDB-DE42075C5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49152"/>
        <c:axId val="97250688"/>
      </c:barChart>
      <c:catAx>
        <c:axId val="972491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2506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2506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24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A-4205-9919-9A772EC799C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A-4205-9919-9A772EC799C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56A-4205-9919-9A772EC799C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56A-4205-9919-9A772EC799C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56A-4205-9919-9A772EC799C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56A-4205-9919-9A772EC799C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56A-4205-9919-9A772EC799C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56A-4205-9919-9A772EC799C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56A-4205-9919-9A772EC799C5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6A-4205-9919-9A772EC799C5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6A-4205-9919-9A772EC799C5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56A-4205-9919-9A772EC79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17472"/>
        <c:axId val="106219008"/>
      </c:barChart>
      <c:catAx>
        <c:axId val="106217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2190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2190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217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5-4964-BF14-3A990E0CE31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5-4964-BF14-3A990E0CE31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775-4964-BF14-3A990E0CE31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775-4964-BF14-3A990E0CE31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775-4964-BF14-3A990E0CE31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775-4964-BF14-3A990E0CE31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775-4964-BF14-3A990E0CE31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775-4964-BF14-3A990E0CE31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775-4964-BF14-3A990E0CE31E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75-4964-BF14-3A990E0CE31E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75-4964-BF14-3A990E0CE31E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75-4964-BF14-3A990E0C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01312"/>
        <c:axId val="106302848"/>
      </c:barChart>
      <c:catAx>
        <c:axId val="1063013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3028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3028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301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4A8-BB44-3386F858271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4A8-BB44-3386F858271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A59-44A8-BB44-3386F858271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A59-44A8-BB44-3386F858271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A59-44A8-BB44-3386F858271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A59-44A8-BB44-3386F858271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A59-44A8-BB44-3386F858271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A59-44A8-BB44-3386F858271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A59-44A8-BB44-3386F8582712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59-44A8-BB44-3386F8582712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59-44A8-BB44-3386F8582712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59-44A8-BB44-3386F8582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38656"/>
        <c:axId val="106440192"/>
      </c:barChart>
      <c:catAx>
        <c:axId val="106438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4401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4401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43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4-499A-8B43-D5DEC2AF827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4-499A-8B43-D5DEC2AF827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AC4-499A-8B43-D5DEC2AF827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AC4-499A-8B43-D5DEC2AF827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AC4-499A-8B43-D5DEC2AF827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AC4-499A-8B43-D5DEC2AF827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AC4-499A-8B43-D5DEC2AF827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AC4-499A-8B43-D5DEC2AF827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AC4-499A-8B43-D5DEC2AF8277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C4-499A-8B43-D5DEC2AF8277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C4-499A-8B43-D5DEC2AF8277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C4-499A-8B43-D5DEC2AF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06112"/>
        <c:axId val="106507648"/>
      </c:barChart>
      <c:catAx>
        <c:axId val="106506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5076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5076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506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Graphe du</a:t>
            </a:r>
            <a:r>
              <a:rPr lang="en-US" sz="2400" baseline="0"/>
              <a:t> Ratio Signal / Bruit</a:t>
            </a:r>
            <a:endParaRPr lang="en-US" sz="2400"/>
          </a:p>
        </c:rich>
      </c:tx>
      <c:layout>
        <c:manualLayout>
          <c:xMode val="edge"/>
          <c:yMode val="edge"/>
          <c:x val="0.35482380831474486"/>
          <c:y val="2.034493801121663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28018372703413"/>
          <c:y val="7.4548702245552642E-2"/>
          <c:w val="0.67380227471566068"/>
          <c:h val="0.68198344998541849"/>
        </c:manualLayout>
      </c:layout>
      <c:lineChart>
        <c:grouping val="standard"/>
        <c:varyColors val="0"/>
        <c:ser>
          <c:idx val="0"/>
          <c:order val="0"/>
          <c:spPr>
            <a:ln w="635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'Durée (Plan complet)'!$B$33:$B$52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pales/Long pales1</c:v>
                </c:pt>
                <c:pt idx="7">
                  <c:v>Larg pales/Long pales2</c:v>
                </c:pt>
                <c:pt idx="9">
                  <c:v>Nbre trombones1</c:v>
                </c:pt>
                <c:pt idx="10">
                  <c:v>Nbre trombones2</c:v>
                </c:pt>
                <c:pt idx="12">
                  <c:v>Larg pales/Nbre trombones1</c:v>
                </c:pt>
                <c:pt idx="13">
                  <c:v>Larg pales/Nbre trombones2</c:v>
                </c:pt>
                <c:pt idx="15">
                  <c:v>Long pales/Nbre trombones1</c:v>
                </c:pt>
                <c:pt idx="16">
                  <c:v>Long pales/Nbre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'Durée (Plan complet)'!$E$33:$E$52</c:f>
              <c:numCache>
                <c:formatCode>0.000</c:formatCode>
                <c:ptCount val="20"/>
                <c:pt idx="0">
                  <c:v>24.349477156891464</c:v>
                </c:pt>
                <c:pt idx="1">
                  <c:v>26.121339932040133</c:v>
                </c:pt>
                <c:pt idx="3">
                  <c:v>26.332642997603536</c:v>
                </c:pt>
                <c:pt idx="4">
                  <c:v>24.138174091328057</c:v>
                </c:pt>
                <c:pt idx="6">
                  <c:v>28.739702130084179</c:v>
                </c:pt>
                <c:pt idx="7">
                  <c:v>21.731114958847417</c:v>
                </c:pt>
                <c:pt idx="9">
                  <c:v>24.098763934557219</c:v>
                </c:pt>
                <c:pt idx="10">
                  <c:v>26.372053154374377</c:v>
                </c:pt>
                <c:pt idx="12">
                  <c:v>24.626798821827524</c:v>
                </c:pt>
                <c:pt idx="13">
                  <c:v>25.844018267104076</c:v>
                </c:pt>
                <c:pt idx="15">
                  <c:v>25.219053571036657</c:v>
                </c:pt>
                <c:pt idx="16">
                  <c:v>25.251763517894943</c:v>
                </c:pt>
                <c:pt idx="18">
                  <c:v>27.094458341056054</c:v>
                </c:pt>
                <c:pt idx="19">
                  <c:v>23.376358747875539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1-49FD-B3E5-660A8A128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15840"/>
        <c:axId val="106521728"/>
      </c:lineChart>
      <c:catAx>
        <c:axId val="10651584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in"/>
        <c:tickLblPos val="nextTo"/>
        <c:txPr>
          <a:bodyPr/>
          <a:lstStyle/>
          <a:p>
            <a:pPr>
              <a:defRPr sz="2400"/>
            </a:pPr>
            <a:endParaRPr lang="fr-FR"/>
          </a:p>
        </c:txPr>
        <c:crossAx val="106521728"/>
        <c:crosses val="autoZero"/>
        <c:auto val="1"/>
        <c:lblAlgn val="ctr"/>
        <c:lblOffset val="100"/>
        <c:noMultiLvlLbl val="0"/>
      </c:catAx>
      <c:valAx>
        <c:axId val="10652172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651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7113426971533352E-2"/>
          <c:y val="0.1165049924446683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dPt>
            <c:idx val="1"/>
            <c:bubble3D val="0"/>
            <c:spPr/>
            <c:extLst>
              <c:ext xmlns:c16="http://schemas.microsoft.com/office/drawing/2014/chart" uri="{C3380CC4-5D6E-409C-BE32-E72D297353CC}">
                <c16:uniqueId val="{00000001-13FE-4289-A3AF-A9DAA2A10C36}"/>
              </c:ext>
            </c:extLst>
          </c:dPt>
          <c:dPt>
            <c:idx val="4"/>
            <c:bubble3D val="0"/>
            <c:spPr/>
            <c:extLst>
              <c:ext xmlns:c16="http://schemas.microsoft.com/office/drawing/2014/chart" uri="{C3380CC4-5D6E-409C-BE32-E72D297353CC}">
                <c16:uniqueId val="{00000003-13FE-4289-A3AF-A9DAA2A10C36}"/>
              </c:ext>
            </c:extLst>
          </c:dPt>
          <c:dPt>
            <c:idx val="7"/>
            <c:bubble3D val="0"/>
            <c:spPr/>
            <c:extLst>
              <c:ext xmlns:c16="http://schemas.microsoft.com/office/drawing/2014/chart" uri="{C3380CC4-5D6E-409C-BE32-E72D297353CC}">
                <c16:uniqueId val="{00000005-13FE-4289-A3AF-A9DAA2A10C36}"/>
              </c:ext>
            </c:extLst>
          </c:dPt>
          <c:dPt>
            <c:idx val="10"/>
            <c:bubble3D val="0"/>
            <c:spPr/>
            <c:extLst>
              <c:ext xmlns:c16="http://schemas.microsoft.com/office/drawing/2014/chart" uri="{C3380CC4-5D6E-409C-BE32-E72D297353CC}">
                <c16:uniqueId val="{00000007-13FE-4289-A3AF-A9DAA2A10C36}"/>
              </c:ext>
            </c:extLst>
          </c:dPt>
          <c:dPt>
            <c:idx val="13"/>
            <c:bubble3D val="0"/>
            <c:spPr/>
            <c:extLst>
              <c:ext xmlns:c16="http://schemas.microsoft.com/office/drawing/2014/chart" uri="{C3380CC4-5D6E-409C-BE32-E72D297353CC}">
                <c16:uniqueId val="{00000009-13FE-4289-A3AF-A9DAA2A10C36}"/>
              </c:ext>
            </c:extLst>
          </c:dPt>
          <c:dPt>
            <c:idx val="16"/>
            <c:bubble3D val="0"/>
            <c:spPr/>
            <c:extLst>
              <c:ext xmlns:c16="http://schemas.microsoft.com/office/drawing/2014/chart" uri="{C3380CC4-5D6E-409C-BE32-E72D297353CC}">
                <c16:uniqueId val="{0000000B-13FE-4289-A3AF-A9DAA2A10C36}"/>
              </c:ext>
            </c:extLst>
          </c:dPt>
          <c:dPt>
            <c:idx val="19"/>
            <c:bubble3D val="0"/>
            <c:spPr/>
            <c:extLst>
              <c:ext xmlns:c16="http://schemas.microsoft.com/office/drawing/2014/chart" uri="{C3380CC4-5D6E-409C-BE32-E72D297353CC}">
                <c16:uniqueId val="{0000000D-13FE-4289-A3AF-A9DAA2A10C36}"/>
              </c:ext>
            </c:extLst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'Durée (Plan complet)'!$B$33:$B$52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pales/Long pales1</c:v>
                </c:pt>
                <c:pt idx="7">
                  <c:v>Larg pales/Long pales2</c:v>
                </c:pt>
                <c:pt idx="9">
                  <c:v>Nbre trombones1</c:v>
                </c:pt>
                <c:pt idx="10">
                  <c:v>Nbre trombones2</c:v>
                </c:pt>
                <c:pt idx="12">
                  <c:v>Larg pales/Nbre trombones1</c:v>
                </c:pt>
                <c:pt idx="13">
                  <c:v>Larg pales/Nbre trombones2</c:v>
                </c:pt>
                <c:pt idx="15">
                  <c:v>Long pales/Nbre trombones1</c:v>
                </c:pt>
                <c:pt idx="16">
                  <c:v>Long pales/Nbre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'Durée (Plan complet)'!$C$33:$C$52</c:f>
              <c:numCache>
                <c:formatCode>0.000</c:formatCode>
                <c:ptCount val="20"/>
                <c:pt idx="0">
                  <c:v>2.1975000000000002</c:v>
                </c:pt>
                <c:pt idx="1">
                  <c:v>1.9308333333333334</c:v>
                </c:pt>
                <c:pt idx="3">
                  <c:v>1.8816666666666668</c:v>
                </c:pt>
                <c:pt idx="4">
                  <c:v>2.2466666666666666</c:v>
                </c:pt>
                <c:pt idx="6">
                  <c:v>2.0208333333333335</c:v>
                </c:pt>
                <c:pt idx="7">
                  <c:v>2.1074999999999999</c:v>
                </c:pt>
                <c:pt idx="9">
                  <c:v>2.2158333333333333</c:v>
                </c:pt>
                <c:pt idx="10">
                  <c:v>1.9124999999999999</c:v>
                </c:pt>
                <c:pt idx="12">
                  <c:v>2.0649999999999999</c:v>
                </c:pt>
                <c:pt idx="13">
                  <c:v>2.0633333333333335</c:v>
                </c:pt>
                <c:pt idx="15">
                  <c:v>2.1025</c:v>
                </c:pt>
                <c:pt idx="16">
                  <c:v>2.0258333333333334</c:v>
                </c:pt>
                <c:pt idx="18">
                  <c:v>2.041666666666667</c:v>
                </c:pt>
                <c:pt idx="19">
                  <c:v>2.0866666666666669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3FE-4289-A3AF-A9DAA2A1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80608"/>
        <c:axId val="106582400"/>
      </c:lineChart>
      <c:catAx>
        <c:axId val="1065806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106582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82400"/>
        <c:scaling>
          <c:orientation val="minMax"/>
          <c:min val="1.85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fr-FR"/>
          </a:p>
        </c:txPr>
        <c:crossAx val="106580608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Graphe</a:t>
            </a:r>
            <a:r>
              <a:rPr lang="fr-FR" baseline="0"/>
              <a:t> des </a:t>
            </a:r>
            <a:r>
              <a:rPr lang="fr-FR"/>
              <a:t>Effets sur la Variance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3975">
              <a:solidFill>
                <a:srgbClr val="FF0000"/>
              </a:solidFill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'Durée (Plan complet)'!$B$33:$B$52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pales/Long pales1</c:v>
                </c:pt>
                <c:pt idx="7">
                  <c:v>Larg pales/Long pales2</c:v>
                </c:pt>
                <c:pt idx="9">
                  <c:v>Nbre trombones1</c:v>
                </c:pt>
                <c:pt idx="10">
                  <c:v>Nbre trombones2</c:v>
                </c:pt>
                <c:pt idx="12">
                  <c:v>Larg pales/Nbre trombones1</c:v>
                </c:pt>
                <c:pt idx="13">
                  <c:v>Larg pales/Nbre trombones2</c:v>
                </c:pt>
                <c:pt idx="15">
                  <c:v>Long pales/Nbre trombones1</c:v>
                </c:pt>
                <c:pt idx="16">
                  <c:v>Long pales/Nbre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'Durée (Plan complet)'!$G$33:$G$52</c:f>
              <c:numCache>
                <c:formatCode>0.000</c:formatCode>
                <c:ptCount val="20"/>
                <c:pt idx="0">
                  <c:v>4.8016666666667041E-2</c:v>
                </c:pt>
                <c:pt idx="1">
                  <c:v>1.200833333333334E-2</c:v>
                </c:pt>
                <c:pt idx="3">
                  <c:v>1.1416666666666669E-2</c:v>
                </c:pt>
                <c:pt idx="4">
                  <c:v>4.8608333333333704E-2</c:v>
                </c:pt>
                <c:pt idx="6">
                  <c:v>5.5583333333333387E-3</c:v>
                </c:pt>
                <c:pt idx="7">
                  <c:v>5.4466666666667038E-2</c:v>
                </c:pt>
                <c:pt idx="9">
                  <c:v>4.9508333333333703E-2</c:v>
                </c:pt>
                <c:pt idx="10">
                  <c:v>1.0516666666666672E-2</c:v>
                </c:pt>
                <c:pt idx="12">
                  <c:v>4.4300000000000367E-2</c:v>
                </c:pt>
                <c:pt idx="13">
                  <c:v>1.572500000000001E-2</c:v>
                </c:pt>
                <c:pt idx="15">
                  <c:v>1.6766666666666673E-2</c:v>
                </c:pt>
                <c:pt idx="16">
                  <c:v>4.3258333333333704E-2</c:v>
                </c:pt>
                <c:pt idx="18">
                  <c:v>1.0208333333333333E-2</c:v>
                </c:pt>
                <c:pt idx="19">
                  <c:v>4.9816666666667044E-2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6-478A-853D-54E49DF682C1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619648"/>
        <c:axId val="106621184"/>
      </c:lineChart>
      <c:catAx>
        <c:axId val="10661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106621184"/>
        <c:crosses val="autoZero"/>
        <c:auto val="1"/>
        <c:lblAlgn val="ctr"/>
        <c:lblOffset val="100"/>
        <c:noMultiLvlLbl val="0"/>
      </c:catAx>
      <c:valAx>
        <c:axId val="106621184"/>
        <c:scaling>
          <c:orientation val="minMax"/>
          <c:min val="2.0000000000000005E-3"/>
        </c:scaling>
        <c:delete val="0"/>
        <c:axPos val="l"/>
        <c:majorGridlines>
          <c:spPr>
            <a:ln w="22225"/>
          </c:spPr>
        </c:majorGridlines>
        <c:numFmt formatCode="0.000" sourceLinked="1"/>
        <c:majorTickMark val="out"/>
        <c:minorTickMark val="none"/>
        <c:tickLblPos val="nextTo"/>
        <c:crossAx val="106619648"/>
        <c:crosses val="autoZero"/>
        <c:crossBetween val="between"/>
      </c:valAx>
    </c:plotArea>
    <c:plotVisOnly val="1"/>
    <c:dispBlanksAs val="gap"/>
    <c:showDLblsOverMax val="0"/>
  </c:chart>
  <c:spPr>
    <a:ln w="28575"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Contribution</a:t>
            </a:r>
            <a:r>
              <a:rPr lang="fr-FR" baseline="0"/>
              <a:t> de chaque facteur à la réponse</a:t>
            </a:r>
            <a:endParaRPr lang="fr-FR"/>
          </a:p>
        </c:rich>
      </c:tx>
      <c:layout>
        <c:manualLayout>
          <c:xMode val="edge"/>
          <c:yMode val="edge"/>
          <c:x val="0.34453508312801329"/>
          <c:y val="5.9645914408010724E-2"/>
        </c:manualLayout>
      </c:layout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'Durée (Plan complet)'!$C$59:$C$66</c:f>
              <c:strCache>
                <c:ptCount val="8"/>
                <c:pt idx="0">
                  <c:v>Larg pales</c:v>
                </c:pt>
                <c:pt idx="1">
                  <c:v>Long pales</c:v>
                </c:pt>
                <c:pt idx="2">
                  <c:v>Larg pales/Long pales</c:v>
                </c:pt>
                <c:pt idx="3">
                  <c:v>Nbre trombones</c:v>
                </c:pt>
                <c:pt idx="4">
                  <c:v>Larg pales/Nbre trombones</c:v>
                </c:pt>
                <c:pt idx="5">
                  <c:v>Long pales/Nbre trombones</c:v>
                </c:pt>
                <c:pt idx="7">
                  <c:v>Résidus</c:v>
                </c:pt>
              </c:strCache>
            </c:strRef>
          </c:cat>
          <c:val>
            <c:numRef>
              <c:f>'Durée (Plan complet)'!$E$59:$E$66</c:f>
              <c:numCache>
                <c:formatCode>0.00</c:formatCode>
                <c:ptCount val="8"/>
                <c:pt idx="0">
                  <c:v>0.42666666666666653</c:v>
                </c:pt>
                <c:pt idx="1">
                  <c:v>0.79935000000000089</c:v>
                </c:pt>
                <c:pt idx="2">
                  <c:v>4.5066666666666901E-2</c:v>
                </c:pt>
                <c:pt idx="3">
                  <c:v>0.55206666666666471</c:v>
                </c:pt>
                <c:pt idx="4">
                  <c:v>1.6666666666654114E-5</c:v>
                </c:pt>
                <c:pt idx="5">
                  <c:v>3.5266666666666252E-2</c:v>
                </c:pt>
                <c:pt idx="6">
                  <c:v>1.2149999999999963E-2</c:v>
                </c:pt>
                <c:pt idx="7">
                  <c:v>0.48020000000000773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8-495F-ADE5-787B5235E7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565635003283374E-2"/>
          <c:y val="0.10352812285438354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spPr>
            <a:ln w="5715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 w="57150">
                <a:solidFill>
                  <a:srgbClr val="000080"/>
                </a:solidFill>
                <a:prstDash val="solid"/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290-483A-B15C-42C5FB9F4DE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290-483A-B15C-42C5FB9F4DE3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290-483A-B15C-42C5FB9F4DE3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290-483A-B15C-42C5FB9F4DE3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290-483A-B15C-42C5FB9F4DE3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290-483A-B15C-42C5FB9F4DE3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290-483A-B15C-42C5FB9F4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'Durée (fract)'!$B$33:$B$52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fuselage1</c:v>
                </c:pt>
                <c:pt idx="7">
                  <c:v>Larg fuselage2</c:v>
                </c:pt>
                <c:pt idx="9">
                  <c:v>Long fuselage1</c:v>
                </c:pt>
                <c:pt idx="10">
                  <c:v>Long fuselage2</c:v>
                </c:pt>
                <c:pt idx="12">
                  <c:v>inclinaison pales1</c:v>
                </c:pt>
                <c:pt idx="13">
                  <c:v>inclinaison pales2</c:v>
                </c:pt>
                <c:pt idx="15">
                  <c:v>Nbre trombones1</c:v>
                </c:pt>
                <c:pt idx="16">
                  <c:v>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'Durée (fract)'!$C$33:$C$52</c:f>
              <c:numCache>
                <c:formatCode>0.000</c:formatCode>
                <c:ptCount val="20"/>
                <c:pt idx="0">
                  <c:v>1.8154999999999997</c:v>
                </c:pt>
                <c:pt idx="1">
                  <c:v>1.8780000000000001</c:v>
                </c:pt>
                <c:pt idx="3">
                  <c:v>1.7174999999999998</c:v>
                </c:pt>
                <c:pt idx="4">
                  <c:v>1.976</c:v>
                </c:pt>
                <c:pt idx="6">
                  <c:v>2.0045000000000002</c:v>
                </c:pt>
                <c:pt idx="7">
                  <c:v>1.6890000000000001</c:v>
                </c:pt>
                <c:pt idx="9">
                  <c:v>1.843</c:v>
                </c:pt>
                <c:pt idx="10">
                  <c:v>1.8504999999999998</c:v>
                </c:pt>
                <c:pt idx="12">
                  <c:v>2.0590000000000002</c:v>
                </c:pt>
                <c:pt idx="13">
                  <c:v>1.6345000000000001</c:v>
                </c:pt>
                <c:pt idx="15">
                  <c:v>2.0529999999999999</c:v>
                </c:pt>
                <c:pt idx="16">
                  <c:v>1.6404999999999998</c:v>
                </c:pt>
                <c:pt idx="18">
                  <c:v>1.8319999999999999</c:v>
                </c:pt>
                <c:pt idx="19">
                  <c:v>1.8614999999999999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90-483A-B15C-42C5FB9F4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17536"/>
        <c:axId val="89619072"/>
      </c:lineChart>
      <c:catAx>
        <c:axId val="896175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190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9619072"/>
        <c:scaling>
          <c:orientation val="minMax"/>
          <c:min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17536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C-46B9-861E-2DEC90BE7D6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C-46B9-861E-2DEC90BE7D6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71C-46B9-861E-2DEC90BE7D6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71C-46B9-861E-2DEC90BE7D6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71C-46B9-861E-2DEC90BE7D6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71C-46B9-861E-2DEC90BE7D6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71C-46B9-861E-2DEC90BE7D6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71C-46B9-861E-2DEC90BE7D6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71C-46B9-861E-2DEC90BE7D62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1C-46B9-861E-2DEC90BE7D62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1C-46B9-861E-2DEC90BE7D62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1C-46B9-861E-2DEC90BE7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78304"/>
        <c:axId val="97379840"/>
      </c:barChart>
      <c:catAx>
        <c:axId val="97378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3798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3798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378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7-470A-B522-96F0416BA1E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7-470A-B522-96F0416BA1E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CF7-470A-B522-96F0416BA1E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CF7-470A-B522-96F0416BA1E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CF7-470A-B522-96F0416BA1E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CF7-470A-B522-96F0416BA1E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CF7-470A-B522-96F0416BA1E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CF7-470A-B522-96F0416BA1E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CF7-470A-B522-96F0416BA1E5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F7-470A-B522-96F0416BA1E5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F7-470A-B522-96F0416BA1E5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CF7-470A-B522-96F0416BA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45760"/>
        <c:axId val="97447296"/>
      </c:barChart>
      <c:catAx>
        <c:axId val="974457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4472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4472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445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C-495E-A2DA-3D83FFE9230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C-495E-A2DA-3D83FFE9230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B8C-495E-A2DA-3D83FFE9230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B8C-495E-A2DA-3D83FFE9230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B8C-495E-A2DA-3D83FFE9230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B8C-495E-A2DA-3D83FFE9230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B8C-495E-A2DA-3D83FFE9230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B8C-495E-A2DA-3D83FFE9230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B8C-495E-A2DA-3D83FFE92307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8C-495E-A2DA-3D83FFE92307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8C-495E-A2DA-3D83FFE92307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8C-495E-A2DA-3D83FFE92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74912"/>
        <c:axId val="97576448"/>
      </c:barChart>
      <c:catAx>
        <c:axId val="97574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5764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5764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574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5-4B3A-A8D7-E050E188583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5-4B3A-A8D7-E050E188583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475-4B3A-A8D7-E050E188583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475-4B3A-A8D7-E050E188583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475-4B3A-A8D7-E050E188583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475-4B3A-A8D7-E050E188583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475-4B3A-A8D7-E050E188583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475-4B3A-A8D7-E050E188583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475-4B3A-A8D7-E050E188583E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75-4B3A-A8D7-E050E188583E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75-4B3A-A8D7-E050E188583E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75-4B3A-A8D7-E050E188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25984"/>
        <c:axId val="97627520"/>
      </c:barChart>
      <c:catAx>
        <c:axId val="976259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6275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62752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625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7-44F2-A4FB-E473D4974BA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7-44F2-A4FB-E473D4974BA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837-44F2-A4FB-E473D4974BA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837-44F2-A4FB-E473D4974BA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837-44F2-A4FB-E473D4974BA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837-44F2-A4FB-E473D4974BA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837-44F2-A4FB-E473D4974BA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837-44F2-A4FB-E473D4974BA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837-44F2-A4FB-E473D4974BA7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37-44F2-A4FB-E473D4974BA7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37-44F2-A4FB-E473D4974BA7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37-44F2-A4FB-E473D4974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75616"/>
        <c:axId val="97777152"/>
      </c:barChart>
      <c:catAx>
        <c:axId val="97775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7771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7771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775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8-4208-A108-2CF94C9B94F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8-4208-A108-2CF94C9B94F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548-4208-A108-2CF94C9B94F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548-4208-A108-2CF94C9B94F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548-4208-A108-2CF94C9B94F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548-4208-A108-2CF94C9B94F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548-4208-A108-2CF94C9B94F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548-4208-A108-2CF94C9B94F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548-4208-A108-2CF94C9B94F5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48-4208-A108-2CF94C9B94F5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48-4208-A108-2CF94C9B94F5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48-4208-A108-2CF94C9B9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34880"/>
        <c:axId val="97836416"/>
      </c:barChart>
      <c:catAx>
        <c:axId val="97834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8364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8364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834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D27-8CC4-FA5BECEB38C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D27-8CC4-FA5BECEB38C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9CC-4D27-8CC4-FA5BECEB38C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9CC-4D27-8CC4-FA5BECEB38C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9CC-4D27-8CC4-FA5BECEB38C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9CC-4D27-8CC4-FA5BECEB38C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9CC-4D27-8CC4-FA5BECEB38C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9CC-4D27-8CC4-FA5BECEB38C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9CC-4D27-8CC4-FA5BECEB38CD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CC-4D27-8CC4-FA5BECEB38CD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CC-4D27-8CC4-FA5BECEB38CD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CC-4D27-8CC4-FA5BECEB3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90688"/>
        <c:axId val="97892224"/>
      </c:barChart>
      <c:catAx>
        <c:axId val="97890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8922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8922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890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C-4E4F-ADF8-492E1196C44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C-4E4F-ADF8-492E1196C44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F6C-4E4F-ADF8-492E1196C44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F6C-4E4F-ADF8-492E1196C44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F6C-4E4F-ADF8-492E1196C44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F6C-4E4F-ADF8-492E1196C44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F6C-4E4F-ADF8-492E1196C44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F6C-4E4F-ADF8-492E1196C44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F6C-4E4F-ADF8-492E1196C443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6C-4E4F-ADF8-492E1196C443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6C-4E4F-ADF8-492E1196C443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6C-4E4F-ADF8-492E1196C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52256"/>
        <c:axId val="99153792"/>
      </c:barChart>
      <c:catAx>
        <c:axId val="99152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1537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1537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152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7-4EA7-8D21-9C94B6DC308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7-4EA7-8D21-9C94B6DC308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3E7-4EA7-8D21-9C94B6DC308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3E7-4EA7-8D21-9C94B6DC308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3E7-4EA7-8D21-9C94B6DC308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3E7-4EA7-8D21-9C94B6DC308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3E7-4EA7-8D21-9C94B6DC308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3E7-4EA7-8D21-9C94B6DC308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3E7-4EA7-8D21-9C94B6DC3082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E7-4EA7-8D21-9C94B6DC3082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E7-4EA7-8D21-9C94B6DC3082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E7-4EA7-8D21-9C94B6DC3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76352"/>
        <c:axId val="99082240"/>
      </c:barChart>
      <c:catAx>
        <c:axId val="99076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0822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0822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076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3-435A-86FB-5D2C72DFB23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3-435A-86FB-5D2C72DFB23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D83-435A-86FB-5D2C72DFB23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D83-435A-86FB-5D2C72DFB23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D83-435A-86FB-5D2C72DFB23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D83-435A-86FB-5D2C72DFB23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D83-435A-86FB-5D2C72DFB23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D83-435A-86FB-5D2C72DFB23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D83-435A-86FB-5D2C72DFB239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3-435A-86FB-5D2C72DFB239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3-435A-86FB-5D2C72DFB239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83-435A-86FB-5D2C72DFB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01408"/>
        <c:axId val="99202944"/>
      </c:barChart>
      <c:catAx>
        <c:axId val="99201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2029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2029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201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(fract)'!$W$79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930232558139542"/>
          <c:w val="0.86885477729779659"/>
          <c:h val="0.61627906976744173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(fract)'!$W$80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(fract)'!$X$79:$Y$79</c:f>
            </c:multiLvlStrRef>
          </c:cat>
          <c:val>
            <c:numRef>
              <c:f>'Durée (fract)'!$X$80:$Y$80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0-41E8-84F5-AC697F2B1AAE}"/>
            </c:ext>
          </c:extLst>
        </c:ser>
        <c:ser>
          <c:idx val="1"/>
          <c:order val="1"/>
          <c:tx>
            <c:strRef>
              <c:f>'Durée (fract)'!$W$81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(fract)'!$X$79:$Y$79</c:f>
            </c:multiLvlStrRef>
          </c:cat>
          <c:val>
            <c:numRef>
              <c:f>'Durée (fract)'!$X$81:$Y$81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0-41E8-84F5-AC697F2B1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51840"/>
        <c:axId val="89658112"/>
      </c:lineChart>
      <c:catAx>
        <c:axId val="8965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581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65811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5184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E-4A09-9C2E-521C7463345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E-4A09-9C2E-521C7463345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F9E-4A09-9C2E-521C7463345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F9E-4A09-9C2E-521C7463345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F9E-4A09-9C2E-521C7463345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F9E-4A09-9C2E-521C7463345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F9E-4A09-9C2E-521C7463345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F9E-4A09-9C2E-521C7463345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F9E-4A09-9C2E-521C7463345F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9E-4A09-9C2E-521C7463345F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9E-4A09-9C2E-521C7463345F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9E-4A09-9C2E-521C74633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30304"/>
        <c:axId val="99336192"/>
      </c:barChart>
      <c:catAx>
        <c:axId val="99330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3361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3361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330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C-480C-A446-5DE40290ECF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C-480C-A446-5DE40290ECF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4DC-480C-A446-5DE40290ECF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4DC-480C-A446-5DE40290ECF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4DC-480C-A446-5DE40290ECF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4DC-480C-A446-5DE40290ECF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4DC-480C-A446-5DE40290ECF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4DC-480C-A446-5DE40290ECF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4DC-480C-A446-5DE40290ECF2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DC-480C-A446-5DE40290ECF2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DC-480C-A446-5DE40290ECF2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DC-480C-A446-5DE40290E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06208"/>
        <c:axId val="99407744"/>
      </c:barChart>
      <c:catAx>
        <c:axId val="994062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077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077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06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9-4518-B6E7-CCB91D07AAC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9-4518-B6E7-CCB91D07AAC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5D9-4518-B6E7-CCB91D07AAC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5D9-4518-B6E7-CCB91D07AAC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5D9-4518-B6E7-CCB91D07AAC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5D9-4518-B6E7-CCB91D07AAC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5D9-4518-B6E7-CCB91D07AAC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5D9-4518-B6E7-CCB91D07AAC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5D9-4518-B6E7-CCB91D07AACB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D9-4518-B6E7-CCB91D07AACB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D9-4518-B6E7-CCB91D07AACB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D9-4518-B6E7-CCB91D07A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61376"/>
        <c:axId val="99475456"/>
      </c:barChart>
      <c:catAx>
        <c:axId val="994613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7545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7545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61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6-4651-9D3A-BA0AF563AED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6-4651-9D3A-BA0AF563AED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C36-4651-9D3A-BA0AF563AED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C36-4651-9D3A-BA0AF563AED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C36-4651-9D3A-BA0AF563AED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C36-4651-9D3A-BA0AF563AED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C36-4651-9D3A-BA0AF563AED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C36-4651-9D3A-BA0AF563AED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C36-4651-9D3A-BA0AF563AED4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36-4651-9D3A-BA0AF563AED4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36-4651-9D3A-BA0AF563AED4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36-4651-9D3A-BA0AF563A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06912"/>
        <c:axId val="99608448"/>
      </c:barChart>
      <c:catAx>
        <c:axId val="99606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084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084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0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0-4715-BDC9-671E4BC3E2D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0-4715-BDC9-671E4BC3E2D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0E0-4715-BDC9-671E4BC3E2D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0E0-4715-BDC9-671E4BC3E2D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0E0-4715-BDC9-671E4BC3E2D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0E0-4715-BDC9-671E4BC3E2D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0E0-4715-BDC9-671E4BC3E2D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0E0-4715-BDC9-671E4BC3E2D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0E0-4715-BDC9-671E4BC3E2D7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E0-4715-BDC9-671E4BC3E2D7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E0-4715-BDC9-671E4BC3E2D7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E0-4715-BDC9-671E4BC3E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78464"/>
        <c:axId val="99684352"/>
      </c:barChart>
      <c:catAx>
        <c:axId val="99678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843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843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7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1-49F9-A779-7216B4F9106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1-49F9-A779-7216B4F9106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0D1-49F9-A779-7216B4F9106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0D1-49F9-A779-7216B4F9106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0D1-49F9-A779-7216B4F9106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0D1-49F9-A779-7216B4F9106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0D1-49F9-A779-7216B4F9106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0D1-49F9-A779-7216B4F9106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0D1-49F9-A779-7216B4F91069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D1-49F9-A779-7216B4F91069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D1-49F9-A779-7216B4F91069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D1-49F9-A779-7216B4F91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35808"/>
        <c:axId val="99749888"/>
      </c:barChart>
      <c:catAx>
        <c:axId val="99735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7498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7498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73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E-4978-8346-62BF1388700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E-4978-8346-62BF1388700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6BE-4978-8346-62BF1388700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6BE-4978-8346-62BF1388700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6BE-4978-8346-62BF1388700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6BE-4978-8346-62BF1388700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6BE-4978-8346-62BF1388700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6BE-4978-8346-62BF1388700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6BE-4978-8346-62BF1388700E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BE-4978-8346-62BF1388700E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BE-4978-8346-62BF1388700E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6BE-4978-8346-62BF1388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80960"/>
        <c:axId val="99882496"/>
      </c:barChart>
      <c:catAx>
        <c:axId val="998809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8824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8824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880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9-45AE-B1DE-5C40B77CCE0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9-45AE-B1DE-5C40B77CCE0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5C9-45AE-B1DE-5C40B77CCE0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5C9-45AE-B1DE-5C40B77CCE0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5C9-45AE-B1DE-5C40B77CCE0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5C9-45AE-B1DE-5C40B77CCE0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5C9-45AE-B1DE-5C40B77CCE0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5C9-45AE-B1DE-5C40B77CCE0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5C9-45AE-B1DE-5C40B77CCE0D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C9-45AE-B1DE-5C40B77CCE0D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C9-45AE-B1DE-5C40B77CCE0D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C9-45AE-B1DE-5C40B77CC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36128"/>
        <c:axId val="99937664"/>
      </c:barChart>
      <c:catAx>
        <c:axId val="999361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9376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9376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936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9-48DB-AA08-E9A7933DFD0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9-48DB-AA08-E9A7933DFD0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8F9-48DB-AA08-E9A7933DFD0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8F9-48DB-AA08-E9A7933DFD0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8F9-48DB-AA08-E9A7933DFD0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8F9-48DB-AA08-E9A7933DFD0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8F9-48DB-AA08-E9A7933DFD0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8F9-48DB-AA08-E9A7933DFD0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8F9-48DB-AA08-E9A7933DFD0A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F9-48DB-AA08-E9A7933DFD0A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F9-48DB-AA08-E9A7933DFD0A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F9-48DB-AA08-E9A7933DF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81664"/>
        <c:axId val="100083200"/>
      </c:barChart>
      <c:catAx>
        <c:axId val="100081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0832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0832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081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1-444F-8897-F56A82E4DDA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1-444F-8897-F56A82E4DDA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AF1-444F-8897-F56A82E4DDA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AF1-444F-8897-F56A82E4DDA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AF1-444F-8897-F56A82E4DDA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AF1-444F-8897-F56A82E4DDA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AF1-444F-8897-F56A82E4DDA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AF1-444F-8897-F56A82E4DDA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AF1-444F-8897-F56A82E4DDA9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F1-444F-8897-F56A82E4DDA9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F1-444F-8897-F56A82E4DDA9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F1-444F-8897-F56A82E4D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40928"/>
        <c:axId val="100142464"/>
      </c:barChart>
      <c:catAx>
        <c:axId val="100140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1424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1424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140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(fract)'!$Z$79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953488372093026"/>
          <c:w val="0.86885477729779659"/>
          <c:h val="0.69476744186046502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(fract)'!$AA$79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(fract)'!$Z$80:$Z$81</c:f>
            </c:multiLvlStrRef>
          </c:cat>
          <c:val>
            <c:numRef>
              <c:f>'Durée (fract)'!$AA$80:$AA$81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0-477D-BB58-3CC9217897EC}"/>
            </c:ext>
          </c:extLst>
        </c:ser>
        <c:ser>
          <c:idx val="1"/>
          <c:order val="1"/>
          <c:tx>
            <c:strRef>
              <c:f>'Durée (fract)'!$AB$79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(fract)'!$Z$80:$Z$81</c:f>
            </c:multiLvlStrRef>
          </c:cat>
          <c:val>
            <c:numRef>
              <c:f>'Durée (fract)'!$AB$80:$AB$81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0-477D-BB58-3CC921789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70784"/>
        <c:axId val="89672704"/>
      </c:lineChart>
      <c:catAx>
        <c:axId val="89670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72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6727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707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901761819506226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6-4AC3-84AD-751294B6E64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6-4AC3-84AD-751294B6E64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A26-4AC3-84AD-751294B6E64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A26-4AC3-84AD-751294B6E64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A26-4AC3-84AD-751294B6E64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A26-4AC3-84AD-751294B6E64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A26-4AC3-84AD-751294B6E64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A26-4AC3-84AD-751294B6E64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A26-4AC3-84AD-751294B6E64A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26-4AC3-84AD-751294B6E64A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26-4AC3-84AD-751294B6E64A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26-4AC3-84AD-751294B6E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12736"/>
        <c:axId val="100214272"/>
      </c:barChart>
      <c:catAx>
        <c:axId val="10021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2142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2142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212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1-4EC4-AE3C-1515A8851EB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1-4EC4-AE3C-1515A8851EB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F61-4EC4-AE3C-1515A8851EB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F61-4EC4-AE3C-1515A8851EB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F61-4EC4-AE3C-1515A8851EB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F61-4EC4-AE3C-1515A8851EB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F61-4EC4-AE3C-1515A8851EB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F61-4EC4-AE3C-1515A8851EB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F61-4EC4-AE3C-1515A8851EBF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61-4EC4-AE3C-1515A8851EBF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61-4EC4-AE3C-1515A8851EBF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61-4EC4-AE3C-1515A8851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45728"/>
        <c:axId val="100347264"/>
      </c:barChart>
      <c:catAx>
        <c:axId val="1003457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3472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3472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345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F-45B8-B978-A69682C9E1D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F-45B8-B978-A69682C9E1D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D0F-45B8-B978-A69682C9E1D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D0F-45B8-B978-A69682C9E1D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D0F-45B8-B978-A69682C9E1D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D0F-45B8-B978-A69682C9E1D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D0F-45B8-B978-A69682C9E1D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D0F-45B8-B978-A69682C9E1D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D0F-45B8-B978-A69682C9E1D8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0F-45B8-B978-A69682C9E1D8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0F-45B8-B978-A69682C9E1D8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0F-45B8-B978-A69682C9E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09344"/>
        <c:axId val="100410880"/>
      </c:barChart>
      <c:catAx>
        <c:axId val="100409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4108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4108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409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B-4B41-88D4-D3244346966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B-4B41-88D4-D3244346966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C7B-4B41-88D4-D3244346966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C7B-4B41-88D4-D3244346966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C7B-4B41-88D4-D3244346966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C7B-4B41-88D4-D3244346966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C7B-4B41-88D4-D3244346966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C7B-4B41-88D4-D3244346966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C7B-4B41-88D4-D3244346966C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7B-4B41-88D4-D3244346966C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7B-4B41-88D4-D3244346966C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7B-4B41-88D4-D32443469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89088"/>
        <c:axId val="100490624"/>
      </c:barChart>
      <c:catAx>
        <c:axId val="100489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4906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4906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489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A-46B9-AC80-29966F3F9B7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A-46B9-AC80-29966F3F9B7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7FA-46B9-AC80-29966F3F9B7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7FA-46B9-AC80-29966F3F9B7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7FA-46B9-AC80-29966F3F9B7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7FA-46B9-AC80-29966F3F9B7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7FA-46B9-AC80-29966F3F9B7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7FA-46B9-AC80-29966F3F9B7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7FA-46B9-AC80-29966F3F9B78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FA-46B9-AC80-29966F3F9B78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FA-46B9-AC80-29966F3F9B78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FA-46B9-AC80-29966F3F9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630528"/>
        <c:axId val="100632064"/>
      </c:barChart>
      <c:catAx>
        <c:axId val="1006305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6320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6320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630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3-4237-AB94-682FEE9C53F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3-4237-AB94-682FEE9C53F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1A3-4237-AB94-682FEE9C53F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1A3-4237-AB94-682FEE9C53F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1A3-4237-AB94-682FEE9C53F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1A3-4237-AB94-682FEE9C53F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1A3-4237-AB94-682FEE9C53F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1A3-4237-AB94-682FEE9C53F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1A3-4237-AB94-682FEE9C53FB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A3-4237-AB94-682FEE9C53FB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A3-4237-AB94-682FEE9C53FB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A3-4237-AB94-682FEE9C5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42464"/>
        <c:axId val="101744000"/>
      </c:barChart>
      <c:catAx>
        <c:axId val="101742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17440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17440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174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0-497A-A957-EB6A34D1B8F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0-497A-A957-EB6A34D1B8F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CD0-497A-A957-EB6A34D1B8F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CD0-497A-A957-EB6A34D1B8F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CD0-497A-A957-EB6A34D1B8F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CD0-497A-A957-EB6A34D1B8F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CD0-497A-A957-EB6A34D1B8F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CD0-497A-A957-EB6A34D1B8F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CD0-497A-A957-EB6A34D1B8F7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D0-497A-A957-EB6A34D1B8F7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D0-497A-A957-EB6A34D1B8F7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D0-497A-A957-EB6A34D1B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04096"/>
        <c:axId val="102405632"/>
      </c:barChart>
      <c:catAx>
        <c:axId val="1024040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056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056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04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F-4A0F-8602-CE63DBD8096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F-4A0F-8602-CE63DBD8096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63F-4A0F-8602-CE63DBD8096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63F-4A0F-8602-CE63DBD8096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63F-4A0F-8602-CE63DBD8096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63F-4A0F-8602-CE63DBD8096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63F-4A0F-8602-CE63DBD8096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63F-4A0F-8602-CE63DBD8096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63F-4A0F-8602-CE63DBD80961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3F-4A0F-8602-CE63DBD80961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3F-4A0F-8602-CE63DBD80961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63F-4A0F-8602-CE63DBD80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67456"/>
        <c:axId val="102468992"/>
      </c:barChart>
      <c:catAx>
        <c:axId val="102467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689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689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67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0-45E2-AF9D-1D4BE23AB26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0-45E2-AF9D-1D4BE23AB26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0F0-45E2-AF9D-1D4BE23AB26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0F0-45E2-AF9D-1D4BE23AB26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0F0-45E2-AF9D-1D4BE23AB26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0F0-45E2-AF9D-1D4BE23AB26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0F0-45E2-AF9D-1D4BE23AB26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0F0-45E2-AF9D-1D4BE23AB26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0F0-45E2-AF9D-1D4BE23AB264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F0-45E2-AF9D-1D4BE23AB264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F0-45E2-AF9D-1D4BE23AB264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F0-45E2-AF9D-1D4BE23AB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39264"/>
        <c:axId val="102540800"/>
      </c:barChart>
      <c:catAx>
        <c:axId val="102539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5408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5408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539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D-4AF3-A540-42E9D6D79D7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D-4AF3-A540-42E9D6D79D7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B7D-4AF3-A540-42E9D6D79D7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B7D-4AF3-A540-42E9D6D79D7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B7D-4AF3-A540-42E9D6D79D7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B7D-4AF3-A540-42E9D6D79D7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B7D-4AF3-A540-42E9D6D79D7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B7D-4AF3-A540-42E9D6D79D7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B7D-4AF3-A540-42E9D6D79D71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7D-4AF3-A540-42E9D6D79D71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7D-4AF3-A540-42E9D6D79D71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7D-4AF3-A540-42E9D6D79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860672"/>
        <c:axId val="102862208"/>
      </c:barChart>
      <c:catAx>
        <c:axId val="102860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8622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8622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860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(fract)'!$AC$79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639534883720936"/>
          <c:w val="0.86885477729779659"/>
          <c:h val="0.63372093023255838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(fract)'!$AD$79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(fract)'!$AC$80:$AC$81</c:f>
            </c:multiLvlStrRef>
          </c:cat>
          <c:val>
            <c:numRef>
              <c:f>'Durée (fract)'!$AD$80:$AD$81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7-4999-9FA2-FF74FD2638E0}"/>
            </c:ext>
          </c:extLst>
        </c:ser>
        <c:ser>
          <c:idx val="1"/>
          <c:order val="1"/>
          <c:tx>
            <c:strRef>
              <c:f>'Durée (fract)'!$AE$79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(fract)'!$AC$80:$AC$81</c:f>
            </c:multiLvlStrRef>
          </c:cat>
          <c:val>
            <c:numRef>
              <c:f>'Durée (fract)'!$AE$80:$AE$81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7-4999-9FA2-FF74FD263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18784"/>
        <c:axId val="89720704"/>
      </c:lineChart>
      <c:catAx>
        <c:axId val="89718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20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7207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187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97674418604646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F-4951-BEC4-AB13AA25F8C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F-4951-BEC4-AB13AA25F8C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6FF-4951-BEC4-AB13AA25F8C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6FF-4951-BEC4-AB13AA25F8C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6FF-4951-BEC4-AB13AA25F8C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6FF-4951-BEC4-AB13AA25F8C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6FF-4951-BEC4-AB13AA25F8C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6FF-4951-BEC4-AB13AA25F8C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6FF-4951-BEC4-AB13AA25F8C9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FF-4951-BEC4-AB13AA25F8C9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FF-4951-BEC4-AB13AA25F8C9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FF-4951-BEC4-AB13AA25F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33888"/>
        <c:axId val="103335424"/>
      </c:barChart>
      <c:catAx>
        <c:axId val="103333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3354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3354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333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B-4903-B4D4-70453691556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B-4903-B4D4-70453691556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42B-4903-B4D4-70453691556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42B-4903-B4D4-70453691556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42B-4903-B4D4-70453691556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42B-4903-B4D4-70453691556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42B-4903-B4D4-70453691556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42B-4903-B4D4-70453691556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42B-4903-B4D4-704536915567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2B-4903-B4D4-704536915567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2B-4903-B4D4-704536915567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2B-4903-B4D4-704536915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3664"/>
        <c:axId val="103075200"/>
      </c:barChart>
      <c:catAx>
        <c:axId val="103073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0752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0752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073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A-4ED1-B8A6-FBACA461C3B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A-4ED1-B8A6-FBACA461C3B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F6A-4ED1-B8A6-FBACA461C3B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F6A-4ED1-B8A6-FBACA461C3B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F6A-4ED1-B8A6-FBACA461C3B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F6A-4ED1-B8A6-FBACA461C3B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F6A-4ED1-B8A6-FBACA461C3B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F6A-4ED1-B8A6-FBACA461C3B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F6A-4ED1-B8A6-FBACA461C3B3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6A-4ED1-B8A6-FBACA461C3B3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6A-4ED1-B8A6-FBACA461C3B3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6A-4ED1-B8A6-FBACA461C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23296"/>
        <c:axId val="103224832"/>
      </c:barChart>
      <c:catAx>
        <c:axId val="103223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248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2248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223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C-4EF2-969B-2BE5856C385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C-4EF2-969B-2BE5856C385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AAC-4EF2-969B-2BE5856C385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AAC-4EF2-969B-2BE5856C385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AAC-4EF2-969B-2BE5856C385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AAC-4EF2-969B-2BE5856C385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AAC-4EF2-969B-2BE5856C385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AAC-4EF2-969B-2BE5856C385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AAC-4EF2-969B-2BE5856C3854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AC-4EF2-969B-2BE5856C3854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AC-4EF2-969B-2BE5856C3854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AC-4EF2-969B-2BE5856C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78464"/>
        <c:axId val="103280000"/>
      </c:barChart>
      <c:catAx>
        <c:axId val="103278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800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2800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27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F-47DC-AA1E-DAD7D289336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F-47DC-AA1E-DAD7D289336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66F-47DC-AA1E-DAD7D289336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66F-47DC-AA1E-DAD7D289336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66F-47DC-AA1E-DAD7D289336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66F-47DC-AA1E-DAD7D289336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66F-47DC-AA1E-DAD7D289336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66F-47DC-AA1E-DAD7D289336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66F-47DC-AA1E-DAD7D2893369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F-47DC-AA1E-DAD7D2893369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6F-47DC-AA1E-DAD7D2893369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6F-47DC-AA1E-DAD7D2893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1712"/>
        <c:axId val="103413248"/>
      </c:barChart>
      <c:catAx>
        <c:axId val="1034117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4132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4132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41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2-4574-AE08-58CD02D56E1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2-4574-AE08-58CD02D56E1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A02-4574-AE08-58CD02D56E1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A02-4574-AE08-58CD02D56E1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A02-4574-AE08-58CD02D56E1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A02-4574-AE08-58CD02D56E1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A02-4574-AE08-58CD02D56E1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A02-4574-AE08-58CD02D56E1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A02-4574-AE08-58CD02D56E17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02-4574-AE08-58CD02D56E17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02-4574-AE08-58CD02D56E17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02-4574-AE08-58CD02D56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44704"/>
        <c:axId val="103546240"/>
      </c:barChart>
      <c:catAx>
        <c:axId val="103544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5462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5462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544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3-4563-AA2F-0E0D9E30F74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3-4563-AA2F-0E0D9E30F74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7F3-4563-AA2F-0E0D9E30F74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7F3-4563-AA2F-0E0D9E30F74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7F3-4563-AA2F-0E0D9E30F74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7F3-4563-AA2F-0E0D9E30F74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7F3-4563-AA2F-0E0D9E30F74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7F3-4563-AA2F-0E0D9E30F74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7F3-4563-AA2F-0E0D9E30F746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F3-4563-AA2F-0E0D9E30F746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F3-4563-AA2F-0E0D9E30F746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F3-4563-AA2F-0E0D9E30F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16512"/>
        <c:axId val="103618048"/>
      </c:barChart>
      <c:catAx>
        <c:axId val="103616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6180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6180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616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4-48DF-ABCC-3C11615FED3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4-48DF-ABCC-3C11615FED3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2C4-48DF-ABCC-3C11615FED3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2C4-48DF-ABCC-3C11615FED3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2C4-48DF-ABCC-3C11615FED3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2C4-48DF-ABCC-3C11615FED3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2C4-48DF-ABCC-3C11615FED3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2C4-48DF-ABCC-3C11615FED3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2C4-48DF-ABCC-3C11615FED36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C4-48DF-ABCC-3C11615FED36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C4-48DF-ABCC-3C11615FED36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C4-48DF-ABCC-3C11615F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83968"/>
        <c:axId val="103685504"/>
      </c:barChart>
      <c:catAx>
        <c:axId val="1036839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6855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6855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683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5-49EE-8DB8-9771AB4F7C1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5-49EE-8DB8-9771AB4F7C1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885-49EE-8DB8-9771AB4F7C1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885-49EE-8DB8-9771AB4F7C1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885-49EE-8DB8-9771AB4F7C1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885-49EE-8DB8-9771AB4F7C1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885-49EE-8DB8-9771AB4F7C1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885-49EE-8DB8-9771AB4F7C1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885-49EE-8DB8-9771AB4F7C1C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85-49EE-8DB8-9771AB4F7C1C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85-49EE-8DB8-9771AB4F7C1C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85-49EE-8DB8-9771AB4F7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25408"/>
        <c:axId val="103826944"/>
      </c:barChart>
      <c:catAx>
        <c:axId val="103825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8269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8269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825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1-43AC-8A0F-D3EE5F382B2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1-43AC-8A0F-D3EE5F382B2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0D1-43AC-8A0F-D3EE5F382B2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0D1-43AC-8A0F-D3EE5F382B2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0D1-43AC-8A0F-D3EE5F382B2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0D1-43AC-8A0F-D3EE5F382B2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0D1-43AC-8A0F-D3EE5F382B2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0D1-43AC-8A0F-D3EE5F382B2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0D1-43AC-8A0F-D3EE5F382B2C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D1-43AC-8A0F-D3EE5F382B2C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D1-43AC-8A0F-D3EE5F382B2C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D1-43AC-8A0F-D3EE5F382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80576"/>
        <c:axId val="103882112"/>
      </c:barChart>
      <c:catAx>
        <c:axId val="1038805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8821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8821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880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(fract)'!$AF$79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(fract)'!$AG$79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(fract)'!$AF$80:$AF$81</c:f>
            </c:multiLvlStrRef>
          </c:cat>
          <c:val>
            <c:numRef>
              <c:f>'Durée (fract)'!$AG$80:$AG$81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A-401C-8714-F4766884D7FE}"/>
            </c:ext>
          </c:extLst>
        </c:ser>
        <c:ser>
          <c:idx val="1"/>
          <c:order val="1"/>
          <c:tx>
            <c:strRef>
              <c:f>'Durée (fract)'!$AH$79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(fract)'!$AF$80:$AF$81</c:f>
            </c:multiLvlStrRef>
          </c:cat>
          <c:val>
            <c:numRef>
              <c:f>'Durée (fract)'!$AH$80:$AH$81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A-401C-8714-F4766884D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45664"/>
        <c:axId val="89747840"/>
      </c:lineChart>
      <c:catAx>
        <c:axId val="897456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478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7478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4566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E-4086-9D69-06F0DEF61FE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E-4086-9D69-06F0DEF61FE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7CE-4086-9D69-06F0DEF61FE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7CE-4086-9D69-06F0DEF61FE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7CE-4086-9D69-06F0DEF61FE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7CE-4086-9D69-06F0DEF61FE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7CE-4086-9D69-06F0DEF61FE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7CE-4086-9D69-06F0DEF61FE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7CE-4086-9D69-06F0DEF61FED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CE-4086-9D69-06F0DEF61FED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E-4086-9D69-06F0DEF61FED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CE-4086-9D69-06F0DEF61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42496"/>
        <c:axId val="104044032"/>
      </c:barChart>
      <c:catAx>
        <c:axId val="1040424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0440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0440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042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A-4599-B146-603422CCA76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A-4599-B146-603422CCA76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C2A-4599-B146-603422CCA76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C2A-4599-B146-603422CCA76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C2A-4599-B146-603422CCA76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C2A-4599-B146-603422CCA76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C2A-4599-B146-603422CCA76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C2A-4599-B146-603422CCA76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C2A-4599-B146-603422CCA76E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2A-4599-B146-603422CCA76E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2A-4599-B146-603422CCA76E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2A-4599-B146-603422CCA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05856"/>
        <c:axId val="104107392"/>
      </c:barChart>
      <c:catAx>
        <c:axId val="104105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1073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1073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10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1-407D-9651-7CF784B3B95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1-407D-9651-7CF784B3B95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201-407D-9651-7CF784B3B95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201-407D-9651-7CF784B3B95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201-407D-9651-7CF784B3B95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201-407D-9651-7CF784B3B95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201-407D-9651-7CF784B3B95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201-407D-9651-7CF784B3B95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201-407D-9651-7CF784B3B959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01-407D-9651-7CF784B3B959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01-407D-9651-7CF784B3B959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01-407D-9651-7CF784B3B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73568"/>
        <c:axId val="104175104"/>
      </c:barChart>
      <c:catAx>
        <c:axId val="1041735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1751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1751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173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E-48EC-94EA-8384A898088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E-48EC-94EA-8384A898088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6DE-48EC-94EA-8384A898088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6DE-48EC-94EA-8384A898088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6DE-48EC-94EA-8384A898088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6DE-48EC-94EA-8384A898088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6DE-48EC-94EA-8384A898088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6DE-48EC-94EA-8384A898088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6DE-48EC-94EA-8384A898088F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DE-48EC-94EA-8384A898088F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DE-48EC-94EA-8384A898088F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DE-48EC-94EA-8384A8980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98368"/>
        <c:axId val="104299904"/>
      </c:barChart>
      <c:catAx>
        <c:axId val="104298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2999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2999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298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0-4DFD-BAE9-2EFAEFD1E68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0-4DFD-BAE9-2EFAEFD1E68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A50-4DFD-BAE9-2EFAEFD1E68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A50-4DFD-BAE9-2EFAEFD1E68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A50-4DFD-BAE9-2EFAEFD1E68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A50-4DFD-BAE9-2EFAEFD1E68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A50-4DFD-BAE9-2EFAEFD1E68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A50-4DFD-BAE9-2EFAEFD1E68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A50-4DFD-BAE9-2EFAEFD1E681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50-4DFD-BAE9-2EFAEFD1E681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50-4DFD-BAE9-2EFAEFD1E681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50-4DFD-BAE9-2EFAEFD1E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43904"/>
        <c:axId val="104445440"/>
      </c:barChart>
      <c:catAx>
        <c:axId val="104443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4454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4454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44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6-4B30-BBA9-D791745CE38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6-4B30-BBA9-D791745CE38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1D6-4B30-BBA9-D791745CE38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1D6-4B30-BBA9-D791745CE38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1D6-4B30-BBA9-D791745CE38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1D6-4B30-BBA9-D791745CE38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1D6-4B30-BBA9-D791745CE38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1D6-4B30-BBA9-D791745CE38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1D6-4B30-BBA9-D791745CE38F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D6-4B30-BBA9-D791745CE38F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D6-4B30-BBA9-D791745CE38F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D6-4B30-BBA9-D791745CE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507264"/>
        <c:axId val="104508800"/>
      </c:barChart>
      <c:catAx>
        <c:axId val="104507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5088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5088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507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A-4BD6-98B3-5CF4CCB38DE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A-4BD6-98B3-5CF4CCB38DE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B5A-4BD6-98B3-5CF4CCB38DE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B5A-4BD6-98B3-5CF4CCB38DE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B5A-4BD6-98B3-5CF4CCB38DE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B5A-4BD6-98B3-5CF4CCB38DE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B5A-4BD6-98B3-5CF4CCB38DE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B5A-4BD6-98B3-5CF4CCB38DE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B5A-4BD6-98B3-5CF4CCB38DEF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5A-4BD6-98B3-5CF4CCB38DEF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5A-4BD6-98B3-5CF4CCB38DEF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5A-4BD6-98B3-5CF4CCB38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56896"/>
        <c:axId val="104658432"/>
      </c:barChart>
      <c:catAx>
        <c:axId val="104656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6584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6584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656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D-4D88-B2F0-2A8D621B67C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D-4D88-B2F0-2A8D621B67C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FAD-4D88-B2F0-2A8D621B67C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FAD-4D88-B2F0-2A8D621B67C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FAD-4D88-B2F0-2A8D621B67C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FAD-4D88-B2F0-2A8D621B67C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FAD-4D88-B2F0-2A8D621B67C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FAD-4D88-B2F0-2A8D621B67C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FAD-4D88-B2F0-2A8D621B67CA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AD-4D88-B2F0-2A8D621B67CA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AD-4D88-B2F0-2A8D621B67CA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AD-4D88-B2F0-2A8D621B6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728448"/>
        <c:axId val="104729984"/>
      </c:barChart>
      <c:catAx>
        <c:axId val="1047284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72998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72998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728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9-4CE2-875D-7ECC793FEED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9-4CE2-875D-7ECC793FEED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2F9-4CE2-875D-7ECC793FEED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2F9-4CE2-875D-7ECC793FEED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2F9-4CE2-875D-7ECC793FEED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2F9-4CE2-875D-7ECC793FEED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2F9-4CE2-875D-7ECC793FEED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2F9-4CE2-875D-7ECC793FEED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2F9-4CE2-875D-7ECC793FEED0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F9-4CE2-875D-7ECC793FEED0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F9-4CE2-875D-7ECC793FEED0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F9-4CE2-875D-7ECC793FE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35424"/>
        <c:axId val="104936960"/>
      </c:barChart>
      <c:catAx>
        <c:axId val="104935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93696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93696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93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4-4492-B2F7-67E7B10DA73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4-4492-B2F7-67E7B10DA73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B44-4492-B2F7-67E7B10DA73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B44-4492-B2F7-67E7B10DA73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B44-4492-B2F7-67E7B10DA73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B44-4492-B2F7-67E7B10DA73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B44-4492-B2F7-67E7B10DA73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B44-4492-B2F7-67E7B10DA73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B44-4492-B2F7-67E7B10DA734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44-4492-B2F7-67E7B10DA734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44-4492-B2F7-67E7B10DA734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44-4492-B2F7-67E7B10DA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80000"/>
        <c:axId val="104881536"/>
      </c:barChart>
      <c:catAx>
        <c:axId val="104880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88153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88153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880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(fract)'!$AI$79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(fract)'!$AJ$79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(fract)'!$AI$80:$AI$81</c:f>
            </c:multiLvlStrRef>
          </c:cat>
          <c:val>
            <c:numRef>
              <c:f>'Durée (fract)'!$AJ$80:$AJ$81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F-4323-A1D8-A17092D44744}"/>
            </c:ext>
          </c:extLst>
        </c:ser>
        <c:ser>
          <c:idx val="1"/>
          <c:order val="1"/>
          <c:tx>
            <c:strRef>
              <c:f>'Durée (fract)'!$AK$79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(fract)'!$AI$80:$AI$81</c:f>
            </c:multiLvlStrRef>
          </c:cat>
          <c:val>
            <c:numRef>
              <c:f>'Durée (fract)'!$AK$80:$AK$81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F-4323-A1D8-A17092D44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76512"/>
        <c:axId val="89778432"/>
      </c:lineChart>
      <c:catAx>
        <c:axId val="897765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784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77843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7651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21436137711697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D-4663-9589-99FEB76F478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D-4663-9589-99FEB76F478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2BD-4663-9589-99FEB76F478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2BD-4663-9589-99FEB76F478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2BD-4663-9589-99FEB76F478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2BD-4663-9589-99FEB76F478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2BD-4663-9589-99FEB76F478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2BD-4663-9589-99FEB76F478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2BD-4663-9589-99FEB76F4785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BD-4663-9589-99FEB76F4785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BD-4663-9589-99FEB76F4785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BD-4663-9589-99FEB76F4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17344"/>
        <c:axId val="105018880"/>
      </c:barChart>
      <c:catAx>
        <c:axId val="105017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0188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0188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017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F-487A-984B-2E2FBCD037C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F-487A-984B-2E2FBCD037C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D3F-487A-984B-2E2FBCD037C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D3F-487A-984B-2E2FBCD037C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D3F-487A-984B-2E2FBCD037C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D3F-487A-984B-2E2FBCD037C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D3F-487A-984B-2E2FBCD037C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D3F-487A-984B-2E2FBCD037C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D3F-487A-984B-2E2FBCD037C6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3F-487A-984B-2E2FBCD037C6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3F-487A-984B-2E2FBCD037C6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3F-487A-984B-2E2FBCD03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0822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0822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080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1-492B-AACF-3FFE5BFE625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1-492B-AACF-3FFE5BFE625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531-492B-AACF-3FFE5BFE625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531-492B-AACF-3FFE5BFE625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531-492B-AACF-3FFE5BFE625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531-492B-AACF-3FFE5BFE625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531-492B-AACF-3FFE5BFE625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531-492B-AACF-3FFE5BFE625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531-492B-AACF-3FFE5BFE6255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31-492B-AACF-3FFE5BFE6255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31-492B-AACF-3FFE5BFE6255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31-492B-AACF-3FFE5BFE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152512"/>
        <c:axId val="105154048"/>
      </c:barChart>
      <c:catAx>
        <c:axId val="105152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1540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1540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152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4-4381-A607-C82B3053635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4-4381-A607-C82B3053635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664-4381-A607-C82B3053635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664-4381-A607-C82B3053635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664-4381-A607-C82B3053635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664-4381-A607-C82B3053635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664-4381-A607-C82B3053635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664-4381-A607-C82B3053635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664-4381-A607-C82B3053635D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64-4381-A607-C82B3053635D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64-4381-A607-C82B3053635D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64-4381-A607-C82B30536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85504"/>
        <c:axId val="105287040"/>
      </c:barChart>
      <c:catAx>
        <c:axId val="1052855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2870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2870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285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1-435A-845D-D3402328897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1-435A-845D-D3402328897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811-435A-845D-D3402328897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811-435A-845D-D3402328897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811-435A-845D-D3402328897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811-435A-845D-D3402328897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811-435A-845D-D3402328897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811-435A-845D-D3402328897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811-435A-845D-D3402328897C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11-435A-845D-D3402328897C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11-435A-845D-D3402328897C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11-435A-845D-D3402328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39232"/>
        <c:axId val="105440768"/>
      </c:barChart>
      <c:catAx>
        <c:axId val="1054392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44076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44076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439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9-4569-BDA4-56CB66B080C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9-4569-BDA4-56CB66B080C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529-4569-BDA4-56CB66B080C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529-4569-BDA4-56CB66B080C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529-4569-BDA4-56CB66B080C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529-4569-BDA4-56CB66B080C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529-4569-BDA4-56CB66B080C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529-4569-BDA4-56CB66B080C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529-4569-BDA4-56CB66B080CF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29-4569-BDA4-56CB66B080CF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29-4569-BDA4-56CB66B080CF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29-4569-BDA4-56CB66B0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06688"/>
        <c:axId val="105508224"/>
      </c:barChart>
      <c:catAx>
        <c:axId val="105506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5082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5082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506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A-4645-BE3A-CBE6D86A71D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A-4645-BE3A-CBE6D86A71D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91A-4645-BE3A-CBE6D86A71D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91A-4645-BE3A-CBE6D86A71D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91A-4645-BE3A-CBE6D86A71D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91A-4645-BE3A-CBE6D86A71D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91A-4645-BE3A-CBE6D86A71D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91A-4645-BE3A-CBE6D86A71D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91A-4645-BE3A-CBE6D86A71D6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1A-4645-BE3A-CBE6D86A71D6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1A-4645-BE3A-CBE6D86A71D6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1A-4645-BE3A-CBE6D86A7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25248"/>
        <c:axId val="105526784"/>
      </c:barChart>
      <c:catAx>
        <c:axId val="105525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52678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52678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525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1-492E-BA6A-51CE487A0A7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1-492E-BA6A-51CE487A0A7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A51-492E-BA6A-51CE487A0A7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A51-492E-BA6A-51CE487A0A7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A51-492E-BA6A-51CE487A0A7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A51-492E-BA6A-51CE487A0A7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A51-492E-BA6A-51CE487A0A7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A51-492E-BA6A-51CE487A0A7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A51-492E-BA6A-51CE487A0A79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51-492E-BA6A-51CE487A0A79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51-492E-BA6A-51CE487A0A79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51-492E-BA6A-51CE487A0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27872"/>
        <c:axId val="105729408"/>
      </c:barChart>
      <c:catAx>
        <c:axId val="105727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7294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7294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727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3-4DA7-AEA0-5EDCB87E7F1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3-4DA7-AEA0-5EDCB87E7F1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553-4DA7-AEA0-5EDCB87E7F1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553-4DA7-AEA0-5EDCB87E7F1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553-4DA7-AEA0-5EDCB87E7F1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553-4DA7-AEA0-5EDCB87E7F1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553-4DA7-AEA0-5EDCB87E7F1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553-4DA7-AEA0-5EDCB87E7F1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553-4DA7-AEA0-5EDCB87E7F1A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53-4DA7-AEA0-5EDCB87E7F1A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53-4DA7-AEA0-5EDCB87E7F1A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53-4DA7-AEA0-5EDCB87E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91488"/>
        <c:axId val="105793024"/>
      </c:barChart>
      <c:catAx>
        <c:axId val="105791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7930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7930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791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6-4009-B4F6-9B849A6197C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6-4009-B4F6-9B849A6197C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C26-4009-B4F6-9B849A6197C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C26-4009-B4F6-9B849A6197C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C26-4009-B4F6-9B849A6197C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C26-4009-B4F6-9B849A6197C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C26-4009-B4F6-9B849A6197C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C26-4009-B4F6-9B849A6197C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C26-4009-B4F6-9B849A6197C7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26-4009-B4F6-9B849A6197C7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26-4009-B4F6-9B849A6197C7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26-4009-B4F6-9B849A619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912192"/>
        <c:axId val="105913728"/>
      </c:barChart>
      <c:catAx>
        <c:axId val="1059121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9137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9137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912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(fract)'!$AL$79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697674418604654"/>
          <c:w val="0.86885477729779659"/>
          <c:h val="0.67732558139534882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(fract)'!$AM$79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(fract)'!$AL$80:$AL$81</c:f>
            </c:multiLvlStrRef>
          </c:cat>
          <c:val>
            <c:numRef>
              <c:f>'Durée (fract)'!$AM$80:$AM$81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E-4361-A741-7F7B54F7E7F6}"/>
            </c:ext>
          </c:extLst>
        </c:ser>
        <c:ser>
          <c:idx val="1"/>
          <c:order val="1"/>
          <c:tx>
            <c:strRef>
              <c:f>'Durée (fract)'!$AN$79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(fract)'!$AL$80:$AL$81</c:f>
            </c:multiLvlStrRef>
          </c:cat>
          <c:val>
            <c:numRef>
              <c:f>'Durée (fract)'!$AN$80:$AN$81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E-4361-A741-7F7B54F7E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73024"/>
        <c:axId val="89875200"/>
      </c:lineChart>
      <c:catAx>
        <c:axId val="898730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8752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87520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8730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D-4DEE-A437-BF36230C478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D-4DEE-A437-BF36230C478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0CD-4DEE-A437-BF36230C478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0CD-4DEE-A437-BF36230C478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0CD-4DEE-A437-BF36230C478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0CD-4DEE-A437-BF36230C478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0CD-4DEE-A437-BF36230C478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0CD-4DEE-A437-BF36230C478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0CD-4DEE-A437-BF36230C478E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CD-4DEE-A437-BF36230C478E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CD-4DEE-A437-BF36230C478E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0CD-4DEE-A437-BF36230C4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12672"/>
        <c:axId val="106014208"/>
      </c:barChart>
      <c:catAx>
        <c:axId val="106012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0142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0142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012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A-43DF-8F53-D05B1CA84A2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A-43DF-8F53-D05B1CA84A2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ACA-43DF-8F53-D05B1CA84A2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ACA-43DF-8F53-D05B1CA84A2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ACA-43DF-8F53-D05B1CA84A2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ACA-43DF-8F53-D05B1CA84A2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ACA-43DF-8F53-D05B1CA84A2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ACA-43DF-8F53-D05B1CA84A2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ACA-43DF-8F53-D05B1CA84A2E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CA-43DF-8F53-D05B1CA84A2E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CA-43DF-8F53-D05B1CA84A2E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CA-43DF-8F53-D05B1CA84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80128"/>
        <c:axId val="106081664"/>
      </c:barChart>
      <c:catAx>
        <c:axId val="1060801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0816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0816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080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7-4FB7-9CAB-40380D4D6C7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7-4FB7-9CAB-40380D4D6C7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A27-4FB7-9CAB-40380D4D6C7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A27-4FB7-9CAB-40380D4D6C7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A27-4FB7-9CAB-40380D4D6C7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A27-4FB7-9CAB-40380D4D6C7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A27-4FB7-9CAB-40380D4D6C7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A27-4FB7-9CAB-40380D4D6C7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A27-4FB7-9CAB-40380D4D6C7F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27-4FB7-9CAB-40380D4D6C7F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27-4FB7-9CAB-40380D4D6C7F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27-4FB7-9CAB-40380D4D6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17472"/>
        <c:axId val="106219008"/>
      </c:barChart>
      <c:catAx>
        <c:axId val="106217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2190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2190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217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F-4FB2-9109-A1A4CC26C3E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F-4FB2-9109-A1A4CC26C3E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9EF-4FB2-9109-A1A4CC26C3E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9EF-4FB2-9109-A1A4CC26C3E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9EF-4FB2-9109-A1A4CC26C3E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9EF-4FB2-9109-A1A4CC26C3E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9EF-4FB2-9109-A1A4CC26C3E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9EF-4FB2-9109-A1A4CC26C3E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9EF-4FB2-9109-A1A4CC26C3EE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EF-4FB2-9109-A1A4CC26C3EE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EF-4FB2-9109-A1A4CC26C3EE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EF-4FB2-9109-A1A4CC26C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01312"/>
        <c:axId val="106302848"/>
      </c:barChart>
      <c:catAx>
        <c:axId val="1063013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3028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3028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301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8-4676-BE4E-015429A9949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8-4676-BE4E-015429A9949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178-4676-BE4E-015429A9949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178-4676-BE4E-015429A9949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178-4676-BE4E-015429A9949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178-4676-BE4E-015429A9949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178-4676-BE4E-015429A9949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178-4676-BE4E-015429A9949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178-4676-BE4E-015429A9949B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78-4676-BE4E-015429A9949B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78-4676-BE4E-015429A9949B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78-4676-BE4E-015429A9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38656"/>
        <c:axId val="106440192"/>
      </c:barChart>
      <c:catAx>
        <c:axId val="106438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4401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4401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43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5-443B-B8E8-333CF104F05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5-443B-B8E8-333CF104F05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A75-443B-B8E8-333CF104F05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A75-443B-B8E8-333CF104F05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A75-443B-B8E8-333CF104F05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A75-443B-B8E8-333CF104F05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A75-443B-B8E8-333CF104F05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A75-443B-B8E8-333CF104F05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A75-443B-B8E8-333CF104F052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75-443B-B8E8-333CF104F052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75-443B-B8E8-333CF104F052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75-443B-B8E8-333CF104F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06112"/>
        <c:axId val="106507648"/>
      </c:barChart>
      <c:catAx>
        <c:axId val="106506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5076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5076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506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Graphe du</a:t>
            </a:r>
            <a:r>
              <a:rPr lang="en-US" sz="2400" baseline="0"/>
              <a:t> Ratio Signal / Bruit</a:t>
            </a:r>
            <a:endParaRPr lang="en-US" sz="2400"/>
          </a:p>
        </c:rich>
      </c:tx>
      <c:layout>
        <c:manualLayout>
          <c:xMode val="edge"/>
          <c:yMode val="edge"/>
          <c:x val="0.35482380831474486"/>
          <c:y val="2.034493801121663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28018372703413"/>
          <c:y val="7.4548702245552642E-2"/>
          <c:w val="0.67380227471566068"/>
          <c:h val="0.68198344998541849"/>
        </c:manualLayout>
      </c:layout>
      <c:lineChart>
        <c:grouping val="standard"/>
        <c:varyColors val="0"/>
        <c:ser>
          <c:idx val="0"/>
          <c:order val="0"/>
          <c:spPr>
            <a:ln w="635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'Durée (fract)'!$B$33:$B$52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fuselage1</c:v>
                </c:pt>
                <c:pt idx="7">
                  <c:v>Larg fuselage2</c:v>
                </c:pt>
                <c:pt idx="9">
                  <c:v>Long fuselage1</c:v>
                </c:pt>
                <c:pt idx="10">
                  <c:v>Long fuselage2</c:v>
                </c:pt>
                <c:pt idx="12">
                  <c:v>inclinaison pales1</c:v>
                </c:pt>
                <c:pt idx="13">
                  <c:v>inclinaison pales2</c:v>
                </c:pt>
                <c:pt idx="15">
                  <c:v>Nbre trombones1</c:v>
                </c:pt>
                <c:pt idx="16">
                  <c:v>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'Durée (fract)'!$E$33:$E$52</c:f>
              <c:numCache>
                <c:formatCode>0.000</c:formatCode>
                <c:ptCount val="20"/>
                <c:pt idx="0">
                  <c:v>19.161340751274427</c:v>
                </c:pt>
                <c:pt idx="1">
                  <c:v>23.527659219962224</c:v>
                </c:pt>
                <c:pt idx="3">
                  <c:v>19.60668576195577</c:v>
                </c:pt>
                <c:pt idx="4">
                  <c:v>23.082314209280881</c:v>
                </c:pt>
                <c:pt idx="6">
                  <c:v>21.062743871413844</c:v>
                </c:pt>
                <c:pt idx="7">
                  <c:v>21.626256099822804</c:v>
                </c:pt>
                <c:pt idx="9">
                  <c:v>18.967530820142173</c:v>
                </c:pt>
                <c:pt idx="10">
                  <c:v>23.721469151094475</c:v>
                </c:pt>
                <c:pt idx="12">
                  <c:v>19.794516605100888</c:v>
                </c:pt>
                <c:pt idx="13">
                  <c:v>22.894483366135763</c:v>
                </c:pt>
                <c:pt idx="15">
                  <c:v>21.915097697015984</c:v>
                </c:pt>
                <c:pt idx="16">
                  <c:v>20.773902274220667</c:v>
                </c:pt>
                <c:pt idx="18">
                  <c:v>20.666406401529585</c:v>
                </c:pt>
                <c:pt idx="19">
                  <c:v>22.022593569707062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B0F-86C0-A747245EA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15840"/>
        <c:axId val="106521728"/>
      </c:lineChart>
      <c:catAx>
        <c:axId val="10651584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in"/>
        <c:tickLblPos val="nextTo"/>
        <c:txPr>
          <a:bodyPr/>
          <a:lstStyle/>
          <a:p>
            <a:pPr>
              <a:defRPr sz="2400"/>
            </a:pPr>
            <a:endParaRPr lang="fr-FR"/>
          </a:p>
        </c:txPr>
        <c:crossAx val="106521728"/>
        <c:crosses val="autoZero"/>
        <c:auto val="1"/>
        <c:lblAlgn val="ctr"/>
        <c:lblOffset val="100"/>
        <c:noMultiLvlLbl val="0"/>
      </c:catAx>
      <c:valAx>
        <c:axId val="106521728"/>
        <c:scaling>
          <c:orientation val="minMax"/>
          <c:min val="17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651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113426971533352E-2"/>
          <c:y val="0.1165049924446683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spPr>
            <a:ln w="57150">
              <a:solidFill>
                <a:srgbClr val="000080"/>
              </a:solidFill>
              <a:prstDash val="solid"/>
              <a:headEnd type="oval" w="med" len="med"/>
              <a:tailEnd type="oval" w="med" len="med"/>
            </a:ln>
          </c:spPr>
          <c:marker>
            <c:symbol val="diamond"/>
            <c:size val="5"/>
            <c:spPr>
              <a:solidFill>
                <a:srgbClr val="000080"/>
              </a:solidFill>
              <a:ln w="57150">
                <a:solidFill>
                  <a:srgbClr val="000080"/>
                </a:solidFill>
                <a:prstDash val="solid"/>
                <a:headEnd type="oval" w="med" len="med"/>
                <a:tailEnd type="oval" w="med" len="med"/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1-9B5E-4A1A-815D-876CA247DDD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3-9B5E-4A1A-815D-876CA247DDD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5-9B5E-4A1A-815D-876CA247DDDC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7-9B5E-4A1A-815D-876CA247DDDC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9-9B5E-4A1A-815D-876CA247DDDC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B-9B5E-4A1A-815D-876CA247DDDC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D-9B5E-4A1A-815D-876CA247DD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'Durée (fract)'!$B$33:$B$52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fuselage1</c:v>
                </c:pt>
                <c:pt idx="7">
                  <c:v>Larg fuselage2</c:v>
                </c:pt>
                <c:pt idx="9">
                  <c:v>Long fuselage1</c:v>
                </c:pt>
                <c:pt idx="10">
                  <c:v>Long fuselage2</c:v>
                </c:pt>
                <c:pt idx="12">
                  <c:v>inclinaison pales1</c:v>
                </c:pt>
                <c:pt idx="13">
                  <c:v>inclinaison pales2</c:v>
                </c:pt>
                <c:pt idx="15">
                  <c:v>Nbre trombones1</c:v>
                </c:pt>
                <c:pt idx="16">
                  <c:v>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'Durée (fract)'!$C$33:$C$52</c:f>
              <c:numCache>
                <c:formatCode>0.000</c:formatCode>
                <c:ptCount val="20"/>
                <c:pt idx="0">
                  <c:v>1.8154999999999997</c:v>
                </c:pt>
                <c:pt idx="1">
                  <c:v>1.8780000000000001</c:v>
                </c:pt>
                <c:pt idx="3">
                  <c:v>1.7174999999999998</c:v>
                </c:pt>
                <c:pt idx="4">
                  <c:v>1.976</c:v>
                </c:pt>
                <c:pt idx="6">
                  <c:v>2.0045000000000002</c:v>
                </c:pt>
                <c:pt idx="7">
                  <c:v>1.6890000000000001</c:v>
                </c:pt>
                <c:pt idx="9">
                  <c:v>1.843</c:v>
                </c:pt>
                <c:pt idx="10">
                  <c:v>1.8504999999999998</c:v>
                </c:pt>
                <c:pt idx="12">
                  <c:v>2.0590000000000002</c:v>
                </c:pt>
                <c:pt idx="13">
                  <c:v>1.6345000000000001</c:v>
                </c:pt>
                <c:pt idx="15">
                  <c:v>2.0529999999999999</c:v>
                </c:pt>
                <c:pt idx="16">
                  <c:v>1.6404999999999998</c:v>
                </c:pt>
                <c:pt idx="18">
                  <c:v>1.8319999999999999</c:v>
                </c:pt>
                <c:pt idx="19">
                  <c:v>1.8614999999999999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5E-4A1A-815D-876CA247D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80608"/>
        <c:axId val="106582400"/>
      </c:lineChart>
      <c:catAx>
        <c:axId val="1065806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582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82400"/>
        <c:scaling>
          <c:orientation val="minMax"/>
          <c:min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580608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Graphe</a:t>
            </a:r>
            <a:r>
              <a:rPr lang="fr-FR" baseline="0"/>
              <a:t> des </a:t>
            </a:r>
            <a:r>
              <a:rPr lang="fr-FR"/>
              <a:t>Effets sur la Variance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3975">
              <a:solidFill>
                <a:srgbClr val="FF0000"/>
              </a:solidFill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'Durée (fract)'!$B$33:$B$52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fuselage1</c:v>
                </c:pt>
                <c:pt idx="7">
                  <c:v>Larg fuselage2</c:v>
                </c:pt>
                <c:pt idx="9">
                  <c:v>Long fuselage1</c:v>
                </c:pt>
                <c:pt idx="10">
                  <c:v>Long fuselage2</c:v>
                </c:pt>
                <c:pt idx="12">
                  <c:v>inclinaison pales1</c:v>
                </c:pt>
                <c:pt idx="13">
                  <c:v>inclinaison pales2</c:v>
                </c:pt>
                <c:pt idx="15">
                  <c:v>Nbre trombones1</c:v>
                </c:pt>
                <c:pt idx="16">
                  <c:v>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'Durée (fract)'!$G$33:$G$52</c:f>
              <c:numCache>
                <c:formatCode>0.000</c:formatCode>
                <c:ptCount val="20"/>
                <c:pt idx="0">
                  <c:v>8.2285000000000136E-2</c:v>
                </c:pt>
                <c:pt idx="1">
                  <c:v>1.5024999999999997E-2</c:v>
                </c:pt>
                <c:pt idx="3">
                  <c:v>7.2805000000000231E-2</c:v>
                </c:pt>
                <c:pt idx="4">
                  <c:v>2.4504999999999905E-2</c:v>
                </c:pt>
                <c:pt idx="6">
                  <c:v>7.2075000000000222E-2</c:v>
                </c:pt>
                <c:pt idx="7">
                  <c:v>2.523499999999991E-2</c:v>
                </c:pt>
                <c:pt idx="9">
                  <c:v>8.3240000000000133E-2</c:v>
                </c:pt>
                <c:pt idx="10">
                  <c:v>1.4069999999999999E-2</c:v>
                </c:pt>
                <c:pt idx="12">
                  <c:v>8.3465000000000122E-2</c:v>
                </c:pt>
                <c:pt idx="13">
                  <c:v>1.3845000000000003E-2</c:v>
                </c:pt>
                <c:pt idx="15">
                  <c:v>7.0345000000000227E-2</c:v>
                </c:pt>
                <c:pt idx="16">
                  <c:v>2.6964999999999913E-2</c:v>
                </c:pt>
                <c:pt idx="18">
                  <c:v>7.154500000000022E-2</c:v>
                </c:pt>
                <c:pt idx="19">
                  <c:v>2.576499999999991E-2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1-4237-BC9C-CC99DE795AFD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619648"/>
        <c:axId val="106621184"/>
      </c:lineChart>
      <c:catAx>
        <c:axId val="10661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106621184"/>
        <c:crosses val="autoZero"/>
        <c:auto val="1"/>
        <c:lblAlgn val="ctr"/>
        <c:lblOffset val="100"/>
        <c:noMultiLvlLbl val="0"/>
      </c:catAx>
      <c:valAx>
        <c:axId val="106621184"/>
        <c:scaling>
          <c:orientation val="minMax"/>
          <c:min val="8.0000000000000019E-3"/>
        </c:scaling>
        <c:delete val="0"/>
        <c:axPos val="l"/>
        <c:majorGridlines>
          <c:spPr>
            <a:ln w="22225"/>
          </c:spPr>
        </c:majorGridlines>
        <c:numFmt formatCode="0.000" sourceLinked="1"/>
        <c:majorTickMark val="out"/>
        <c:minorTickMark val="none"/>
        <c:tickLblPos val="nextTo"/>
        <c:crossAx val="106619648"/>
        <c:crosses val="autoZero"/>
        <c:crossBetween val="between"/>
      </c:valAx>
    </c:plotArea>
    <c:plotVisOnly val="1"/>
    <c:dispBlanksAs val="gap"/>
    <c:showDLblsOverMax val="0"/>
  </c:chart>
  <c:spPr>
    <a:ln w="28575"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Contribution</a:t>
            </a:r>
            <a:r>
              <a:rPr lang="fr-FR" baseline="0"/>
              <a:t> de chaque facteur à la réponse</a:t>
            </a:r>
            <a:endParaRPr lang="fr-FR"/>
          </a:p>
        </c:rich>
      </c:tx>
      <c:layout>
        <c:manualLayout>
          <c:xMode val="edge"/>
          <c:yMode val="edge"/>
          <c:x val="0.34453508312801329"/>
          <c:y val="5.9645914408010724E-2"/>
        </c:manualLayout>
      </c:layout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'Durée (fract)'!$C$59:$C$66</c:f>
              <c:strCache>
                <c:ptCount val="8"/>
                <c:pt idx="0">
                  <c:v>Larg pales</c:v>
                </c:pt>
                <c:pt idx="1">
                  <c:v>Long pales</c:v>
                </c:pt>
                <c:pt idx="2">
                  <c:v>Larg fuselage</c:v>
                </c:pt>
                <c:pt idx="3">
                  <c:v>Long fuselage</c:v>
                </c:pt>
                <c:pt idx="4">
                  <c:v>inclinaison pales</c:v>
                </c:pt>
                <c:pt idx="5">
                  <c:v>Nbre trombones</c:v>
                </c:pt>
                <c:pt idx="7">
                  <c:v>Résidus</c:v>
                </c:pt>
              </c:strCache>
            </c:strRef>
          </c:cat>
          <c:val>
            <c:numRef>
              <c:f>'Durée (fract)'!$E$59:$E$66</c:f>
              <c:numCache>
                <c:formatCode>0.00</c:formatCode>
                <c:ptCount val="8"/>
                <c:pt idx="0">
                  <c:v>3.9062500000000555E-2</c:v>
                </c:pt>
                <c:pt idx="1">
                  <c:v>0.66822250000000094</c:v>
                </c:pt>
                <c:pt idx="2">
                  <c:v>0.99540250000000352</c:v>
                </c:pt>
                <c:pt idx="3">
                  <c:v>5.62499999999976E-4</c:v>
                </c:pt>
                <c:pt idx="4">
                  <c:v>1.8020025000000044</c:v>
                </c:pt>
                <c:pt idx="5">
                  <c:v>1.7015625000000005</c:v>
                </c:pt>
                <c:pt idx="6">
                  <c:v>8.7025000000000487E-3</c:v>
                </c:pt>
                <c:pt idx="7">
                  <c:v>1.5569600000000836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6-4206-80B2-81D27E49DD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125.xml"/><Relationship Id="rId21" Type="http://schemas.openxmlformats.org/officeDocument/2006/relationships/chart" Target="../charts/chart120.xml"/><Relationship Id="rId42" Type="http://schemas.openxmlformats.org/officeDocument/2006/relationships/chart" Target="../charts/chart141.xml"/><Relationship Id="rId47" Type="http://schemas.openxmlformats.org/officeDocument/2006/relationships/chart" Target="../charts/chart146.xml"/><Relationship Id="rId63" Type="http://schemas.openxmlformats.org/officeDocument/2006/relationships/chart" Target="../charts/chart162.xml"/><Relationship Id="rId68" Type="http://schemas.openxmlformats.org/officeDocument/2006/relationships/chart" Target="../charts/chart167.xml"/><Relationship Id="rId84" Type="http://schemas.openxmlformats.org/officeDocument/2006/relationships/chart" Target="../charts/chart183.xml"/><Relationship Id="rId89" Type="http://schemas.openxmlformats.org/officeDocument/2006/relationships/chart" Target="../charts/chart188.xml"/><Relationship Id="rId16" Type="http://schemas.openxmlformats.org/officeDocument/2006/relationships/chart" Target="../charts/chart115.xml"/><Relationship Id="rId11" Type="http://schemas.openxmlformats.org/officeDocument/2006/relationships/chart" Target="../charts/chart110.xml"/><Relationship Id="rId32" Type="http://schemas.openxmlformats.org/officeDocument/2006/relationships/chart" Target="../charts/chart131.xml"/><Relationship Id="rId37" Type="http://schemas.openxmlformats.org/officeDocument/2006/relationships/chart" Target="../charts/chart136.xml"/><Relationship Id="rId53" Type="http://schemas.openxmlformats.org/officeDocument/2006/relationships/chart" Target="../charts/chart152.xml"/><Relationship Id="rId58" Type="http://schemas.openxmlformats.org/officeDocument/2006/relationships/chart" Target="../charts/chart157.xml"/><Relationship Id="rId74" Type="http://schemas.openxmlformats.org/officeDocument/2006/relationships/chart" Target="../charts/chart173.xml"/><Relationship Id="rId79" Type="http://schemas.openxmlformats.org/officeDocument/2006/relationships/chart" Target="../charts/chart178.xml"/><Relationship Id="rId5" Type="http://schemas.openxmlformats.org/officeDocument/2006/relationships/chart" Target="../charts/chart104.xml"/><Relationship Id="rId90" Type="http://schemas.openxmlformats.org/officeDocument/2006/relationships/chart" Target="../charts/chart189.xml"/><Relationship Id="rId95" Type="http://schemas.openxmlformats.org/officeDocument/2006/relationships/chart" Target="../charts/chart194.xml"/><Relationship Id="rId22" Type="http://schemas.openxmlformats.org/officeDocument/2006/relationships/chart" Target="../charts/chart121.xml"/><Relationship Id="rId27" Type="http://schemas.openxmlformats.org/officeDocument/2006/relationships/chart" Target="../charts/chart126.xml"/><Relationship Id="rId43" Type="http://schemas.openxmlformats.org/officeDocument/2006/relationships/chart" Target="../charts/chart142.xml"/><Relationship Id="rId48" Type="http://schemas.openxmlformats.org/officeDocument/2006/relationships/chart" Target="../charts/chart147.xml"/><Relationship Id="rId64" Type="http://schemas.openxmlformats.org/officeDocument/2006/relationships/chart" Target="../charts/chart163.xml"/><Relationship Id="rId69" Type="http://schemas.openxmlformats.org/officeDocument/2006/relationships/chart" Target="../charts/chart168.xml"/><Relationship Id="rId80" Type="http://schemas.openxmlformats.org/officeDocument/2006/relationships/chart" Target="../charts/chart179.xml"/><Relationship Id="rId85" Type="http://schemas.openxmlformats.org/officeDocument/2006/relationships/chart" Target="../charts/chart184.xml"/><Relationship Id="rId3" Type="http://schemas.openxmlformats.org/officeDocument/2006/relationships/chart" Target="../charts/chart102.xml"/><Relationship Id="rId12" Type="http://schemas.openxmlformats.org/officeDocument/2006/relationships/chart" Target="../charts/chart111.xml"/><Relationship Id="rId17" Type="http://schemas.openxmlformats.org/officeDocument/2006/relationships/chart" Target="../charts/chart116.xml"/><Relationship Id="rId25" Type="http://schemas.openxmlformats.org/officeDocument/2006/relationships/chart" Target="../charts/chart124.xml"/><Relationship Id="rId33" Type="http://schemas.openxmlformats.org/officeDocument/2006/relationships/chart" Target="../charts/chart132.xml"/><Relationship Id="rId38" Type="http://schemas.openxmlformats.org/officeDocument/2006/relationships/chart" Target="../charts/chart137.xml"/><Relationship Id="rId46" Type="http://schemas.openxmlformats.org/officeDocument/2006/relationships/chart" Target="../charts/chart145.xml"/><Relationship Id="rId59" Type="http://schemas.openxmlformats.org/officeDocument/2006/relationships/chart" Target="../charts/chart158.xml"/><Relationship Id="rId67" Type="http://schemas.openxmlformats.org/officeDocument/2006/relationships/chart" Target="../charts/chart166.xml"/><Relationship Id="rId20" Type="http://schemas.openxmlformats.org/officeDocument/2006/relationships/chart" Target="../charts/chart119.xml"/><Relationship Id="rId41" Type="http://schemas.openxmlformats.org/officeDocument/2006/relationships/chart" Target="../charts/chart140.xml"/><Relationship Id="rId54" Type="http://schemas.openxmlformats.org/officeDocument/2006/relationships/chart" Target="../charts/chart153.xml"/><Relationship Id="rId62" Type="http://schemas.openxmlformats.org/officeDocument/2006/relationships/chart" Target="../charts/chart161.xml"/><Relationship Id="rId70" Type="http://schemas.openxmlformats.org/officeDocument/2006/relationships/chart" Target="../charts/chart169.xml"/><Relationship Id="rId75" Type="http://schemas.openxmlformats.org/officeDocument/2006/relationships/chart" Target="../charts/chart174.xml"/><Relationship Id="rId83" Type="http://schemas.openxmlformats.org/officeDocument/2006/relationships/chart" Target="../charts/chart182.xml"/><Relationship Id="rId88" Type="http://schemas.openxmlformats.org/officeDocument/2006/relationships/chart" Target="../charts/chart187.xml"/><Relationship Id="rId91" Type="http://schemas.openxmlformats.org/officeDocument/2006/relationships/chart" Target="../charts/chart190.xml"/><Relationship Id="rId96" Type="http://schemas.openxmlformats.org/officeDocument/2006/relationships/chart" Target="../charts/chart195.xml"/><Relationship Id="rId1" Type="http://schemas.openxmlformats.org/officeDocument/2006/relationships/chart" Target="../charts/chart100.xml"/><Relationship Id="rId6" Type="http://schemas.openxmlformats.org/officeDocument/2006/relationships/chart" Target="../charts/chart105.xml"/><Relationship Id="rId15" Type="http://schemas.openxmlformats.org/officeDocument/2006/relationships/chart" Target="../charts/chart114.xml"/><Relationship Id="rId23" Type="http://schemas.openxmlformats.org/officeDocument/2006/relationships/chart" Target="../charts/chart122.xml"/><Relationship Id="rId28" Type="http://schemas.openxmlformats.org/officeDocument/2006/relationships/chart" Target="../charts/chart127.xml"/><Relationship Id="rId36" Type="http://schemas.openxmlformats.org/officeDocument/2006/relationships/chart" Target="../charts/chart135.xml"/><Relationship Id="rId49" Type="http://schemas.openxmlformats.org/officeDocument/2006/relationships/chart" Target="../charts/chart148.xml"/><Relationship Id="rId57" Type="http://schemas.openxmlformats.org/officeDocument/2006/relationships/chart" Target="../charts/chart156.xml"/><Relationship Id="rId10" Type="http://schemas.openxmlformats.org/officeDocument/2006/relationships/chart" Target="../charts/chart109.xml"/><Relationship Id="rId31" Type="http://schemas.openxmlformats.org/officeDocument/2006/relationships/chart" Target="../charts/chart130.xml"/><Relationship Id="rId44" Type="http://schemas.openxmlformats.org/officeDocument/2006/relationships/chart" Target="../charts/chart143.xml"/><Relationship Id="rId52" Type="http://schemas.openxmlformats.org/officeDocument/2006/relationships/chart" Target="../charts/chart151.xml"/><Relationship Id="rId60" Type="http://schemas.openxmlformats.org/officeDocument/2006/relationships/chart" Target="../charts/chart159.xml"/><Relationship Id="rId65" Type="http://schemas.openxmlformats.org/officeDocument/2006/relationships/chart" Target="../charts/chart164.xml"/><Relationship Id="rId73" Type="http://schemas.openxmlformats.org/officeDocument/2006/relationships/chart" Target="../charts/chart172.xml"/><Relationship Id="rId78" Type="http://schemas.openxmlformats.org/officeDocument/2006/relationships/chart" Target="../charts/chart177.xml"/><Relationship Id="rId81" Type="http://schemas.openxmlformats.org/officeDocument/2006/relationships/chart" Target="../charts/chart180.xml"/><Relationship Id="rId86" Type="http://schemas.openxmlformats.org/officeDocument/2006/relationships/chart" Target="../charts/chart185.xml"/><Relationship Id="rId94" Type="http://schemas.openxmlformats.org/officeDocument/2006/relationships/chart" Target="../charts/chart193.xml"/><Relationship Id="rId99" Type="http://schemas.openxmlformats.org/officeDocument/2006/relationships/chart" Target="../charts/chart198.xml"/><Relationship Id="rId4" Type="http://schemas.openxmlformats.org/officeDocument/2006/relationships/chart" Target="../charts/chart103.xml"/><Relationship Id="rId9" Type="http://schemas.openxmlformats.org/officeDocument/2006/relationships/chart" Target="../charts/chart108.xml"/><Relationship Id="rId13" Type="http://schemas.openxmlformats.org/officeDocument/2006/relationships/chart" Target="../charts/chart112.xml"/><Relationship Id="rId18" Type="http://schemas.openxmlformats.org/officeDocument/2006/relationships/chart" Target="../charts/chart117.xml"/><Relationship Id="rId39" Type="http://schemas.openxmlformats.org/officeDocument/2006/relationships/chart" Target="../charts/chart138.xml"/><Relationship Id="rId34" Type="http://schemas.openxmlformats.org/officeDocument/2006/relationships/chart" Target="../charts/chart133.xml"/><Relationship Id="rId50" Type="http://schemas.openxmlformats.org/officeDocument/2006/relationships/chart" Target="../charts/chart149.xml"/><Relationship Id="rId55" Type="http://schemas.openxmlformats.org/officeDocument/2006/relationships/chart" Target="../charts/chart154.xml"/><Relationship Id="rId76" Type="http://schemas.openxmlformats.org/officeDocument/2006/relationships/chart" Target="../charts/chart175.xml"/><Relationship Id="rId97" Type="http://schemas.openxmlformats.org/officeDocument/2006/relationships/chart" Target="../charts/chart196.xml"/><Relationship Id="rId7" Type="http://schemas.openxmlformats.org/officeDocument/2006/relationships/chart" Target="../charts/chart106.xml"/><Relationship Id="rId71" Type="http://schemas.openxmlformats.org/officeDocument/2006/relationships/chart" Target="../charts/chart170.xml"/><Relationship Id="rId92" Type="http://schemas.openxmlformats.org/officeDocument/2006/relationships/chart" Target="../charts/chart191.xml"/><Relationship Id="rId2" Type="http://schemas.openxmlformats.org/officeDocument/2006/relationships/chart" Target="../charts/chart101.xml"/><Relationship Id="rId29" Type="http://schemas.openxmlformats.org/officeDocument/2006/relationships/chart" Target="../charts/chart128.xml"/><Relationship Id="rId24" Type="http://schemas.openxmlformats.org/officeDocument/2006/relationships/chart" Target="../charts/chart123.xml"/><Relationship Id="rId40" Type="http://schemas.openxmlformats.org/officeDocument/2006/relationships/chart" Target="../charts/chart139.xml"/><Relationship Id="rId45" Type="http://schemas.openxmlformats.org/officeDocument/2006/relationships/chart" Target="../charts/chart144.xml"/><Relationship Id="rId66" Type="http://schemas.openxmlformats.org/officeDocument/2006/relationships/chart" Target="../charts/chart165.xml"/><Relationship Id="rId87" Type="http://schemas.openxmlformats.org/officeDocument/2006/relationships/chart" Target="../charts/chart186.xml"/><Relationship Id="rId61" Type="http://schemas.openxmlformats.org/officeDocument/2006/relationships/chart" Target="../charts/chart160.xml"/><Relationship Id="rId82" Type="http://schemas.openxmlformats.org/officeDocument/2006/relationships/chart" Target="../charts/chart181.xml"/><Relationship Id="rId19" Type="http://schemas.openxmlformats.org/officeDocument/2006/relationships/chart" Target="../charts/chart118.xml"/><Relationship Id="rId14" Type="http://schemas.openxmlformats.org/officeDocument/2006/relationships/chart" Target="../charts/chart113.xml"/><Relationship Id="rId30" Type="http://schemas.openxmlformats.org/officeDocument/2006/relationships/chart" Target="../charts/chart129.xml"/><Relationship Id="rId35" Type="http://schemas.openxmlformats.org/officeDocument/2006/relationships/chart" Target="../charts/chart134.xml"/><Relationship Id="rId56" Type="http://schemas.openxmlformats.org/officeDocument/2006/relationships/chart" Target="../charts/chart155.xml"/><Relationship Id="rId77" Type="http://schemas.openxmlformats.org/officeDocument/2006/relationships/chart" Target="../charts/chart176.xml"/><Relationship Id="rId8" Type="http://schemas.openxmlformats.org/officeDocument/2006/relationships/chart" Target="../charts/chart107.xml"/><Relationship Id="rId51" Type="http://schemas.openxmlformats.org/officeDocument/2006/relationships/chart" Target="../charts/chart150.xml"/><Relationship Id="rId72" Type="http://schemas.openxmlformats.org/officeDocument/2006/relationships/chart" Target="../charts/chart171.xml"/><Relationship Id="rId93" Type="http://schemas.openxmlformats.org/officeDocument/2006/relationships/chart" Target="../charts/chart192.xml"/><Relationship Id="rId98" Type="http://schemas.openxmlformats.org/officeDocument/2006/relationships/chart" Target="../charts/chart197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24.xml"/><Relationship Id="rId21" Type="http://schemas.openxmlformats.org/officeDocument/2006/relationships/chart" Target="../charts/chart219.xml"/><Relationship Id="rId42" Type="http://schemas.openxmlformats.org/officeDocument/2006/relationships/chart" Target="../charts/chart240.xml"/><Relationship Id="rId47" Type="http://schemas.openxmlformats.org/officeDocument/2006/relationships/chart" Target="../charts/chart245.xml"/><Relationship Id="rId63" Type="http://schemas.openxmlformats.org/officeDocument/2006/relationships/chart" Target="../charts/chart261.xml"/><Relationship Id="rId68" Type="http://schemas.openxmlformats.org/officeDocument/2006/relationships/chart" Target="../charts/chart266.xml"/><Relationship Id="rId84" Type="http://schemas.openxmlformats.org/officeDocument/2006/relationships/chart" Target="../charts/chart282.xml"/><Relationship Id="rId89" Type="http://schemas.openxmlformats.org/officeDocument/2006/relationships/chart" Target="../charts/chart287.xml"/><Relationship Id="rId16" Type="http://schemas.openxmlformats.org/officeDocument/2006/relationships/chart" Target="../charts/chart214.xml"/><Relationship Id="rId11" Type="http://schemas.openxmlformats.org/officeDocument/2006/relationships/chart" Target="../charts/chart209.xml"/><Relationship Id="rId32" Type="http://schemas.openxmlformats.org/officeDocument/2006/relationships/chart" Target="../charts/chart230.xml"/><Relationship Id="rId37" Type="http://schemas.openxmlformats.org/officeDocument/2006/relationships/chart" Target="../charts/chart235.xml"/><Relationship Id="rId53" Type="http://schemas.openxmlformats.org/officeDocument/2006/relationships/chart" Target="../charts/chart251.xml"/><Relationship Id="rId58" Type="http://schemas.openxmlformats.org/officeDocument/2006/relationships/chart" Target="../charts/chart256.xml"/><Relationship Id="rId74" Type="http://schemas.openxmlformats.org/officeDocument/2006/relationships/chart" Target="../charts/chart272.xml"/><Relationship Id="rId79" Type="http://schemas.openxmlformats.org/officeDocument/2006/relationships/chart" Target="../charts/chart277.xml"/><Relationship Id="rId5" Type="http://schemas.openxmlformats.org/officeDocument/2006/relationships/chart" Target="../charts/chart203.xml"/><Relationship Id="rId90" Type="http://schemas.openxmlformats.org/officeDocument/2006/relationships/chart" Target="../charts/chart288.xml"/><Relationship Id="rId95" Type="http://schemas.openxmlformats.org/officeDocument/2006/relationships/chart" Target="../charts/chart293.xml"/><Relationship Id="rId22" Type="http://schemas.openxmlformats.org/officeDocument/2006/relationships/chart" Target="../charts/chart220.xml"/><Relationship Id="rId27" Type="http://schemas.openxmlformats.org/officeDocument/2006/relationships/chart" Target="../charts/chart225.xml"/><Relationship Id="rId43" Type="http://schemas.openxmlformats.org/officeDocument/2006/relationships/chart" Target="../charts/chart241.xml"/><Relationship Id="rId48" Type="http://schemas.openxmlformats.org/officeDocument/2006/relationships/chart" Target="../charts/chart246.xml"/><Relationship Id="rId64" Type="http://schemas.openxmlformats.org/officeDocument/2006/relationships/chart" Target="../charts/chart262.xml"/><Relationship Id="rId69" Type="http://schemas.openxmlformats.org/officeDocument/2006/relationships/chart" Target="../charts/chart267.xml"/><Relationship Id="rId80" Type="http://schemas.openxmlformats.org/officeDocument/2006/relationships/chart" Target="../charts/chart278.xml"/><Relationship Id="rId85" Type="http://schemas.openxmlformats.org/officeDocument/2006/relationships/chart" Target="../charts/chart283.xml"/><Relationship Id="rId3" Type="http://schemas.openxmlformats.org/officeDocument/2006/relationships/chart" Target="../charts/chart201.xml"/><Relationship Id="rId12" Type="http://schemas.openxmlformats.org/officeDocument/2006/relationships/chart" Target="../charts/chart210.xml"/><Relationship Id="rId17" Type="http://schemas.openxmlformats.org/officeDocument/2006/relationships/chart" Target="../charts/chart215.xml"/><Relationship Id="rId25" Type="http://schemas.openxmlformats.org/officeDocument/2006/relationships/chart" Target="../charts/chart223.xml"/><Relationship Id="rId33" Type="http://schemas.openxmlformats.org/officeDocument/2006/relationships/chart" Target="../charts/chart231.xml"/><Relationship Id="rId38" Type="http://schemas.openxmlformats.org/officeDocument/2006/relationships/chart" Target="../charts/chart236.xml"/><Relationship Id="rId46" Type="http://schemas.openxmlformats.org/officeDocument/2006/relationships/chart" Target="../charts/chart244.xml"/><Relationship Id="rId59" Type="http://schemas.openxmlformats.org/officeDocument/2006/relationships/chart" Target="../charts/chart257.xml"/><Relationship Id="rId67" Type="http://schemas.openxmlformats.org/officeDocument/2006/relationships/chart" Target="../charts/chart265.xml"/><Relationship Id="rId20" Type="http://schemas.openxmlformats.org/officeDocument/2006/relationships/chart" Target="../charts/chart218.xml"/><Relationship Id="rId41" Type="http://schemas.openxmlformats.org/officeDocument/2006/relationships/chart" Target="../charts/chart239.xml"/><Relationship Id="rId54" Type="http://schemas.openxmlformats.org/officeDocument/2006/relationships/chart" Target="../charts/chart252.xml"/><Relationship Id="rId62" Type="http://schemas.openxmlformats.org/officeDocument/2006/relationships/chart" Target="../charts/chart260.xml"/><Relationship Id="rId70" Type="http://schemas.openxmlformats.org/officeDocument/2006/relationships/chart" Target="../charts/chart268.xml"/><Relationship Id="rId75" Type="http://schemas.openxmlformats.org/officeDocument/2006/relationships/chart" Target="../charts/chart273.xml"/><Relationship Id="rId83" Type="http://schemas.openxmlformats.org/officeDocument/2006/relationships/chart" Target="../charts/chart281.xml"/><Relationship Id="rId88" Type="http://schemas.openxmlformats.org/officeDocument/2006/relationships/chart" Target="../charts/chart286.xml"/><Relationship Id="rId91" Type="http://schemas.openxmlformats.org/officeDocument/2006/relationships/chart" Target="../charts/chart289.xml"/><Relationship Id="rId96" Type="http://schemas.openxmlformats.org/officeDocument/2006/relationships/chart" Target="../charts/chart294.xml"/><Relationship Id="rId1" Type="http://schemas.openxmlformats.org/officeDocument/2006/relationships/chart" Target="../charts/chart199.xml"/><Relationship Id="rId6" Type="http://schemas.openxmlformats.org/officeDocument/2006/relationships/chart" Target="../charts/chart204.xml"/><Relationship Id="rId15" Type="http://schemas.openxmlformats.org/officeDocument/2006/relationships/chart" Target="../charts/chart213.xml"/><Relationship Id="rId23" Type="http://schemas.openxmlformats.org/officeDocument/2006/relationships/chart" Target="../charts/chart221.xml"/><Relationship Id="rId28" Type="http://schemas.openxmlformats.org/officeDocument/2006/relationships/chart" Target="../charts/chart226.xml"/><Relationship Id="rId36" Type="http://schemas.openxmlformats.org/officeDocument/2006/relationships/chart" Target="../charts/chart234.xml"/><Relationship Id="rId49" Type="http://schemas.openxmlformats.org/officeDocument/2006/relationships/chart" Target="../charts/chart247.xml"/><Relationship Id="rId57" Type="http://schemas.openxmlformats.org/officeDocument/2006/relationships/chart" Target="../charts/chart255.xml"/><Relationship Id="rId10" Type="http://schemas.openxmlformats.org/officeDocument/2006/relationships/chart" Target="../charts/chart208.xml"/><Relationship Id="rId31" Type="http://schemas.openxmlformats.org/officeDocument/2006/relationships/chart" Target="../charts/chart229.xml"/><Relationship Id="rId44" Type="http://schemas.openxmlformats.org/officeDocument/2006/relationships/chart" Target="../charts/chart242.xml"/><Relationship Id="rId52" Type="http://schemas.openxmlformats.org/officeDocument/2006/relationships/chart" Target="../charts/chart250.xml"/><Relationship Id="rId60" Type="http://schemas.openxmlformats.org/officeDocument/2006/relationships/chart" Target="../charts/chart258.xml"/><Relationship Id="rId65" Type="http://schemas.openxmlformats.org/officeDocument/2006/relationships/chart" Target="../charts/chart263.xml"/><Relationship Id="rId73" Type="http://schemas.openxmlformats.org/officeDocument/2006/relationships/chart" Target="../charts/chart271.xml"/><Relationship Id="rId78" Type="http://schemas.openxmlformats.org/officeDocument/2006/relationships/chart" Target="../charts/chart276.xml"/><Relationship Id="rId81" Type="http://schemas.openxmlformats.org/officeDocument/2006/relationships/chart" Target="../charts/chart279.xml"/><Relationship Id="rId86" Type="http://schemas.openxmlformats.org/officeDocument/2006/relationships/chart" Target="../charts/chart284.xml"/><Relationship Id="rId94" Type="http://schemas.openxmlformats.org/officeDocument/2006/relationships/chart" Target="../charts/chart292.xml"/><Relationship Id="rId99" Type="http://schemas.openxmlformats.org/officeDocument/2006/relationships/chart" Target="../charts/chart297.xml"/><Relationship Id="rId4" Type="http://schemas.openxmlformats.org/officeDocument/2006/relationships/chart" Target="../charts/chart202.xml"/><Relationship Id="rId9" Type="http://schemas.openxmlformats.org/officeDocument/2006/relationships/chart" Target="../charts/chart207.xml"/><Relationship Id="rId13" Type="http://schemas.openxmlformats.org/officeDocument/2006/relationships/chart" Target="../charts/chart211.xml"/><Relationship Id="rId18" Type="http://schemas.openxmlformats.org/officeDocument/2006/relationships/chart" Target="../charts/chart216.xml"/><Relationship Id="rId39" Type="http://schemas.openxmlformats.org/officeDocument/2006/relationships/chart" Target="../charts/chart237.xml"/><Relationship Id="rId34" Type="http://schemas.openxmlformats.org/officeDocument/2006/relationships/chart" Target="../charts/chart232.xml"/><Relationship Id="rId50" Type="http://schemas.openxmlformats.org/officeDocument/2006/relationships/chart" Target="../charts/chart248.xml"/><Relationship Id="rId55" Type="http://schemas.openxmlformats.org/officeDocument/2006/relationships/chart" Target="../charts/chart253.xml"/><Relationship Id="rId76" Type="http://schemas.openxmlformats.org/officeDocument/2006/relationships/chart" Target="../charts/chart274.xml"/><Relationship Id="rId97" Type="http://schemas.openxmlformats.org/officeDocument/2006/relationships/chart" Target="../charts/chart295.xml"/><Relationship Id="rId7" Type="http://schemas.openxmlformats.org/officeDocument/2006/relationships/chart" Target="../charts/chart205.xml"/><Relationship Id="rId71" Type="http://schemas.openxmlformats.org/officeDocument/2006/relationships/chart" Target="../charts/chart269.xml"/><Relationship Id="rId92" Type="http://schemas.openxmlformats.org/officeDocument/2006/relationships/chart" Target="../charts/chart290.xml"/><Relationship Id="rId2" Type="http://schemas.openxmlformats.org/officeDocument/2006/relationships/chart" Target="../charts/chart200.xml"/><Relationship Id="rId29" Type="http://schemas.openxmlformats.org/officeDocument/2006/relationships/chart" Target="../charts/chart227.xml"/><Relationship Id="rId24" Type="http://schemas.openxmlformats.org/officeDocument/2006/relationships/chart" Target="../charts/chart222.xml"/><Relationship Id="rId40" Type="http://schemas.openxmlformats.org/officeDocument/2006/relationships/chart" Target="../charts/chart238.xml"/><Relationship Id="rId45" Type="http://schemas.openxmlformats.org/officeDocument/2006/relationships/chart" Target="../charts/chart243.xml"/><Relationship Id="rId66" Type="http://schemas.openxmlformats.org/officeDocument/2006/relationships/chart" Target="../charts/chart264.xml"/><Relationship Id="rId87" Type="http://schemas.openxmlformats.org/officeDocument/2006/relationships/chart" Target="../charts/chart285.xml"/><Relationship Id="rId61" Type="http://schemas.openxmlformats.org/officeDocument/2006/relationships/chart" Target="../charts/chart259.xml"/><Relationship Id="rId82" Type="http://schemas.openxmlformats.org/officeDocument/2006/relationships/chart" Target="../charts/chart280.xml"/><Relationship Id="rId19" Type="http://schemas.openxmlformats.org/officeDocument/2006/relationships/chart" Target="../charts/chart217.xml"/><Relationship Id="rId14" Type="http://schemas.openxmlformats.org/officeDocument/2006/relationships/chart" Target="../charts/chart212.xml"/><Relationship Id="rId30" Type="http://schemas.openxmlformats.org/officeDocument/2006/relationships/chart" Target="../charts/chart228.xml"/><Relationship Id="rId35" Type="http://schemas.openxmlformats.org/officeDocument/2006/relationships/chart" Target="../charts/chart233.xml"/><Relationship Id="rId56" Type="http://schemas.openxmlformats.org/officeDocument/2006/relationships/chart" Target="../charts/chart254.xml"/><Relationship Id="rId77" Type="http://schemas.openxmlformats.org/officeDocument/2006/relationships/chart" Target="../charts/chart275.xml"/><Relationship Id="rId8" Type="http://schemas.openxmlformats.org/officeDocument/2006/relationships/chart" Target="../charts/chart206.xml"/><Relationship Id="rId51" Type="http://schemas.openxmlformats.org/officeDocument/2006/relationships/chart" Target="../charts/chart249.xml"/><Relationship Id="rId72" Type="http://schemas.openxmlformats.org/officeDocument/2006/relationships/chart" Target="../charts/chart270.xml"/><Relationship Id="rId93" Type="http://schemas.openxmlformats.org/officeDocument/2006/relationships/chart" Target="../charts/chart291.xml"/><Relationship Id="rId98" Type="http://schemas.openxmlformats.org/officeDocument/2006/relationships/chart" Target="../charts/chart29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22</xdr:row>
      <xdr:rowOff>66675</xdr:rowOff>
    </xdr:from>
    <xdr:to>
      <xdr:col>8</xdr:col>
      <xdr:colOff>419100</xdr:colOff>
      <xdr:row>22</xdr:row>
      <xdr:rowOff>66675</xdr:rowOff>
    </xdr:to>
    <xdr:graphicFrame macro="">
      <xdr:nvGraphicFramePr>
        <xdr:cNvPr id="1025" name="Graphiqu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23</xdr:row>
      <xdr:rowOff>85725</xdr:rowOff>
    </xdr:from>
    <xdr:to>
      <xdr:col>12</xdr:col>
      <xdr:colOff>419100</xdr:colOff>
      <xdr:row>23</xdr:row>
      <xdr:rowOff>85725</xdr:rowOff>
    </xdr:to>
    <xdr:graphicFrame macro="">
      <xdr:nvGraphicFramePr>
        <xdr:cNvPr id="1026" name="Graphiqu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571500</xdr:colOff>
      <xdr:row>30</xdr:row>
      <xdr:rowOff>63542</xdr:rowOff>
    </xdr:from>
    <xdr:to>
      <xdr:col>20</xdr:col>
      <xdr:colOff>225136</xdr:colOff>
      <xdr:row>54</xdr:row>
      <xdr:rowOff>50800</xdr:rowOff>
    </xdr:to>
    <xdr:graphicFrame macro="">
      <xdr:nvGraphicFramePr>
        <xdr:cNvPr id="1027" name="Graphiqu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0</xdr:colOff>
      <xdr:row>18</xdr:row>
      <xdr:rowOff>38100</xdr:rowOff>
    </xdr:to>
    <xdr:graphicFrame macro="">
      <xdr:nvGraphicFramePr>
        <xdr:cNvPr id="1033" name="Graphique 9" hidden="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34</xdr:col>
      <xdr:colOff>0</xdr:colOff>
      <xdr:row>18</xdr:row>
      <xdr:rowOff>38100</xdr:rowOff>
    </xdr:to>
    <xdr:graphicFrame macro="">
      <xdr:nvGraphicFramePr>
        <xdr:cNvPr id="1034" name="Graphique 10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40</xdr:col>
      <xdr:colOff>0</xdr:colOff>
      <xdr:row>18</xdr:row>
      <xdr:rowOff>38100</xdr:rowOff>
    </xdr:to>
    <xdr:graphicFrame macro="">
      <xdr:nvGraphicFramePr>
        <xdr:cNvPr id="1035" name="Graphique 11" hidden="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0</xdr:colOff>
      <xdr:row>18</xdr:row>
      <xdr:rowOff>38100</xdr:rowOff>
    </xdr:to>
    <xdr:graphicFrame macro="">
      <xdr:nvGraphicFramePr>
        <xdr:cNvPr id="1036" name="Graphique 1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52</xdr:col>
      <xdr:colOff>0</xdr:colOff>
      <xdr:row>18</xdr:row>
      <xdr:rowOff>38100</xdr:rowOff>
    </xdr:to>
    <xdr:graphicFrame macro="">
      <xdr:nvGraphicFramePr>
        <xdr:cNvPr id="1037" name="Graphique 13" hidden="1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58</xdr:col>
      <xdr:colOff>0</xdr:colOff>
      <xdr:row>18</xdr:row>
      <xdr:rowOff>38100</xdr:rowOff>
    </xdr:to>
    <xdr:graphicFrame macro="">
      <xdr:nvGraphicFramePr>
        <xdr:cNvPr id="1038" name="Graphique 14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18</xdr:row>
      <xdr:rowOff>38100</xdr:rowOff>
    </xdr:from>
    <xdr:to>
      <xdr:col>34</xdr:col>
      <xdr:colOff>0</xdr:colOff>
      <xdr:row>38</xdr:row>
      <xdr:rowOff>0</xdr:rowOff>
    </xdr:to>
    <xdr:graphicFrame macro="">
      <xdr:nvGraphicFramePr>
        <xdr:cNvPr id="1039" name="Graphique 15" hidden="1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18</xdr:row>
      <xdr:rowOff>38100</xdr:rowOff>
    </xdr:from>
    <xdr:to>
      <xdr:col>40</xdr:col>
      <xdr:colOff>0</xdr:colOff>
      <xdr:row>38</xdr:row>
      <xdr:rowOff>0</xdr:rowOff>
    </xdr:to>
    <xdr:graphicFrame macro="">
      <xdr:nvGraphicFramePr>
        <xdr:cNvPr id="1040" name="Graphique 16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0</xdr:colOff>
      <xdr:row>18</xdr:row>
      <xdr:rowOff>38100</xdr:rowOff>
    </xdr:from>
    <xdr:to>
      <xdr:col>46</xdr:col>
      <xdr:colOff>0</xdr:colOff>
      <xdr:row>38</xdr:row>
      <xdr:rowOff>0</xdr:rowOff>
    </xdr:to>
    <xdr:graphicFrame macro="">
      <xdr:nvGraphicFramePr>
        <xdr:cNvPr id="1041" name="Graphique 17" hidden="1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0</xdr:colOff>
      <xdr:row>18</xdr:row>
      <xdr:rowOff>38100</xdr:rowOff>
    </xdr:from>
    <xdr:to>
      <xdr:col>52</xdr:col>
      <xdr:colOff>0</xdr:colOff>
      <xdr:row>38</xdr:row>
      <xdr:rowOff>0</xdr:rowOff>
    </xdr:to>
    <xdr:graphicFrame macro="">
      <xdr:nvGraphicFramePr>
        <xdr:cNvPr id="1042" name="Graphique 18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0</xdr:colOff>
      <xdr:row>18</xdr:row>
      <xdr:rowOff>38100</xdr:rowOff>
    </xdr:from>
    <xdr:to>
      <xdr:col>58</xdr:col>
      <xdr:colOff>0</xdr:colOff>
      <xdr:row>38</xdr:row>
      <xdr:rowOff>0</xdr:rowOff>
    </xdr:to>
    <xdr:graphicFrame macro="">
      <xdr:nvGraphicFramePr>
        <xdr:cNvPr id="1043" name="Graphique 19" hidden="1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0</xdr:colOff>
      <xdr:row>38</xdr:row>
      <xdr:rowOff>0</xdr:rowOff>
    </xdr:from>
    <xdr:to>
      <xdr:col>40</xdr:col>
      <xdr:colOff>0</xdr:colOff>
      <xdr:row>57</xdr:row>
      <xdr:rowOff>95250</xdr:rowOff>
    </xdr:to>
    <xdr:graphicFrame macro="">
      <xdr:nvGraphicFramePr>
        <xdr:cNvPr id="1044" name="Graphique 20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38</xdr:row>
      <xdr:rowOff>0</xdr:rowOff>
    </xdr:from>
    <xdr:to>
      <xdr:col>46</xdr:col>
      <xdr:colOff>0</xdr:colOff>
      <xdr:row>57</xdr:row>
      <xdr:rowOff>95250</xdr:rowOff>
    </xdr:to>
    <xdr:graphicFrame macro="">
      <xdr:nvGraphicFramePr>
        <xdr:cNvPr id="1045" name="Graphique 21" hidden="1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0</xdr:colOff>
      <xdr:row>38</xdr:row>
      <xdr:rowOff>0</xdr:rowOff>
    </xdr:from>
    <xdr:to>
      <xdr:col>52</xdr:col>
      <xdr:colOff>0</xdr:colOff>
      <xdr:row>57</xdr:row>
      <xdr:rowOff>95250</xdr:rowOff>
    </xdr:to>
    <xdr:graphicFrame macro="">
      <xdr:nvGraphicFramePr>
        <xdr:cNvPr id="1046" name="Graphique 22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52</xdr:col>
      <xdr:colOff>0</xdr:colOff>
      <xdr:row>38</xdr:row>
      <xdr:rowOff>0</xdr:rowOff>
    </xdr:from>
    <xdr:to>
      <xdr:col>58</xdr:col>
      <xdr:colOff>0</xdr:colOff>
      <xdr:row>57</xdr:row>
      <xdr:rowOff>95250</xdr:rowOff>
    </xdr:to>
    <xdr:graphicFrame macro="">
      <xdr:nvGraphicFramePr>
        <xdr:cNvPr id="1047" name="Graphique 23" hidden="1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0</xdr:colOff>
      <xdr:row>57</xdr:row>
      <xdr:rowOff>95250</xdr:rowOff>
    </xdr:from>
    <xdr:to>
      <xdr:col>46</xdr:col>
      <xdr:colOff>0</xdr:colOff>
      <xdr:row>77</xdr:row>
      <xdr:rowOff>133350</xdr:rowOff>
    </xdr:to>
    <xdr:graphicFrame macro="">
      <xdr:nvGraphicFramePr>
        <xdr:cNvPr id="1048" name="Graphique 24" hidden="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0</xdr:colOff>
      <xdr:row>57</xdr:row>
      <xdr:rowOff>95250</xdr:rowOff>
    </xdr:from>
    <xdr:to>
      <xdr:col>52</xdr:col>
      <xdr:colOff>0</xdr:colOff>
      <xdr:row>77</xdr:row>
      <xdr:rowOff>133350</xdr:rowOff>
    </xdr:to>
    <xdr:graphicFrame macro="">
      <xdr:nvGraphicFramePr>
        <xdr:cNvPr id="1049" name="Graphique 25" hidden="1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52</xdr:col>
      <xdr:colOff>0</xdr:colOff>
      <xdr:row>57</xdr:row>
      <xdr:rowOff>95250</xdr:rowOff>
    </xdr:from>
    <xdr:to>
      <xdr:col>58</xdr:col>
      <xdr:colOff>0</xdr:colOff>
      <xdr:row>77</xdr:row>
      <xdr:rowOff>133350</xdr:rowOff>
    </xdr:to>
    <xdr:graphicFrame macro="">
      <xdr:nvGraphicFramePr>
        <xdr:cNvPr id="1050" name="Graphique 26" hidden="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0</xdr:colOff>
      <xdr:row>77</xdr:row>
      <xdr:rowOff>133350</xdr:rowOff>
    </xdr:from>
    <xdr:to>
      <xdr:col>52</xdr:col>
      <xdr:colOff>0</xdr:colOff>
      <xdr:row>97</xdr:row>
      <xdr:rowOff>133350</xdr:rowOff>
    </xdr:to>
    <xdr:graphicFrame macro="">
      <xdr:nvGraphicFramePr>
        <xdr:cNvPr id="1051" name="Graphique 27" hidden="1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52</xdr:col>
      <xdr:colOff>0</xdr:colOff>
      <xdr:row>77</xdr:row>
      <xdr:rowOff>133350</xdr:rowOff>
    </xdr:from>
    <xdr:to>
      <xdr:col>58</xdr:col>
      <xdr:colOff>0</xdr:colOff>
      <xdr:row>97</xdr:row>
      <xdr:rowOff>133350</xdr:rowOff>
    </xdr:to>
    <xdr:graphicFrame macro="">
      <xdr:nvGraphicFramePr>
        <xdr:cNvPr id="1052" name="Graphique 28" hidden="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52</xdr:col>
      <xdr:colOff>0</xdr:colOff>
      <xdr:row>97</xdr:row>
      <xdr:rowOff>133350</xdr:rowOff>
    </xdr:from>
    <xdr:to>
      <xdr:col>58</xdr:col>
      <xdr:colOff>0</xdr:colOff>
      <xdr:row>117</xdr:row>
      <xdr:rowOff>133350</xdr:rowOff>
    </xdr:to>
    <xdr:graphicFrame macro="">
      <xdr:nvGraphicFramePr>
        <xdr:cNvPr id="1054" name="Graphique 30" hidden="1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180975</xdr:colOff>
      <xdr:row>15</xdr:row>
      <xdr:rowOff>47625</xdr:rowOff>
    </xdr:from>
    <xdr:to>
      <xdr:col>8</xdr:col>
      <xdr:colOff>152400</xdr:colOff>
      <xdr:row>16</xdr:row>
      <xdr:rowOff>123825</xdr:rowOff>
    </xdr:to>
    <xdr:sp macro="" textlink="">
      <xdr:nvSpPr>
        <xdr:cNvPr id="1056" name="Texte 32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>
          <a:spLocks noChangeArrowheads="1"/>
        </xdr:cNvSpPr>
      </xdr:nvSpPr>
      <xdr:spPr bwMode="auto">
        <a:xfrm>
          <a:off x="1381125" y="2962275"/>
          <a:ext cx="50768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Plan complet : Colonnes 1, 2, 4                  Plan résolution IV : Colonnes impaires ou 1, 2, 4, 7</a:t>
          </a:r>
        </a:p>
      </xdr:txBody>
    </xdr:sp>
    <xdr:clientData/>
  </xdr:twoCellAnchor>
  <xdr:twoCellAnchor>
    <xdr:from>
      <xdr:col>8</xdr:col>
      <xdr:colOff>419100</xdr:colOff>
      <xdr:row>184</xdr:row>
      <xdr:rowOff>66675</xdr:rowOff>
    </xdr:from>
    <xdr:to>
      <xdr:col>8</xdr:col>
      <xdr:colOff>419100</xdr:colOff>
      <xdr:row>184</xdr:row>
      <xdr:rowOff>66675</xdr:rowOff>
    </xdr:to>
    <xdr:graphicFrame macro="">
      <xdr:nvGraphicFramePr>
        <xdr:cNvPr id="33" name="Graphique 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419100</xdr:colOff>
      <xdr:row>188</xdr:row>
      <xdr:rowOff>66675</xdr:rowOff>
    </xdr:from>
    <xdr:to>
      <xdr:col>8</xdr:col>
      <xdr:colOff>419100</xdr:colOff>
      <xdr:row>188</xdr:row>
      <xdr:rowOff>66675</xdr:rowOff>
    </xdr:to>
    <xdr:graphicFrame macro="">
      <xdr:nvGraphicFramePr>
        <xdr:cNvPr id="35" name="Graphique 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419100</xdr:colOff>
      <xdr:row>194</xdr:row>
      <xdr:rowOff>66675</xdr:rowOff>
    </xdr:from>
    <xdr:to>
      <xdr:col>8</xdr:col>
      <xdr:colOff>419100</xdr:colOff>
      <xdr:row>194</xdr:row>
      <xdr:rowOff>66675</xdr:rowOff>
    </xdr:to>
    <xdr:graphicFrame macro="">
      <xdr:nvGraphicFramePr>
        <xdr:cNvPr id="36" name="Graphiqu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419100</xdr:colOff>
      <xdr:row>198</xdr:row>
      <xdr:rowOff>66675</xdr:rowOff>
    </xdr:from>
    <xdr:to>
      <xdr:col>8</xdr:col>
      <xdr:colOff>419100</xdr:colOff>
      <xdr:row>198</xdr:row>
      <xdr:rowOff>66675</xdr:rowOff>
    </xdr:to>
    <xdr:graphicFrame macro="">
      <xdr:nvGraphicFramePr>
        <xdr:cNvPr id="37" name="Graphique 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419100</xdr:colOff>
      <xdr:row>203</xdr:row>
      <xdr:rowOff>66675</xdr:rowOff>
    </xdr:from>
    <xdr:to>
      <xdr:col>8</xdr:col>
      <xdr:colOff>419100</xdr:colOff>
      <xdr:row>203</xdr:row>
      <xdr:rowOff>66675</xdr:rowOff>
    </xdr:to>
    <xdr:graphicFrame macro="">
      <xdr:nvGraphicFramePr>
        <xdr:cNvPr id="38" name="Graphiqu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419100</xdr:colOff>
      <xdr:row>207</xdr:row>
      <xdr:rowOff>66675</xdr:rowOff>
    </xdr:from>
    <xdr:to>
      <xdr:col>8</xdr:col>
      <xdr:colOff>419100</xdr:colOff>
      <xdr:row>207</xdr:row>
      <xdr:rowOff>66675</xdr:rowOff>
    </xdr:to>
    <xdr:graphicFrame macro="">
      <xdr:nvGraphicFramePr>
        <xdr:cNvPr id="39" name="Graphique 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419100</xdr:colOff>
      <xdr:row>213</xdr:row>
      <xdr:rowOff>66675</xdr:rowOff>
    </xdr:from>
    <xdr:to>
      <xdr:col>8</xdr:col>
      <xdr:colOff>419100</xdr:colOff>
      <xdr:row>213</xdr:row>
      <xdr:rowOff>66675</xdr:rowOff>
    </xdr:to>
    <xdr:graphicFrame macro="">
      <xdr:nvGraphicFramePr>
        <xdr:cNvPr id="40" name="Graphiqu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419100</xdr:colOff>
      <xdr:row>217</xdr:row>
      <xdr:rowOff>66675</xdr:rowOff>
    </xdr:from>
    <xdr:to>
      <xdr:col>8</xdr:col>
      <xdr:colOff>419100</xdr:colOff>
      <xdr:row>217</xdr:row>
      <xdr:rowOff>66675</xdr:rowOff>
    </xdr:to>
    <xdr:graphicFrame macro="">
      <xdr:nvGraphicFramePr>
        <xdr:cNvPr id="41" name="Graphique 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419100</xdr:colOff>
      <xdr:row>223</xdr:row>
      <xdr:rowOff>66675</xdr:rowOff>
    </xdr:from>
    <xdr:to>
      <xdr:col>8</xdr:col>
      <xdr:colOff>419100</xdr:colOff>
      <xdr:row>223</xdr:row>
      <xdr:rowOff>66675</xdr:rowOff>
    </xdr:to>
    <xdr:graphicFrame macro="">
      <xdr:nvGraphicFramePr>
        <xdr:cNvPr id="42" name="Graphiqu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419100</xdr:colOff>
      <xdr:row>227</xdr:row>
      <xdr:rowOff>66675</xdr:rowOff>
    </xdr:from>
    <xdr:to>
      <xdr:col>8</xdr:col>
      <xdr:colOff>419100</xdr:colOff>
      <xdr:row>227</xdr:row>
      <xdr:rowOff>66675</xdr:rowOff>
    </xdr:to>
    <xdr:graphicFrame macro="">
      <xdr:nvGraphicFramePr>
        <xdr:cNvPr id="43" name="Graphique 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419100</xdr:colOff>
      <xdr:row>233</xdr:row>
      <xdr:rowOff>66675</xdr:rowOff>
    </xdr:from>
    <xdr:to>
      <xdr:col>8</xdr:col>
      <xdr:colOff>419100</xdr:colOff>
      <xdr:row>233</xdr:row>
      <xdr:rowOff>66675</xdr:rowOff>
    </xdr:to>
    <xdr:graphicFrame macro="">
      <xdr:nvGraphicFramePr>
        <xdr:cNvPr id="44" name="Graphiqu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419100</xdr:colOff>
      <xdr:row>237</xdr:row>
      <xdr:rowOff>66675</xdr:rowOff>
    </xdr:from>
    <xdr:to>
      <xdr:col>8</xdr:col>
      <xdr:colOff>419100</xdr:colOff>
      <xdr:row>237</xdr:row>
      <xdr:rowOff>66675</xdr:rowOff>
    </xdr:to>
    <xdr:graphicFrame macro="">
      <xdr:nvGraphicFramePr>
        <xdr:cNvPr id="45" name="Graphique 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46" name="Graphique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419100</xdr:colOff>
      <xdr:row>246</xdr:row>
      <xdr:rowOff>66675</xdr:rowOff>
    </xdr:from>
    <xdr:to>
      <xdr:col>8</xdr:col>
      <xdr:colOff>419100</xdr:colOff>
      <xdr:row>246</xdr:row>
      <xdr:rowOff>66675</xdr:rowOff>
    </xdr:to>
    <xdr:graphicFrame macro="">
      <xdr:nvGraphicFramePr>
        <xdr:cNvPr id="47" name="Graphique 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48" name="Graphique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419100</xdr:colOff>
      <xdr:row>256</xdr:row>
      <xdr:rowOff>66675</xdr:rowOff>
    </xdr:from>
    <xdr:to>
      <xdr:col>8</xdr:col>
      <xdr:colOff>419100</xdr:colOff>
      <xdr:row>256</xdr:row>
      <xdr:rowOff>66675</xdr:rowOff>
    </xdr:to>
    <xdr:graphicFrame macro="">
      <xdr:nvGraphicFramePr>
        <xdr:cNvPr id="49" name="Graphique 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419100</xdr:colOff>
      <xdr:row>261</xdr:row>
      <xdr:rowOff>66675</xdr:rowOff>
    </xdr:from>
    <xdr:to>
      <xdr:col>8</xdr:col>
      <xdr:colOff>419100</xdr:colOff>
      <xdr:row>261</xdr:row>
      <xdr:rowOff>66675</xdr:rowOff>
    </xdr:to>
    <xdr:graphicFrame macro="">
      <xdr:nvGraphicFramePr>
        <xdr:cNvPr id="50" name="Graphique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419100</xdr:colOff>
      <xdr:row>265</xdr:row>
      <xdr:rowOff>66675</xdr:rowOff>
    </xdr:from>
    <xdr:to>
      <xdr:col>8</xdr:col>
      <xdr:colOff>419100</xdr:colOff>
      <xdr:row>265</xdr:row>
      <xdr:rowOff>66675</xdr:rowOff>
    </xdr:to>
    <xdr:graphicFrame macro="">
      <xdr:nvGraphicFramePr>
        <xdr:cNvPr id="51" name="Graphique 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419100</xdr:colOff>
      <xdr:row>271</xdr:row>
      <xdr:rowOff>66675</xdr:rowOff>
    </xdr:from>
    <xdr:to>
      <xdr:col>8</xdr:col>
      <xdr:colOff>419100</xdr:colOff>
      <xdr:row>271</xdr:row>
      <xdr:rowOff>66675</xdr:rowOff>
    </xdr:to>
    <xdr:graphicFrame macro="">
      <xdr:nvGraphicFramePr>
        <xdr:cNvPr id="52" name="Graphique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419100</xdr:colOff>
      <xdr:row>275</xdr:row>
      <xdr:rowOff>66675</xdr:rowOff>
    </xdr:from>
    <xdr:to>
      <xdr:col>8</xdr:col>
      <xdr:colOff>419100</xdr:colOff>
      <xdr:row>275</xdr:row>
      <xdr:rowOff>66675</xdr:rowOff>
    </xdr:to>
    <xdr:graphicFrame macro="">
      <xdr:nvGraphicFramePr>
        <xdr:cNvPr id="53" name="Graphique 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419100</xdr:colOff>
      <xdr:row>280</xdr:row>
      <xdr:rowOff>66675</xdr:rowOff>
    </xdr:from>
    <xdr:to>
      <xdr:col>8</xdr:col>
      <xdr:colOff>419100</xdr:colOff>
      <xdr:row>280</xdr:row>
      <xdr:rowOff>66675</xdr:rowOff>
    </xdr:to>
    <xdr:graphicFrame macro="">
      <xdr:nvGraphicFramePr>
        <xdr:cNvPr id="54" name="Graphique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55" name="Graphique 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419100</xdr:colOff>
      <xdr:row>290</xdr:row>
      <xdr:rowOff>66675</xdr:rowOff>
    </xdr:from>
    <xdr:to>
      <xdr:col>8</xdr:col>
      <xdr:colOff>419100</xdr:colOff>
      <xdr:row>290</xdr:row>
      <xdr:rowOff>66675</xdr:rowOff>
    </xdr:to>
    <xdr:graphicFrame macro="">
      <xdr:nvGraphicFramePr>
        <xdr:cNvPr id="56" name="Graphique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419100</xdr:colOff>
      <xdr:row>294</xdr:row>
      <xdr:rowOff>66675</xdr:rowOff>
    </xdr:from>
    <xdr:to>
      <xdr:col>8</xdr:col>
      <xdr:colOff>419100</xdr:colOff>
      <xdr:row>294</xdr:row>
      <xdr:rowOff>66675</xdr:rowOff>
    </xdr:to>
    <xdr:graphicFrame macro="">
      <xdr:nvGraphicFramePr>
        <xdr:cNvPr id="57" name="Graphique 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58" name="Graphiqu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419100</xdr:colOff>
      <xdr:row>304</xdr:row>
      <xdr:rowOff>66675</xdr:rowOff>
    </xdr:from>
    <xdr:to>
      <xdr:col>8</xdr:col>
      <xdr:colOff>419100</xdr:colOff>
      <xdr:row>304</xdr:row>
      <xdr:rowOff>66675</xdr:rowOff>
    </xdr:to>
    <xdr:graphicFrame macro="">
      <xdr:nvGraphicFramePr>
        <xdr:cNvPr id="59" name="Graphique 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419100</xdr:colOff>
      <xdr:row>188</xdr:row>
      <xdr:rowOff>66675</xdr:rowOff>
    </xdr:from>
    <xdr:to>
      <xdr:col>8</xdr:col>
      <xdr:colOff>419100</xdr:colOff>
      <xdr:row>188</xdr:row>
      <xdr:rowOff>66675</xdr:rowOff>
    </xdr:to>
    <xdr:graphicFrame macro="">
      <xdr:nvGraphicFramePr>
        <xdr:cNvPr id="66" name="Graphique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419100</xdr:colOff>
      <xdr:row>192</xdr:row>
      <xdr:rowOff>66675</xdr:rowOff>
    </xdr:from>
    <xdr:to>
      <xdr:col>8</xdr:col>
      <xdr:colOff>419100</xdr:colOff>
      <xdr:row>192</xdr:row>
      <xdr:rowOff>66675</xdr:rowOff>
    </xdr:to>
    <xdr:graphicFrame macro="">
      <xdr:nvGraphicFramePr>
        <xdr:cNvPr id="67" name="Graphique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419100</xdr:colOff>
      <xdr:row>196</xdr:row>
      <xdr:rowOff>66675</xdr:rowOff>
    </xdr:from>
    <xdr:to>
      <xdr:col>8</xdr:col>
      <xdr:colOff>419100</xdr:colOff>
      <xdr:row>196</xdr:row>
      <xdr:rowOff>66675</xdr:rowOff>
    </xdr:to>
    <xdr:graphicFrame macro="">
      <xdr:nvGraphicFramePr>
        <xdr:cNvPr id="68" name="Graphique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419100</xdr:colOff>
      <xdr:row>200</xdr:row>
      <xdr:rowOff>66675</xdr:rowOff>
    </xdr:from>
    <xdr:to>
      <xdr:col>8</xdr:col>
      <xdr:colOff>419100</xdr:colOff>
      <xdr:row>200</xdr:row>
      <xdr:rowOff>66675</xdr:rowOff>
    </xdr:to>
    <xdr:graphicFrame macro="">
      <xdr:nvGraphicFramePr>
        <xdr:cNvPr id="69" name="Graphiqu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419100</xdr:colOff>
      <xdr:row>204</xdr:row>
      <xdr:rowOff>66675</xdr:rowOff>
    </xdr:from>
    <xdr:to>
      <xdr:col>8</xdr:col>
      <xdr:colOff>419100</xdr:colOff>
      <xdr:row>204</xdr:row>
      <xdr:rowOff>66675</xdr:rowOff>
    </xdr:to>
    <xdr:graphicFrame macro="">
      <xdr:nvGraphicFramePr>
        <xdr:cNvPr id="70" name="Graphique 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419100</xdr:colOff>
      <xdr:row>210</xdr:row>
      <xdr:rowOff>66675</xdr:rowOff>
    </xdr:from>
    <xdr:to>
      <xdr:col>8</xdr:col>
      <xdr:colOff>419100</xdr:colOff>
      <xdr:row>210</xdr:row>
      <xdr:rowOff>66675</xdr:rowOff>
    </xdr:to>
    <xdr:graphicFrame macro="">
      <xdr:nvGraphicFramePr>
        <xdr:cNvPr id="71" name="Graphique 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419100</xdr:colOff>
      <xdr:row>204</xdr:row>
      <xdr:rowOff>66675</xdr:rowOff>
    </xdr:from>
    <xdr:to>
      <xdr:col>8</xdr:col>
      <xdr:colOff>419100</xdr:colOff>
      <xdr:row>204</xdr:row>
      <xdr:rowOff>66675</xdr:rowOff>
    </xdr:to>
    <xdr:graphicFrame macro="">
      <xdr:nvGraphicFramePr>
        <xdr:cNvPr id="72" name="Graphique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8</xdr:col>
      <xdr:colOff>419100</xdr:colOff>
      <xdr:row>208</xdr:row>
      <xdr:rowOff>66675</xdr:rowOff>
    </xdr:from>
    <xdr:to>
      <xdr:col>8</xdr:col>
      <xdr:colOff>419100</xdr:colOff>
      <xdr:row>208</xdr:row>
      <xdr:rowOff>66675</xdr:rowOff>
    </xdr:to>
    <xdr:graphicFrame macro="">
      <xdr:nvGraphicFramePr>
        <xdr:cNvPr id="73" name="Graphique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419100</xdr:colOff>
      <xdr:row>212</xdr:row>
      <xdr:rowOff>66675</xdr:rowOff>
    </xdr:from>
    <xdr:to>
      <xdr:col>8</xdr:col>
      <xdr:colOff>419100</xdr:colOff>
      <xdr:row>212</xdr:row>
      <xdr:rowOff>66675</xdr:rowOff>
    </xdr:to>
    <xdr:graphicFrame macro="">
      <xdr:nvGraphicFramePr>
        <xdr:cNvPr id="74" name="Graphique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419100</xdr:colOff>
      <xdr:row>216</xdr:row>
      <xdr:rowOff>66675</xdr:rowOff>
    </xdr:from>
    <xdr:to>
      <xdr:col>8</xdr:col>
      <xdr:colOff>419100</xdr:colOff>
      <xdr:row>216</xdr:row>
      <xdr:rowOff>66675</xdr:rowOff>
    </xdr:to>
    <xdr:graphicFrame macro="">
      <xdr:nvGraphicFramePr>
        <xdr:cNvPr id="75" name="Graphique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419100</xdr:colOff>
      <xdr:row>220</xdr:row>
      <xdr:rowOff>66675</xdr:rowOff>
    </xdr:from>
    <xdr:to>
      <xdr:col>8</xdr:col>
      <xdr:colOff>419100</xdr:colOff>
      <xdr:row>220</xdr:row>
      <xdr:rowOff>66675</xdr:rowOff>
    </xdr:to>
    <xdr:graphicFrame macro="">
      <xdr:nvGraphicFramePr>
        <xdr:cNvPr id="76" name="Graphique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419100</xdr:colOff>
      <xdr:row>226</xdr:row>
      <xdr:rowOff>66675</xdr:rowOff>
    </xdr:from>
    <xdr:to>
      <xdr:col>8</xdr:col>
      <xdr:colOff>419100</xdr:colOff>
      <xdr:row>226</xdr:row>
      <xdr:rowOff>66675</xdr:rowOff>
    </xdr:to>
    <xdr:graphicFrame macro="">
      <xdr:nvGraphicFramePr>
        <xdr:cNvPr id="77" name="Graphique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419100</xdr:colOff>
      <xdr:row>220</xdr:row>
      <xdr:rowOff>66675</xdr:rowOff>
    </xdr:from>
    <xdr:to>
      <xdr:col>8</xdr:col>
      <xdr:colOff>419100</xdr:colOff>
      <xdr:row>220</xdr:row>
      <xdr:rowOff>66675</xdr:rowOff>
    </xdr:to>
    <xdr:graphicFrame macro="">
      <xdr:nvGraphicFramePr>
        <xdr:cNvPr id="78" name="Graphique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419100</xdr:colOff>
      <xdr:row>224</xdr:row>
      <xdr:rowOff>66675</xdr:rowOff>
    </xdr:from>
    <xdr:to>
      <xdr:col>8</xdr:col>
      <xdr:colOff>419100</xdr:colOff>
      <xdr:row>224</xdr:row>
      <xdr:rowOff>66675</xdr:rowOff>
    </xdr:to>
    <xdr:graphicFrame macro="">
      <xdr:nvGraphicFramePr>
        <xdr:cNvPr id="79" name="Graphique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419100</xdr:colOff>
      <xdr:row>228</xdr:row>
      <xdr:rowOff>66675</xdr:rowOff>
    </xdr:from>
    <xdr:to>
      <xdr:col>8</xdr:col>
      <xdr:colOff>419100</xdr:colOff>
      <xdr:row>228</xdr:row>
      <xdr:rowOff>66675</xdr:rowOff>
    </xdr:to>
    <xdr:graphicFrame macro="">
      <xdr:nvGraphicFramePr>
        <xdr:cNvPr id="80" name="Graphique 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419100</xdr:colOff>
      <xdr:row>232</xdr:row>
      <xdr:rowOff>66675</xdr:rowOff>
    </xdr:from>
    <xdr:to>
      <xdr:col>8</xdr:col>
      <xdr:colOff>419100</xdr:colOff>
      <xdr:row>232</xdr:row>
      <xdr:rowOff>66675</xdr:rowOff>
    </xdr:to>
    <xdr:graphicFrame macro="">
      <xdr:nvGraphicFramePr>
        <xdr:cNvPr id="81" name="Graphique 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419100</xdr:colOff>
      <xdr:row>236</xdr:row>
      <xdr:rowOff>66675</xdr:rowOff>
    </xdr:from>
    <xdr:to>
      <xdr:col>8</xdr:col>
      <xdr:colOff>419100</xdr:colOff>
      <xdr:row>236</xdr:row>
      <xdr:rowOff>66675</xdr:rowOff>
    </xdr:to>
    <xdr:graphicFrame macro="">
      <xdr:nvGraphicFramePr>
        <xdr:cNvPr id="82" name="Graphique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83" name="Graphiqu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</xdr:col>
      <xdr:colOff>419100</xdr:colOff>
      <xdr:row>236</xdr:row>
      <xdr:rowOff>66675</xdr:rowOff>
    </xdr:from>
    <xdr:to>
      <xdr:col>8</xdr:col>
      <xdr:colOff>419100</xdr:colOff>
      <xdr:row>236</xdr:row>
      <xdr:rowOff>66675</xdr:rowOff>
    </xdr:to>
    <xdr:graphicFrame macro="">
      <xdr:nvGraphicFramePr>
        <xdr:cNvPr id="84" name="Graphiqu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</xdr:col>
      <xdr:colOff>419100</xdr:colOff>
      <xdr:row>240</xdr:row>
      <xdr:rowOff>66675</xdr:rowOff>
    </xdr:from>
    <xdr:to>
      <xdr:col>8</xdr:col>
      <xdr:colOff>419100</xdr:colOff>
      <xdr:row>240</xdr:row>
      <xdr:rowOff>66675</xdr:rowOff>
    </xdr:to>
    <xdr:graphicFrame macro="">
      <xdr:nvGraphicFramePr>
        <xdr:cNvPr id="85" name="Graphiqu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8</xdr:col>
      <xdr:colOff>419100</xdr:colOff>
      <xdr:row>244</xdr:row>
      <xdr:rowOff>66675</xdr:rowOff>
    </xdr:from>
    <xdr:to>
      <xdr:col>8</xdr:col>
      <xdr:colOff>419100</xdr:colOff>
      <xdr:row>244</xdr:row>
      <xdr:rowOff>66675</xdr:rowOff>
    </xdr:to>
    <xdr:graphicFrame macro="">
      <xdr:nvGraphicFramePr>
        <xdr:cNvPr id="86" name="Graphique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8</xdr:col>
      <xdr:colOff>419100</xdr:colOff>
      <xdr:row>248</xdr:row>
      <xdr:rowOff>66675</xdr:rowOff>
    </xdr:from>
    <xdr:to>
      <xdr:col>8</xdr:col>
      <xdr:colOff>419100</xdr:colOff>
      <xdr:row>248</xdr:row>
      <xdr:rowOff>66675</xdr:rowOff>
    </xdr:to>
    <xdr:graphicFrame macro="">
      <xdr:nvGraphicFramePr>
        <xdr:cNvPr id="87" name="Graphiqu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88" name="Graphique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419100</xdr:colOff>
      <xdr:row>258</xdr:row>
      <xdr:rowOff>66675</xdr:rowOff>
    </xdr:from>
    <xdr:to>
      <xdr:col>8</xdr:col>
      <xdr:colOff>419100</xdr:colOff>
      <xdr:row>258</xdr:row>
      <xdr:rowOff>66675</xdr:rowOff>
    </xdr:to>
    <xdr:graphicFrame macro="">
      <xdr:nvGraphicFramePr>
        <xdr:cNvPr id="89" name="Graphiqu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90" name="Graphique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419100</xdr:colOff>
      <xdr:row>256</xdr:row>
      <xdr:rowOff>66675</xdr:rowOff>
    </xdr:from>
    <xdr:to>
      <xdr:col>8</xdr:col>
      <xdr:colOff>419100</xdr:colOff>
      <xdr:row>256</xdr:row>
      <xdr:rowOff>66675</xdr:rowOff>
    </xdr:to>
    <xdr:graphicFrame macro="">
      <xdr:nvGraphicFramePr>
        <xdr:cNvPr id="91" name="Graphique 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419100</xdr:colOff>
      <xdr:row>260</xdr:row>
      <xdr:rowOff>66675</xdr:rowOff>
    </xdr:from>
    <xdr:to>
      <xdr:col>8</xdr:col>
      <xdr:colOff>419100</xdr:colOff>
      <xdr:row>260</xdr:row>
      <xdr:rowOff>66675</xdr:rowOff>
    </xdr:to>
    <xdr:graphicFrame macro="">
      <xdr:nvGraphicFramePr>
        <xdr:cNvPr id="92" name="Graphique 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419100</xdr:colOff>
      <xdr:row>264</xdr:row>
      <xdr:rowOff>66675</xdr:rowOff>
    </xdr:from>
    <xdr:to>
      <xdr:col>8</xdr:col>
      <xdr:colOff>419100</xdr:colOff>
      <xdr:row>264</xdr:row>
      <xdr:rowOff>66675</xdr:rowOff>
    </xdr:to>
    <xdr:graphicFrame macro="">
      <xdr:nvGraphicFramePr>
        <xdr:cNvPr id="93" name="Graphiqu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</xdr:col>
      <xdr:colOff>419100</xdr:colOff>
      <xdr:row>268</xdr:row>
      <xdr:rowOff>66675</xdr:rowOff>
    </xdr:from>
    <xdr:to>
      <xdr:col>8</xdr:col>
      <xdr:colOff>419100</xdr:colOff>
      <xdr:row>268</xdr:row>
      <xdr:rowOff>66675</xdr:rowOff>
    </xdr:to>
    <xdr:graphicFrame macro="">
      <xdr:nvGraphicFramePr>
        <xdr:cNvPr id="94" name="Graphique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</xdr:col>
      <xdr:colOff>419100</xdr:colOff>
      <xdr:row>274</xdr:row>
      <xdr:rowOff>66675</xdr:rowOff>
    </xdr:from>
    <xdr:to>
      <xdr:col>8</xdr:col>
      <xdr:colOff>419100</xdr:colOff>
      <xdr:row>274</xdr:row>
      <xdr:rowOff>66675</xdr:rowOff>
    </xdr:to>
    <xdr:graphicFrame macro="">
      <xdr:nvGraphicFramePr>
        <xdr:cNvPr id="95" name="Graphiqu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8</xdr:col>
      <xdr:colOff>419100</xdr:colOff>
      <xdr:row>268</xdr:row>
      <xdr:rowOff>66675</xdr:rowOff>
    </xdr:from>
    <xdr:to>
      <xdr:col>8</xdr:col>
      <xdr:colOff>419100</xdr:colOff>
      <xdr:row>268</xdr:row>
      <xdr:rowOff>66675</xdr:rowOff>
    </xdr:to>
    <xdr:graphicFrame macro="">
      <xdr:nvGraphicFramePr>
        <xdr:cNvPr id="96" name="Graphique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8</xdr:col>
      <xdr:colOff>419100</xdr:colOff>
      <xdr:row>272</xdr:row>
      <xdr:rowOff>66675</xdr:rowOff>
    </xdr:from>
    <xdr:to>
      <xdr:col>8</xdr:col>
      <xdr:colOff>419100</xdr:colOff>
      <xdr:row>272</xdr:row>
      <xdr:rowOff>66675</xdr:rowOff>
    </xdr:to>
    <xdr:graphicFrame macro="">
      <xdr:nvGraphicFramePr>
        <xdr:cNvPr id="97" name="Graphiqu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8</xdr:col>
      <xdr:colOff>419100</xdr:colOff>
      <xdr:row>276</xdr:row>
      <xdr:rowOff>66675</xdr:rowOff>
    </xdr:from>
    <xdr:to>
      <xdr:col>8</xdr:col>
      <xdr:colOff>419100</xdr:colOff>
      <xdr:row>276</xdr:row>
      <xdr:rowOff>66675</xdr:rowOff>
    </xdr:to>
    <xdr:graphicFrame macro="">
      <xdr:nvGraphicFramePr>
        <xdr:cNvPr id="98" name="Graphique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8</xdr:col>
      <xdr:colOff>419100</xdr:colOff>
      <xdr:row>280</xdr:row>
      <xdr:rowOff>66675</xdr:rowOff>
    </xdr:from>
    <xdr:to>
      <xdr:col>8</xdr:col>
      <xdr:colOff>419100</xdr:colOff>
      <xdr:row>280</xdr:row>
      <xdr:rowOff>66675</xdr:rowOff>
    </xdr:to>
    <xdr:graphicFrame macro="">
      <xdr:nvGraphicFramePr>
        <xdr:cNvPr id="99" name="Graphiqu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100" name="Graphique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8</xdr:col>
      <xdr:colOff>419100</xdr:colOff>
      <xdr:row>290</xdr:row>
      <xdr:rowOff>66675</xdr:rowOff>
    </xdr:from>
    <xdr:to>
      <xdr:col>8</xdr:col>
      <xdr:colOff>419100</xdr:colOff>
      <xdr:row>290</xdr:row>
      <xdr:rowOff>66675</xdr:rowOff>
    </xdr:to>
    <xdr:graphicFrame macro="">
      <xdr:nvGraphicFramePr>
        <xdr:cNvPr id="101" name="Graphiqu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102" name="Graphique 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8</xdr:col>
      <xdr:colOff>419100</xdr:colOff>
      <xdr:row>288</xdr:row>
      <xdr:rowOff>66675</xdr:rowOff>
    </xdr:from>
    <xdr:to>
      <xdr:col>8</xdr:col>
      <xdr:colOff>419100</xdr:colOff>
      <xdr:row>288</xdr:row>
      <xdr:rowOff>66675</xdr:rowOff>
    </xdr:to>
    <xdr:graphicFrame macro="">
      <xdr:nvGraphicFramePr>
        <xdr:cNvPr id="103" name="Graphique 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8</xdr:col>
      <xdr:colOff>419100</xdr:colOff>
      <xdr:row>292</xdr:row>
      <xdr:rowOff>66675</xdr:rowOff>
    </xdr:from>
    <xdr:to>
      <xdr:col>8</xdr:col>
      <xdr:colOff>419100</xdr:colOff>
      <xdr:row>292</xdr:row>
      <xdr:rowOff>66675</xdr:rowOff>
    </xdr:to>
    <xdr:graphicFrame macro="">
      <xdr:nvGraphicFramePr>
        <xdr:cNvPr id="104" name="Graphique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8</xdr:col>
      <xdr:colOff>419100</xdr:colOff>
      <xdr:row>296</xdr:row>
      <xdr:rowOff>66675</xdr:rowOff>
    </xdr:from>
    <xdr:to>
      <xdr:col>8</xdr:col>
      <xdr:colOff>419100</xdr:colOff>
      <xdr:row>296</xdr:row>
      <xdr:rowOff>66675</xdr:rowOff>
    </xdr:to>
    <xdr:graphicFrame macro="">
      <xdr:nvGraphicFramePr>
        <xdr:cNvPr id="105" name="Graphiqu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106" name="Graphique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8</xdr:col>
      <xdr:colOff>419100</xdr:colOff>
      <xdr:row>306</xdr:row>
      <xdr:rowOff>66675</xdr:rowOff>
    </xdr:from>
    <xdr:to>
      <xdr:col>8</xdr:col>
      <xdr:colOff>419100</xdr:colOff>
      <xdr:row>306</xdr:row>
      <xdr:rowOff>66675</xdr:rowOff>
    </xdr:to>
    <xdr:graphicFrame macro="">
      <xdr:nvGraphicFramePr>
        <xdr:cNvPr id="107" name="Graphiqu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108" name="Graphique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8</xdr:col>
      <xdr:colOff>419100</xdr:colOff>
      <xdr:row>304</xdr:row>
      <xdr:rowOff>66675</xdr:rowOff>
    </xdr:from>
    <xdr:to>
      <xdr:col>8</xdr:col>
      <xdr:colOff>419100</xdr:colOff>
      <xdr:row>304</xdr:row>
      <xdr:rowOff>66675</xdr:rowOff>
    </xdr:to>
    <xdr:graphicFrame macro="">
      <xdr:nvGraphicFramePr>
        <xdr:cNvPr id="109" name="Graphiqu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8</xdr:col>
      <xdr:colOff>419100</xdr:colOff>
      <xdr:row>308</xdr:row>
      <xdr:rowOff>66675</xdr:rowOff>
    </xdr:from>
    <xdr:to>
      <xdr:col>8</xdr:col>
      <xdr:colOff>419100</xdr:colOff>
      <xdr:row>308</xdr:row>
      <xdr:rowOff>66675</xdr:rowOff>
    </xdr:to>
    <xdr:graphicFrame macro="">
      <xdr:nvGraphicFramePr>
        <xdr:cNvPr id="110" name="Graphique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</xdr:col>
      <xdr:colOff>103908</xdr:colOff>
      <xdr:row>82</xdr:row>
      <xdr:rowOff>126421</xdr:rowOff>
    </xdr:from>
    <xdr:to>
      <xdr:col>20</xdr:col>
      <xdr:colOff>242454</xdr:colOff>
      <xdr:row>120</xdr:row>
      <xdr:rowOff>34635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</xdr:col>
      <xdr:colOff>639537</xdr:colOff>
      <xdr:row>118</xdr:row>
      <xdr:rowOff>122463</xdr:rowOff>
    </xdr:from>
    <xdr:to>
      <xdr:col>16</xdr:col>
      <xdr:colOff>122465</xdr:colOff>
      <xdr:row>147</xdr:row>
      <xdr:rowOff>122464</xdr:rowOff>
    </xdr:to>
    <xdr:graphicFrame macro="">
      <xdr:nvGraphicFramePr>
        <xdr:cNvPr id="112" name="Graphique 3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2</xdr:col>
      <xdr:colOff>595312</xdr:colOff>
      <xdr:row>149</xdr:row>
      <xdr:rowOff>64724</xdr:rowOff>
    </xdr:from>
    <xdr:to>
      <xdr:col>16</xdr:col>
      <xdr:colOff>381000</xdr:colOff>
      <xdr:row>174</xdr:row>
      <xdr:rowOff>43295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15</xdr:col>
      <xdr:colOff>979714</xdr:colOff>
      <xdr:row>68</xdr:row>
      <xdr:rowOff>69373</xdr:rowOff>
    </xdr:from>
    <xdr:to>
      <xdr:col>25</xdr:col>
      <xdr:colOff>139564</xdr:colOff>
      <xdr:row>97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9</xdr:col>
      <xdr:colOff>449035</xdr:colOff>
      <xdr:row>2</xdr:row>
      <xdr:rowOff>95250</xdr:rowOff>
    </xdr:from>
    <xdr:to>
      <xdr:col>19</xdr:col>
      <xdr:colOff>585108</xdr:colOff>
      <xdr:row>5</xdr:row>
      <xdr:rowOff>136072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123714" y="530679"/>
          <a:ext cx="7456715" cy="530679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 i="1">
              <a:solidFill>
                <a:sysClr val="windowText" lastClr="000000"/>
              </a:solidFill>
            </a:rPr>
            <a:t>Les cellules en bleu magenta sont à renseigner par l'utilisateur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22</xdr:row>
      <xdr:rowOff>66675</xdr:rowOff>
    </xdr:from>
    <xdr:to>
      <xdr:col>8</xdr:col>
      <xdr:colOff>419100</xdr:colOff>
      <xdr:row>22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202E81-8A29-4A85-AD3B-BBF06E515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23</xdr:row>
      <xdr:rowOff>85725</xdr:rowOff>
    </xdr:from>
    <xdr:to>
      <xdr:col>12</xdr:col>
      <xdr:colOff>419100</xdr:colOff>
      <xdr:row>23</xdr:row>
      <xdr:rowOff>85725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F082F2-86AD-4950-988A-CA6AD6815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571500</xdr:colOff>
      <xdr:row>30</xdr:row>
      <xdr:rowOff>63542</xdr:rowOff>
    </xdr:from>
    <xdr:to>
      <xdr:col>20</xdr:col>
      <xdr:colOff>225136</xdr:colOff>
      <xdr:row>52</xdr:row>
      <xdr:rowOff>86591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6B126F7-919F-44B5-ADDB-09FFA48FF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0</xdr:colOff>
      <xdr:row>18</xdr:row>
      <xdr:rowOff>38100</xdr:rowOff>
    </xdr:to>
    <xdr:graphicFrame macro="">
      <xdr:nvGraphicFramePr>
        <xdr:cNvPr id="5" name="Graphique 9" hidden="1">
          <a:extLst>
            <a:ext uri="{FF2B5EF4-FFF2-40B4-BE49-F238E27FC236}">
              <a16:creationId xmlns:a16="http://schemas.microsoft.com/office/drawing/2014/main" id="{A2514A89-06B8-4970-9DE5-B61AFC5FF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34</xdr:col>
      <xdr:colOff>0</xdr:colOff>
      <xdr:row>18</xdr:row>
      <xdr:rowOff>38100</xdr:rowOff>
    </xdr:to>
    <xdr:graphicFrame macro="">
      <xdr:nvGraphicFramePr>
        <xdr:cNvPr id="6" name="Graphique 10" hidden="1">
          <a:extLst>
            <a:ext uri="{FF2B5EF4-FFF2-40B4-BE49-F238E27FC236}">
              <a16:creationId xmlns:a16="http://schemas.microsoft.com/office/drawing/2014/main" id="{0E94B688-3E8D-4D60-AB38-19D071318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40</xdr:col>
      <xdr:colOff>0</xdr:colOff>
      <xdr:row>18</xdr:row>
      <xdr:rowOff>38100</xdr:rowOff>
    </xdr:to>
    <xdr:graphicFrame macro="">
      <xdr:nvGraphicFramePr>
        <xdr:cNvPr id="7" name="Graphique 11" hidden="1">
          <a:extLst>
            <a:ext uri="{FF2B5EF4-FFF2-40B4-BE49-F238E27FC236}">
              <a16:creationId xmlns:a16="http://schemas.microsoft.com/office/drawing/2014/main" id="{31B086D2-B036-45BF-95EA-94D5B255F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0</xdr:colOff>
      <xdr:row>18</xdr:row>
      <xdr:rowOff>38100</xdr:rowOff>
    </xdr:to>
    <xdr:graphicFrame macro="">
      <xdr:nvGraphicFramePr>
        <xdr:cNvPr id="8" name="Graphique 12" hidden="1">
          <a:extLst>
            <a:ext uri="{FF2B5EF4-FFF2-40B4-BE49-F238E27FC236}">
              <a16:creationId xmlns:a16="http://schemas.microsoft.com/office/drawing/2014/main" id="{BBD82383-CCE6-463D-B638-2B6AFA45F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52</xdr:col>
      <xdr:colOff>0</xdr:colOff>
      <xdr:row>18</xdr:row>
      <xdr:rowOff>38100</xdr:rowOff>
    </xdr:to>
    <xdr:graphicFrame macro="">
      <xdr:nvGraphicFramePr>
        <xdr:cNvPr id="9" name="Graphique 13" hidden="1">
          <a:extLst>
            <a:ext uri="{FF2B5EF4-FFF2-40B4-BE49-F238E27FC236}">
              <a16:creationId xmlns:a16="http://schemas.microsoft.com/office/drawing/2014/main" id="{977296BC-CAE3-4830-8480-F064C7552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58</xdr:col>
      <xdr:colOff>0</xdr:colOff>
      <xdr:row>18</xdr:row>
      <xdr:rowOff>38100</xdr:rowOff>
    </xdr:to>
    <xdr:graphicFrame macro="">
      <xdr:nvGraphicFramePr>
        <xdr:cNvPr id="10" name="Graphique 14" hidden="1">
          <a:extLst>
            <a:ext uri="{FF2B5EF4-FFF2-40B4-BE49-F238E27FC236}">
              <a16:creationId xmlns:a16="http://schemas.microsoft.com/office/drawing/2014/main" id="{7C6B3EC9-6EF0-4972-BDB9-653EF91F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18</xdr:row>
      <xdr:rowOff>38100</xdr:rowOff>
    </xdr:from>
    <xdr:to>
      <xdr:col>34</xdr:col>
      <xdr:colOff>0</xdr:colOff>
      <xdr:row>38</xdr:row>
      <xdr:rowOff>0</xdr:rowOff>
    </xdr:to>
    <xdr:graphicFrame macro="">
      <xdr:nvGraphicFramePr>
        <xdr:cNvPr id="11" name="Graphique 15" hidden="1">
          <a:extLst>
            <a:ext uri="{FF2B5EF4-FFF2-40B4-BE49-F238E27FC236}">
              <a16:creationId xmlns:a16="http://schemas.microsoft.com/office/drawing/2014/main" id="{5C022DEC-444B-48E2-8286-6DB882262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18</xdr:row>
      <xdr:rowOff>38100</xdr:rowOff>
    </xdr:from>
    <xdr:to>
      <xdr:col>40</xdr:col>
      <xdr:colOff>0</xdr:colOff>
      <xdr:row>38</xdr:row>
      <xdr:rowOff>0</xdr:rowOff>
    </xdr:to>
    <xdr:graphicFrame macro="">
      <xdr:nvGraphicFramePr>
        <xdr:cNvPr id="12" name="Graphique 16" hidden="1">
          <a:extLst>
            <a:ext uri="{FF2B5EF4-FFF2-40B4-BE49-F238E27FC236}">
              <a16:creationId xmlns:a16="http://schemas.microsoft.com/office/drawing/2014/main" id="{0D6E622B-9972-478E-8F58-D6BCC8C09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0</xdr:colOff>
      <xdr:row>18</xdr:row>
      <xdr:rowOff>38100</xdr:rowOff>
    </xdr:from>
    <xdr:to>
      <xdr:col>46</xdr:col>
      <xdr:colOff>0</xdr:colOff>
      <xdr:row>38</xdr:row>
      <xdr:rowOff>0</xdr:rowOff>
    </xdr:to>
    <xdr:graphicFrame macro="">
      <xdr:nvGraphicFramePr>
        <xdr:cNvPr id="13" name="Graphique 17" hidden="1">
          <a:extLst>
            <a:ext uri="{FF2B5EF4-FFF2-40B4-BE49-F238E27FC236}">
              <a16:creationId xmlns:a16="http://schemas.microsoft.com/office/drawing/2014/main" id="{79DF7237-0B50-47AB-A6D9-D049C3A97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0</xdr:colOff>
      <xdr:row>18</xdr:row>
      <xdr:rowOff>38100</xdr:rowOff>
    </xdr:from>
    <xdr:to>
      <xdr:col>52</xdr:col>
      <xdr:colOff>0</xdr:colOff>
      <xdr:row>38</xdr:row>
      <xdr:rowOff>0</xdr:rowOff>
    </xdr:to>
    <xdr:graphicFrame macro="">
      <xdr:nvGraphicFramePr>
        <xdr:cNvPr id="14" name="Graphique 18" hidden="1">
          <a:extLst>
            <a:ext uri="{FF2B5EF4-FFF2-40B4-BE49-F238E27FC236}">
              <a16:creationId xmlns:a16="http://schemas.microsoft.com/office/drawing/2014/main" id="{F279D2CC-882C-48AA-95DD-88A77270B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0</xdr:colOff>
      <xdr:row>18</xdr:row>
      <xdr:rowOff>38100</xdr:rowOff>
    </xdr:from>
    <xdr:to>
      <xdr:col>58</xdr:col>
      <xdr:colOff>0</xdr:colOff>
      <xdr:row>38</xdr:row>
      <xdr:rowOff>0</xdr:rowOff>
    </xdr:to>
    <xdr:graphicFrame macro="">
      <xdr:nvGraphicFramePr>
        <xdr:cNvPr id="15" name="Graphique 19" hidden="1">
          <a:extLst>
            <a:ext uri="{FF2B5EF4-FFF2-40B4-BE49-F238E27FC236}">
              <a16:creationId xmlns:a16="http://schemas.microsoft.com/office/drawing/2014/main" id="{1EB1960D-5517-42A9-A370-2539CB5AD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0</xdr:colOff>
      <xdr:row>38</xdr:row>
      <xdr:rowOff>0</xdr:rowOff>
    </xdr:from>
    <xdr:to>
      <xdr:col>40</xdr:col>
      <xdr:colOff>0</xdr:colOff>
      <xdr:row>57</xdr:row>
      <xdr:rowOff>95250</xdr:rowOff>
    </xdr:to>
    <xdr:graphicFrame macro="">
      <xdr:nvGraphicFramePr>
        <xdr:cNvPr id="16" name="Graphique 20" hidden="1">
          <a:extLst>
            <a:ext uri="{FF2B5EF4-FFF2-40B4-BE49-F238E27FC236}">
              <a16:creationId xmlns:a16="http://schemas.microsoft.com/office/drawing/2014/main" id="{9A01AC7E-E99F-4CCB-9939-361721872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38</xdr:row>
      <xdr:rowOff>0</xdr:rowOff>
    </xdr:from>
    <xdr:to>
      <xdr:col>46</xdr:col>
      <xdr:colOff>0</xdr:colOff>
      <xdr:row>57</xdr:row>
      <xdr:rowOff>95250</xdr:rowOff>
    </xdr:to>
    <xdr:graphicFrame macro="">
      <xdr:nvGraphicFramePr>
        <xdr:cNvPr id="17" name="Graphique 21" hidden="1">
          <a:extLst>
            <a:ext uri="{FF2B5EF4-FFF2-40B4-BE49-F238E27FC236}">
              <a16:creationId xmlns:a16="http://schemas.microsoft.com/office/drawing/2014/main" id="{FEA07E02-F10E-4392-9AC0-A836FFEAC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0</xdr:colOff>
      <xdr:row>38</xdr:row>
      <xdr:rowOff>0</xdr:rowOff>
    </xdr:from>
    <xdr:to>
      <xdr:col>52</xdr:col>
      <xdr:colOff>0</xdr:colOff>
      <xdr:row>57</xdr:row>
      <xdr:rowOff>95250</xdr:rowOff>
    </xdr:to>
    <xdr:graphicFrame macro="">
      <xdr:nvGraphicFramePr>
        <xdr:cNvPr id="18" name="Graphique 22" hidden="1">
          <a:extLst>
            <a:ext uri="{FF2B5EF4-FFF2-40B4-BE49-F238E27FC236}">
              <a16:creationId xmlns:a16="http://schemas.microsoft.com/office/drawing/2014/main" id="{58656039-5BCF-4B1B-B8F6-30844A1E4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52</xdr:col>
      <xdr:colOff>0</xdr:colOff>
      <xdr:row>38</xdr:row>
      <xdr:rowOff>0</xdr:rowOff>
    </xdr:from>
    <xdr:to>
      <xdr:col>58</xdr:col>
      <xdr:colOff>0</xdr:colOff>
      <xdr:row>57</xdr:row>
      <xdr:rowOff>95250</xdr:rowOff>
    </xdr:to>
    <xdr:graphicFrame macro="">
      <xdr:nvGraphicFramePr>
        <xdr:cNvPr id="19" name="Graphique 23" hidden="1">
          <a:extLst>
            <a:ext uri="{FF2B5EF4-FFF2-40B4-BE49-F238E27FC236}">
              <a16:creationId xmlns:a16="http://schemas.microsoft.com/office/drawing/2014/main" id="{00B3ED84-4D91-42EC-BEDE-B0510BED9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0</xdr:colOff>
      <xdr:row>57</xdr:row>
      <xdr:rowOff>95250</xdr:rowOff>
    </xdr:from>
    <xdr:to>
      <xdr:col>46</xdr:col>
      <xdr:colOff>0</xdr:colOff>
      <xdr:row>77</xdr:row>
      <xdr:rowOff>133350</xdr:rowOff>
    </xdr:to>
    <xdr:graphicFrame macro="">
      <xdr:nvGraphicFramePr>
        <xdr:cNvPr id="20" name="Graphique 24" hidden="1">
          <a:extLst>
            <a:ext uri="{FF2B5EF4-FFF2-40B4-BE49-F238E27FC236}">
              <a16:creationId xmlns:a16="http://schemas.microsoft.com/office/drawing/2014/main" id="{5709630A-A3B4-4B17-8086-EE231C9C8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0</xdr:colOff>
      <xdr:row>57</xdr:row>
      <xdr:rowOff>95250</xdr:rowOff>
    </xdr:from>
    <xdr:to>
      <xdr:col>52</xdr:col>
      <xdr:colOff>0</xdr:colOff>
      <xdr:row>77</xdr:row>
      <xdr:rowOff>133350</xdr:rowOff>
    </xdr:to>
    <xdr:graphicFrame macro="">
      <xdr:nvGraphicFramePr>
        <xdr:cNvPr id="21" name="Graphique 25" hidden="1">
          <a:extLst>
            <a:ext uri="{FF2B5EF4-FFF2-40B4-BE49-F238E27FC236}">
              <a16:creationId xmlns:a16="http://schemas.microsoft.com/office/drawing/2014/main" id="{46E1888D-81B7-4A60-B269-425762E5B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52</xdr:col>
      <xdr:colOff>0</xdr:colOff>
      <xdr:row>57</xdr:row>
      <xdr:rowOff>95250</xdr:rowOff>
    </xdr:from>
    <xdr:to>
      <xdr:col>58</xdr:col>
      <xdr:colOff>0</xdr:colOff>
      <xdr:row>77</xdr:row>
      <xdr:rowOff>133350</xdr:rowOff>
    </xdr:to>
    <xdr:graphicFrame macro="">
      <xdr:nvGraphicFramePr>
        <xdr:cNvPr id="22" name="Graphique 26" hidden="1">
          <a:extLst>
            <a:ext uri="{FF2B5EF4-FFF2-40B4-BE49-F238E27FC236}">
              <a16:creationId xmlns:a16="http://schemas.microsoft.com/office/drawing/2014/main" id="{DAB226B6-983A-4115-8D35-7D166AEEE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0</xdr:colOff>
      <xdr:row>77</xdr:row>
      <xdr:rowOff>133350</xdr:rowOff>
    </xdr:from>
    <xdr:to>
      <xdr:col>52</xdr:col>
      <xdr:colOff>0</xdr:colOff>
      <xdr:row>97</xdr:row>
      <xdr:rowOff>133350</xdr:rowOff>
    </xdr:to>
    <xdr:graphicFrame macro="">
      <xdr:nvGraphicFramePr>
        <xdr:cNvPr id="23" name="Graphique 27" hidden="1">
          <a:extLst>
            <a:ext uri="{FF2B5EF4-FFF2-40B4-BE49-F238E27FC236}">
              <a16:creationId xmlns:a16="http://schemas.microsoft.com/office/drawing/2014/main" id="{014E5ADD-0C73-4AE5-8757-A8A8590E5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52</xdr:col>
      <xdr:colOff>0</xdr:colOff>
      <xdr:row>77</xdr:row>
      <xdr:rowOff>133350</xdr:rowOff>
    </xdr:from>
    <xdr:to>
      <xdr:col>58</xdr:col>
      <xdr:colOff>0</xdr:colOff>
      <xdr:row>97</xdr:row>
      <xdr:rowOff>133350</xdr:rowOff>
    </xdr:to>
    <xdr:graphicFrame macro="">
      <xdr:nvGraphicFramePr>
        <xdr:cNvPr id="24" name="Graphique 28" hidden="1">
          <a:extLst>
            <a:ext uri="{FF2B5EF4-FFF2-40B4-BE49-F238E27FC236}">
              <a16:creationId xmlns:a16="http://schemas.microsoft.com/office/drawing/2014/main" id="{F1737E4D-7E7F-4F74-9157-BD3CDA89C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52</xdr:col>
      <xdr:colOff>0</xdr:colOff>
      <xdr:row>97</xdr:row>
      <xdr:rowOff>133350</xdr:rowOff>
    </xdr:from>
    <xdr:to>
      <xdr:col>58</xdr:col>
      <xdr:colOff>0</xdr:colOff>
      <xdr:row>117</xdr:row>
      <xdr:rowOff>133350</xdr:rowOff>
    </xdr:to>
    <xdr:graphicFrame macro="">
      <xdr:nvGraphicFramePr>
        <xdr:cNvPr id="25" name="Graphique 30" hidden="1">
          <a:extLst>
            <a:ext uri="{FF2B5EF4-FFF2-40B4-BE49-F238E27FC236}">
              <a16:creationId xmlns:a16="http://schemas.microsoft.com/office/drawing/2014/main" id="{A28CC65F-76C9-463B-8532-9DBBE53BA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180975</xdr:colOff>
      <xdr:row>15</xdr:row>
      <xdr:rowOff>47625</xdr:rowOff>
    </xdr:from>
    <xdr:to>
      <xdr:col>8</xdr:col>
      <xdr:colOff>152400</xdr:colOff>
      <xdr:row>16</xdr:row>
      <xdr:rowOff>123825</xdr:rowOff>
    </xdr:to>
    <xdr:sp macro="" textlink="">
      <xdr:nvSpPr>
        <xdr:cNvPr id="26" name="Texte 32">
          <a:extLst>
            <a:ext uri="{FF2B5EF4-FFF2-40B4-BE49-F238E27FC236}">
              <a16:creationId xmlns:a16="http://schemas.microsoft.com/office/drawing/2014/main" id="{23560951-99AB-4F3C-ACBB-DB825D0DB777}"/>
            </a:ext>
          </a:extLst>
        </xdr:cNvPr>
        <xdr:cNvSpPr txBox="1">
          <a:spLocks noChangeArrowheads="1"/>
        </xdr:cNvSpPr>
      </xdr:nvSpPr>
      <xdr:spPr bwMode="auto">
        <a:xfrm>
          <a:off x="1807845" y="2745105"/>
          <a:ext cx="7174230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Plan complet : Colonnes 1, 2, 4                  Plan résolution IV : Colonnes impaires ou 1, 2, 4, 7</a:t>
          </a:r>
        </a:p>
      </xdr:txBody>
    </xdr:sp>
    <xdr:clientData/>
  </xdr:twoCellAnchor>
  <xdr:twoCellAnchor>
    <xdr:from>
      <xdr:col>8</xdr:col>
      <xdr:colOff>419100</xdr:colOff>
      <xdr:row>302</xdr:row>
      <xdr:rowOff>66675</xdr:rowOff>
    </xdr:from>
    <xdr:to>
      <xdr:col>8</xdr:col>
      <xdr:colOff>419100</xdr:colOff>
      <xdr:row>302</xdr:row>
      <xdr:rowOff>66675</xdr:rowOff>
    </xdr:to>
    <xdr:graphicFrame macro="">
      <xdr:nvGraphicFramePr>
        <xdr:cNvPr id="27" name="Graphique 1">
          <a:extLst>
            <a:ext uri="{FF2B5EF4-FFF2-40B4-BE49-F238E27FC236}">
              <a16:creationId xmlns:a16="http://schemas.microsoft.com/office/drawing/2014/main" id="{0993261A-8C0C-4427-9142-FBB364ECD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419100</xdr:colOff>
      <xdr:row>283</xdr:row>
      <xdr:rowOff>66675</xdr:rowOff>
    </xdr:from>
    <xdr:to>
      <xdr:col>8</xdr:col>
      <xdr:colOff>419100</xdr:colOff>
      <xdr:row>283</xdr:row>
      <xdr:rowOff>66675</xdr:rowOff>
    </xdr:to>
    <xdr:graphicFrame macro="">
      <xdr:nvGraphicFramePr>
        <xdr:cNvPr id="28" name="Graphique 1">
          <a:extLst>
            <a:ext uri="{FF2B5EF4-FFF2-40B4-BE49-F238E27FC236}">
              <a16:creationId xmlns:a16="http://schemas.microsoft.com/office/drawing/2014/main" id="{BD079FA6-B02D-4C32-875C-B1F4B84A5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419100</xdr:colOff>
      <xdr:row>237</xdr:row>
      <xdr:rowOff>66675</xdr:rowOff>
    </xdr:from>
    <xdr:to>
      <xdr:col>8</xdr:col>
      <xdr:colOff>419100</xdr:colOff>
      <xdr:row>237</xdr:row>
      <xdr:rowOff>66675</xdr:rowOff>
    </xdr:to>
    <xdr:graphicFrame macro="">
      <xdr:nvGraphicFramePr>
        <xdr:cNvPr id="29" name="Graphique 1">
          <a:extLst>
            <a:ext uri="{FF2B5EF4-FFF2-40B4-BE49-F238E27FC236}">
              <a16:creationId xmlns:a16="http://schemas.microsoft.com/office/drawing/2014/main" id="{4B5171E9-53AA-4057-BDC2-A3E017CCD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419100</xdr:colOff>
      <xdr:row>213</xdr:row>
      <xdr:rowOff>66675</xdr:rowOff>
    </xdr:from>
    <xdr:to>
      <xdr:col>8</xdr:col>
      <xdr:colOff>419100</xdr:colOff>
      <xdr:row>213</xdr:row>
      <xdr:rowOff>66675</xdr:rowOff>
    </xdr:to>
    <xdr:graphicFrame macro="">
      <xdr:nvGraphicFramePr>
        <xdr:cNvPr id="30" name="Graphique 1">
          <a:extLst>
            <a:ext uri="{FF2B5EF4-FFF2-40B4-BE49-F238E27FC236}">
              <a16:creationId xmlns:a16="http://schemas.microsoft.com/office/drawing/2014/main" id="{88070D2A-A626-4DA6-8C7C-E7C8B39F2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419100</xdr:colOff>
      <xdr:row>251</xdr:row>
      <xdr:rowOff>66675</xdr:rowOff>
    </xdr:from>
    <xdr:to>
      <xdr:col>8</xdr:col>
      <xdr:colOff>419100</xdr:colOff>
      <xdr:row>251</xdr:row>
      <xdr:rowOff>66675</xdr:rowOff>
    </xdr:to>
    <xdr:graphicFrame macro="">
      <xdr:nvGraphicFramePr>
        <xdr:cNvPr id="31" name="Graphique 1">
          <a:extLst>
            <a:ext uri="{FF2B5EF4-FFF2-40B4-BE49-F238E27FC236}">
              <a16:creationId xmlns:a16="http://schemas.microsoft.com/office/drawing/2014/main" id="{A654EF55-2E50-4869-8794-D2B6A195E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419100</xdr:colOff>
      <xdr:row>286</xdr:row>
      <xdr:rowOff>66675</xdr:rowOff>
    </xdr:from>
    <xdr:to>
      <xdr:col>8</xdr:col>
      <xdr:colOff>419100</xdr:colOff>
      <xdr:row>286</xdr:row>
      <xdr:rowOff>66675</xdr:rowOff>
    </xdr:to>
    <xdr:graphicFrame macro="">
      <xdr:nvGraphicFramePr>
        <xdr:cNvPr id="32" name="Graphique 1">
          <a:extLst>
            <a:ext uri="{FF2B5EF4-FFF2-40B4-BE49-F238E27FC236}">
              <a16:creationId xmlns:a16="http://schemas.microsoft.com/office/drawing/2014/main" id="{ECF061A2-1D1D-457E-8FD9-634B2053E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419100</xdr:colOff>
      <xdr:row>281</xdr:row>
      <xdr:rowOff>66675</xdr:rowOff>
    </xdr:from>
    <xdr:to>
      <xdr:col>8</xdr:col>
      <xdr:colOff>419100</xdr:colOff>
      <xdr:row>281</xdr:row>
      <xdr:rowOff>66675</xdr:rowOff>
    </xdr:to>
    <xdr:graphicFrame macro="">
      <xdr:nvGraphicFramePr>
        <xdr:cNvPr id="33" name="Graphique 1">
          <a:extLst>
            <a:ext uri="{FF2B5EF4-FFF2-40B4-BE49-F238E27FC236}">
              <a16:creationId xmlns:a16="http://schemas.microsoft.com/office/drawing/2014/main" id="{061802BF-7D1D-44D1-80DF-06028CDB6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419100</xdr:colOff>
      <xdr:row>254</xdr:row>
      <xdr:rowOff>66675</xdr:rowOff>
    </xdr:from>
    <xdr:to>
      <xdr:col>8</xdr:col>
      <xdr:colOff>419100</xdr:colOff>
      <xdr:row>254</xdr:row>
      <xdr:rowOff>66675</xdr:rowOff>
    </xdr:to>
    <xdr:graphicFrame macro="">
      <xdr:nvGraphicFramePr>
        <xdr:cNvPr id="34" name="Graphique 1">
          <a:extLst>
            <a:ext uri="{FF2B5EF4-FFF2-40B4-BE49-F238E27FC236}">
              <a16:creationId xmlns:a16="http://schemas.microsoft.com/office/drawing/2014/main" id="{10AC8F7E-47A3-4F98-A8D0-C9755609F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419100</xdr:colOff>
      <xdr:row>309</xdr:row>
      <xdr:rowOff>66675</xdr:rowOff>
    </xdr:from>
    <xdr:to>
      <xdr:col>8</xdr:col>
      <xdr:colOff>419100</xdr:colOff>
      <xdr:row>309</xdr:row>
      <xdr:rowOff>66675</xdr:rowOff>
    </xdr:to>
    <xdr:graphicFrame macro="">
      <xdr:nvGraphicFramePr>
        <xdr:cNvPr id="35" name="Graphique 1">
          <a:extLst>
            <a:ext uri="{FF2B5EF4-FFF2-40B4-BE49-F238E27FC236}">
              <a16:creationId xmlns:a16="http://schemas.microsoft.com/office/drawing/2014/main" id="{056722CA-2713-4FE2-B020-93D756B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419100</xdr:colOff>
      <xdr:row>301</xdr:row>
      <xdr:rowOff>66675</xdr:rowOff>
    </xdr:from>
    <xdr:to>
      <xdr:col>8</xdr:col>
      <xdr:colOff>419100</xdr:colOff>
      <xdr:row>301</xdr:row>
      <xdr:rowOff>66675</xdr:rowOff>
    </xdr:to>
    <xdr:graphicFrame macro="">
      <xdr:nvGraphicFramePr>
        <xdr:cNvPr id="36" name="Graphique 1">
          <a:extLst>
            <a:ext uri="{FF2B5EF4-FFF2-40B4-BE49-F238E27FC236}">
              <a16:creationId xmlns:a16="http://schemas.microsoft.com/office/drawing/2014/main" id="{9159812B-2926-4FB0-8DD7-3A52349E0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419100</xdr:colOff>
      <xdr:row>204</xdr:row>
      <xdr:rowOff>66675</xdr:rowOff>
    </xdr:from>
    <xdr:to>
      <xdr:col>8</xdr:col>
      <xdr:colOff>419100</xdr:colOff>
      <xdr:row>204</xdr:row>
      <xdr:rowOff>66675</xdr:rowOff>
    </xdr:to>
    <xdr:graphicFrame macro="">
      <xdr:nvGraphicFramePr>
        <xdr:cNvPr id="37" name="Graphique 1">
          <a:extLst>
            <a:ext uri="{FF2B5EF4-FFF2-40B4-BE49-F238E27FC236}">
              <a16:creationId xmlns:a16="http://schemas.microsoft.com/office/drawing/2014/main" id="{BD36CE23-1DA3-4E9E-9CFC-962063510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419100</xdr:colOff>
      <xdr:row>238</xdr:row>
      <xdr:rowOff>66675</xdr:rowOff>
    </xdr:from>
    <xdr:to>
      <xdr:col>8</xdr:col>
      <xdr:colOff>419100</xdr:colOff>
      <xdr:row>238</xdr:row>
      <xdr:rowOff>66675</xdr:rowOff>
    </xdr:to>
    <xdr:graphicFrame macro="">
      <xdr:nvGraphicFramePr>
        <xdr:cNvPr id="38" name="Graphique 1">
          <a:extLst>
            <a:ext uri="{FF2B5EF4-FFF2-40B4-BE49-F238E27FC236}">
              <a16:creationId xmlns:a16="http://schemas.microsoft.com/office/drawing/2014/main" id="{D8D2B25F-684E-47BE-B927-C52982704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419100</xdr:colOff>
      <xdr:row>196</xdr:row>
      <xdr:rowOff>66675</xdr:rowOff>
    </xdr:from>
    <xdr:to>
      <xdr:col>8</xdr:col>
      <xdr:colOff>419100</xdr:colOff>
      <xdr:row>196</xdr:row>
      <xdr:rowOff>66675</xdr:rowOff>
    </xdr:to>
    <xdr:graphicFrame macro="">
      <xdr:nvGraphicFramePr>
        <xdr:cNvPr id="39" name="Graphique 1">
          <a:extLst>
            <a:ext uri="{FF2B5EF4-FFF2-40B4-BE49-F238E27FC236}">
              <a16:creationId xmlns:a16="http://schemas.microsoft.com/office/drawing/2014/main" id="{77FDA5E0-6CDE-4872-8EFB-F6A1C2D01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419100</xdr:colOff>
      <xdr:row>226</xdr:row>
      <xdr:rowOff>66675</xdr:rowOff>
    </xdr:from>
    <xdr:to>
      <xdr:col>8</xdr:col>
      <xdr:colOff>419100</xdr:colOff>
      <xdr:row>226</xdr:row>
      <xdr:rowOff>66675</xdr:rowOff>
    </xdr:to>
    <xdr:graphicFrame macro="">
      <xdr:nvGraphicFramePr>
        <xdr:cNvPr id="40" name="Graphique 1">
          <a:extLst>
            <a:ext uri="{FF2B5EF4-FFF2-40B4-BE49-F238E27FC236}">
              <a16:creationId xmlns:a16="http://schemas.microsoft.com/office/drawing/2014/main" id="{CAE07FE6-811E-437B-BC6F-368648DC0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41" name="Graphique 1">
          <a:extLst>
            <a:ext uri="{FF2B5EF4-FFF2-40B4-BE49-F238E27FC236}">
              <a16:creationId xmlns:a16="http://schemas.microsoft.com/office/drawing/2014/main" id="{748133B4-2350-4D27-848E-9DC05F82E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419100</xdr:colOff>
      <xdr:row>287</xdr:row>
      <xdr:rowOff>66675</xdr:rowOff>
    </xdr:from>
    <xdr:to>
      <xdr:col>8</xdr:col>
      <xdr:colOff>419100</xdr:colOff>
      <xdr:row>287</xdr:row>
      <xdr:rowOff>66675</xdr:rowOff>
    </xdr:to>
    <xdr:graphicFrame macro="">
      <xdr:nvGraphicFramePr>
        <xdr:cNvPr id="42" name="Graphique 1">
          <a:extLst>
            <a:ext uri="{FF2B5EF4-FFF2-40B4-BE49-F238E27FC236}">
              <a16:creationId xmlns:a16="http://schemas.microsoft.com/office/drawing/2014/main" id="{C5AC3CF8-82B6-4FB7-A492-C4313EA06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419100</xdr:colOff>
      <xdr:row>197</xdr:row>
      <xdr:rowOff>66675</xdr:rowOff>
    </xdr:from>
    <xdr:to>
      <xdr:col>8</xdr:col>
      <xdr:colOff>419100</xdr:colOff>
      <xdr:row>197</xdr:row>
      <xdr:rowOff>66675</xdr:rowOff>
    </xdr:to>
    <xdr:graphicFrame macro="">
      <xdr:nvGraphicFramePr>
        <xdr:cNvPr id="43" name="Graphique 1">
          <a:extLst>
            <a:ext uri="{FF2B5EF4-FFF2-40B4-BE49-F238E27FC236}">
              <a16:creationId xmlns:a16="http://schemas.microsoft.com/office/drawing/2014/main" id="{053AE7DD-DCFE-432D-8837-825B3C1FE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419100</xdr:colOff>
      <xdr:row>185</xdr:row>
      <xdr:rowOff>66675</xdr:rowOff>
    </xdr:from>
    <xdr:to>
      <xdr:col>8</xdr:col>
      <xdr:colOff>419100</xdr:colOff>
      <xdr:row>185</xdr:row>
      <xdr:rowOff>66675</xdr:rowOff>
    </xdr:to>
    <xdr:graphicFrame macro="">
      <xdr:nvGraphicFramePr>
        <xdr:cNvPr id="44" name="Graphique 1">
          <a:extLst>
            <a:ext uri="{FF2B5EF4-FFF2-40B4-BE49-F238E27FC236}">
              <a16:creationId xmlns:a16="http://schemas.microsoft.com/office/drawing/2014/main" id="{673F0C4A-A06A-4A18-8739-3C2F83AF8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419100</xdr:colOff>
      <xdr:row>255</xdr:row>
      <xdr:rowOff>66675</xdr:rowOff>
    </xdr:from>
    <xdr:to>
      <xdr:col>8</xdr:col>
      <xdr:colOff>419100</xdr:colOff>
      <xdr:row>255</xdr:row>
      <xdr:rowOff>66675</xdr:rowOff>
    </xdr:to>
    <xdr:graphicFrame macro="">
      <xdr:nvGraphicFramePr>
        <xdr:cNvPr id="45" name="Graphique 1">
          <a:extLst>
            <a:ext uri="{FF2B5EF4-FFF2-40B4-BE49-F238E27FC236}">
              <a16:creationId xmlns:a16="http://schemas.microsoft.com/office/drawing/2014/main" id="{C7CB9DF8-81DB-412D-A943-C61DAC1A0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419100</xdr:colOff>
      <xdr:row>222</xdr:row>
      <xdr:rowOff>66675</xdr:rowOff>
    </xdr:from>
    <xdr:to>
      <xdr:col>8</xdr:col>
      <xdr:colOff>419100</xdr:colOff>
      <xdr:row>222</xdr:row>
      <xdr:rowOff>66675</xdr:rowOff>
    </xdr:to>
    <xdr:graphicFrame macro="">
      <xdr:nvGraphicFramePr>
        <xdr:cNvPr id="46" name="Graphique 1">
          <a:extLst>
            <a:ext uri="{FF2B5EF4-FFF2-40B4-BE49-F238E27FC236}">
              <a16:creationId xmlns:a16="http://schemas.microsoft.com/office/drawing/2014/main" id="{6C51DBFD-F138-4E5D-BF2D-2FF75C401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419100</xdr:colOff>
      <xdr:row>285</xdr:row>
      <xdr:rowOff>66675</xdr:rowOff>
    </xdr:from>
    <xdr:to>
      <xdr:col>8</xdr:col>
      <xdr:colOff>419100</xdr:colOff>
      <xdr:row>285</xdr:row>
      <xdr:rowOff>66675</xdr:rowOff>
    </xdr:to>
    <xdr:graphicFrame macro="">
      <xdr:nvGraphicFramePr>
        <xdr:cNvPr id="47" name="Graphique 1">
          <a:extLst>
            <a:ext uri="{FF2B5EF4-FFF2-40B4-BE49-F238E27FC236}">
              <a16:creationId xmlns:a16="http://schemas.microsoft.com/office/drawing/2014/main" id="{C2993A7A-6217-45EA-8119-101F458C0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419100</xdr:colOff>
      <xdr:row>259</xdr:row>
      <xdr:rowOff>66675</xdr:rowOff>
    </xdr:from>
    <xdr:to>
      <xdr:col>8</xdr:col>
      <xdr:colOff>419100</xdr:colOff>
      <xdr:row>259</xdr:row>
      <xdr:rowOff>66675</xdr:rowOff>
    </xdr:to>
    <xdr:graphicFrame macro="">
      <xdr:nvGraphicFramePr>
        <xdr:cNvPr id="48" name="Graphique 1">
          <a:extLst>
            <a:ext uri="{FF2B5EF4-FFF2-40B4-BE49-F238E27FC236}">
              <a16:creationId xmlns:a16="http://schemas.microsoft.com/office/drawing/2014/main" id="{E1344104-AD69-453D-B1B3-69873D608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419100</xdr:colOff>
      <xdr:row>211</xdr:row>
      <xdr:rowOff>66675</xdr:rowOff>
    </xdr:from>
    <xdr:to>
      <xdr:col>8</xdr:col>
      <xdr:colOff>419100</xdr:colOff>
      <xdr:row>211</xdr:row>
      <xdr:rowOff>66675</xdr:rowOff>
    </xdr:to>
    <xdr:graphicFrame macro="">
      <xdr:nvGraphicFramePr>
        <xdr:cNvPr id="49" name="Graphique 1">
          <a:extLst>
            <a:ext uri="{FF2B5EF4-FFF2-40B4-BE49-F238E27FC236}">
              <a16:creationId xmlns:a16="http://schemas.microsoft.com/office/drawing/2014/main" id="{1BA72F2A-01E5-4CBC-8EF8-3EF2F6EDE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419100</xdr:colOff>
      <xdr:row>191</xdr:row>
      <xdr:rowOff>66675</xdr:rowOff>
    </xdr:from>
    <xdr:to>
      <xdr:col>8</xdr:col>
      <xdr:colOff>419100</xdr:colOff>
      <xdr:row>191</xdr:row>
      <xdr:rowOff>66675</xdr:rowOff>
    </xdr:to>
    <xdr:graphicFrame macro="">
      <xdr:nvGraphicFramePr>
        <xdr:cNvPr id="50" name="Graphique 1">
          <a:extLst>
            <a:ext uri="{FF2B5EF4-FFF2-40B4-BE49-F238E27FC236}">
              <a16:creationId xmlns:a16="http://schemas.microsoft.com/office/drawing/2014/main" id="{7850599A-48F9-4286-A217-986ED590F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419100</xdr:colOff>
      <xdr:row>208</xdr:row>
      <xdr:rowOff>66675</xdr:rowOff>
    </xdr:from>
    <xdr:to>
      <xdr:col>8</xdr:col>
      <xdr:colOff>419100</xdr:colOff>
      <xdr:row>208</xdr:row>
      <xdr:rowOff>66675</xdr:rowOff>
    </xdr:to>
    <xdr:graphicFrame macro="">
      <xdr:nvGraphicFramePr>
        <xdr:cNvPr id="51" name="Graphique 1">
          <a:extLst>
            <a:ext uri="{FF2B5EF4-FFF2-40B4-BE49-F238E27FC236}">
              <a16:creationId xmlns:a16="http://schemas.microsoft.com/office/drawing/2014/main" id="{D36C30D0-BD7A-42AB-85CD-044D3C14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52" name="Graphique 1">
          <a:extLst>
            <a:ext uri="{FF2B5EF4-FFF2-40B4-BE49-F238E27FC236}">
              <a16:creationId xmlns:a16="http://schemas.microsoft.com/office/drawing/2014/main" id="{487959D0-D124-4AF6-842F-470B4CA9C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419100</xdr:colOff>
      <xdr:row>283</xdr:row>
      <xdr:rowOff>66675</xdr:rowOff>
    </xdr:from>
    <xdr:to>
      <xdr:col>8</xdr:col>
      <xdr:colOff>419100</xdr:colOff>
      <xdr:row>283</xdr:row>
      <xdr:rowOff>66675</xdr:rowOff>
    </xdr:to>
    <xdr:graphicFrame macro="">
      <xdr:nvGraphicFramePr>
        <xdr:cNvPr id="53" name="Graphique 1">
          <a:extLst>
            <a:ext uri="{FF2B5EF4-FFF2-40B4-BE49-F238E27FC236}">
              <a16:creationId xmlns:a16="http://schemas.microsoft.com/office/drawing/2014/main" id="{CBF000F0-C1E9-4AF4-9830-A0D8F894C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419100</xdr:colOff>
      <xdr:row>304</xdr:row>
      <xdr:rowOff>66675</xdr:rowOff>
    </xdr:from>
    <xdr:to>
      <xdr:col>8</xdr:col>
      <xdr:colOff>419100</xdr:colOff>
      <xdr:row>304</xdr:row>
      <xdr:rowOff>66675</xdr:rowOff>
    </xdr:to>
    <xdr:graphicFrame macro="">
      <xdr:nvGraphicFramePr>
        <xdr:cNvPr id="54" name="Graphique 1">
          <a:extLst>
            <a:ext uri="{FF2B5EF4-FFF2-40B4-BE49-F238E27FC236}">
              <a16:creationId xmlns:a16="http://schemas.microsoft.com/office/drawing/2014/main" id="{129E4F21-9BDB-4C52-83AF-BEC81821B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419100</xdr:colOff>
      <xdr:row>290</xdr:row>
      <xdr:rowOff>66675</xdr:rowOff>
    </xdr:from>
    <xdr:to>
      <xdr:col>8</xdr:col>
      <xdr:colOff>419100</xdr:colOff>
      <xdr:row>290</xdr:row>
      <xdr:rowOff>66675</xdr:rowOff>
    </xdr:to>
    <xdr:graphicFrame macro="">
      <xdr:nvGraphicFramePr>
        <xdr:cNvPr id="55" name="Graphique 1">
          <a:extLst>
            <a:ext uri="{FF2B5EF4-FFF2-40B4-BE49-F238E27FC236}">
              <a16:creationId xmlns:a16="http://schemas.microsoft.com/office/drawing/2014/main" id="{60AED547-D7FB-4CDD-AAE3-98FC72F32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419100</xdr:colOff>
      <xdr:row>267</xdr:row>
      <xdr:rowOff>66675</xdr:rowOff>
    </xdr:from>
    <xdr:to>
      <xdr:col>8</xdr:col>
      <xdr:colOff>419100</xdr:colOff>
      <xdr:row>267</xdr:row>
      <xdr:rowOff>66675</xdr:rowOff>
    </xdr:to>
    <xdr:graphicFrame macro="">
      <xdr:nvGraphicFramePr>
        <xdr:cNvPr id="56" name="Graphique 1">
          <a:extLst>
            <a:ext uri="{FF2B5EF4-FFF2-40B4-BE49-F238E27FC236}">
              <a16:creationId xmlns:a16="http://schemas.microsoft.com/office/drawing/2014/main" id="{727882C9-BEB6-4E74-B2F3-FBFDC4CA3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419100</xdr:colOff>
      <xdr:row>233</xdr:row>
      <xdr:rowOff>66675</xdr:rowOff>
    </xdr:from>
    <xdr:to>
      <xdr:col>8</xdr:col>
      <xdr:colOff>419100</xdr:colOff>
      <xdr:row>233</xdr:row>
      <xdr:rowOff>66675</xdr:rowOff>
    </xdr:to>
    <xdr:graphicFrame macro="">
      <xdr:nvGraphicFramePr>
        <xdr:cNvPr id="57" name="Graphique 1">
          <a:extLst>
            <a:ext uri="{FF2B5EF4-FFF2-40B4-BE49-F238E27FC236}">
              <a16:creationId xmlns:a16="http://schemas.microsoft.com/office/drawing/2014/main" id="{78C437F5-0E4D-4805-AB90-310167FAE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419100</xdr:colOff>
      <xdr:row>194</xdr:row>
      <xdr:rowOff>66675</xdr:rowOff>
    </xdr:from>
    <xdr:to>
      <xdr:col>8</xdr:col>
      <xdr:colOff>419100</xdr:colOff>
      <xdr:row>194</xdr:row>
      <xdr:rowOff>66675</xdr:rowOff>
    </xdr:to>
    <xdr:graphicFrame macro="">
      <xdr:nvGraphicFramePr>
        <xdr:cNvPr id="58" name="Graphique 1">
          <a:extLst>
            <a:ext uri="{FF2B5EF4-FFF2-40B4-BE49-F238E27FC236}">
              <a16:creationId xmlns:a16="http://schemas.microsoft.com/office/drawing/2014/main" id="{B442F795-B957-4E48-A70C-527A47C76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419100</xdr:colOff>
      <xdr:row>233</xdr:row>
      <xdr:rowOff>66675</xdr:rowOff>
    </xdr:from>
    <xdr:to>
      <xdr:col>8</xdr:col>
      <xdr:colOff>419100</xdr:colOff>
      <xdr:row>233</xdr:row>
      <xdr:rowOff>66675</xdr:rowOff>
    </xdr:to>
    <xdr:graphicFrame macro="">
      <xdr:nvGraphicFramePr>
        <xdr:cNvPr id="59" name="Graphique 1">
          <a:extLst>
            <a:ext uri="{FF2B5EF4-FFF2-40B4-BE49-F238E27FC236}">
              <a16:creationId xmlns:a16="http://schemas.microsoft.com/office/drawing/2014/main" id="{075862AA-0242-46B1-9FFA-0F132E6AE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8</xdr:col>
      <xdr:colOff>419100</xdr:colOff>
      <xdr:row>272</xdr:row>
      <xdr:rowOff>66675</xdr:rowOff>
    </xdr:from>
    <xdr:to>
      <xdr:col>8</xdr:col>
      <xdr:colOff>419100</xdr:colOff>
      <xdr:row>272</xdr:row>
      <xdr:rowOff>66675</xdr:rowOff>
    </xdr:to>
    <xdr:graphicFrame macro="">
      <xdr:nvGraphicFramePr>
        <xdr:cNvPr id="60" name="Graphique 1">
          <a:extLst>
            <a:ext uri="{FF2B5EF4-FFF2-40B4-BE49-F238E27FC236}">
              <a16:creationId xmlns:a16="http://schemas.microsoft.com/office/drawing/2014/main" id="{6D20C44D-B19F-40B4-9329-0DCD014CB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419100</xdr:colOff>
      <xdr:row>241</xdr:row>
      <xdr:rowOff>66675</xdr:rowOff>
    </xdr:from>
    <xdr:to>
      <xdr:col>8</xdr:col>
      <xdr:colOff>419100</xdr:colOff>
      <xdr:row>241</xdr:row>
      <xdr:rowOff>66675</xdr:rowOff>
    </xdr:to>
    <xdr:graphicFrame macro="">
      <xdr:nvGraphicFramePr>
        <xdr:cNvPr id="61" name="Graphique 1">
          <a:extLst>
            <a:ext uri="{FF2B5EF4-FFF2-40B4-BE49-F238E27FC236}">
              <a16:creationId xmlns:a16="http://schemas.microsoft.com/office/drawing/2014/main" id="{6664DB1F-093E-450E-8EC6-50871E94D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419100</xdr:colOff>
      <xdr:row>303</xdr:row>
      <xdr:rowOff>66675</xdr:rowOff>
    </xdr:from>
    <xdr:to>
      <xdr:col>8</xdr:col>
      <xdr:colOff>419100</xdr:colOff>
      <xdr:row>303</xdr:row>
      <xdr:rowOff>66675</xdr:rowOff>
    </xdr:to>
    <xdr:graphicFrame macro="">
      <xdr:nvGraphicFramePr>
        <xdr:cNvPr id="62" name="Graphique 1">
          <a:extLst>
            <a:ext uri="{FF2B5EF4-FFF2-40B4-BE49-F238E27FC236}">
              <a16:creationId xmlns:a16="http://schemas.microsoft.com/office/drawing/2014/main" id="{FCA08AF3-E146-4242-8623-D867D9F66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419100</xdr:colOff>
      <xdr:row>289</xdr:row>
      <xdr:rowOff>66675</xdr:rowOff>
    </xdr:from>
    <xdr:to>
      <xdr:col>8</xdr:col>
      <xdr:colOff>419100</xdr:colOff>
      <xdr:row>289</xdr:row>
      <xdr:rowOff>66675</xdr:rowOff>
    </xdr:to>
    <xdr:graphicFrame macro="">
      <xdr:nvGraphicFramePr>
        <xdr:cNvPr id="63" name="Graphique 1">
          <a:extLst>
            <a:ext uri="{FF2B5EF4-FFF2-40B4-BE49-F238E27FC236}">
              <a16:creationId xmlns:a16="http://schemas.microsoft.com/office/drawing/2014/main" id="{BCF085C1-BA0A-4A4B-AB8B-137D35E69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419100</xdr:colOff>
      <xdr:row>243</xdr:row>
      <xdr:rowOff>66675</xdr:rowOff>
    </xdr:from>
    <xdr:to>
      <xdr:col>8</xdr:col>
      <xdr:colOff>419100</xdr:colOff>
      <xdr:row>243</xdr:row>
      <xdr:rowOff>66675</xdr:rowOff>
    </xdr:to>
    <xdr:graphicFrame macro="">
      <xdr:nvGraphicFramePr>
        <xdr:cNvPr id="64" name="Graphique 1">
          <a:extLst>
            <a:ext uri="{FF2B5EF4-FFF2-40B4-BE49-F238E27FC236}">
              <a16:creationId xmlns:a16="http://schemas.microsoft.com/office/drawing/2014/main" id="{111C5779-3F81-47EC-A637-120128AE2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419100</xdr:colOff>
      <xdr:row>289</xdr:row>
      <xdr:rowOff>66675</xdr:rowOff>
    </xdr:from>
    <xdr:to>
      <xdr:col>8</xdr:col>
      <xdr:colOff>419100</xdr:colOff>
      <xdr:row>289</xdr:row>
      <xdr:rowOff>66675</xdr:rowOff>
    </xdr:to>
    <xdr:graphicFrame macro="">
      <xdr:nvGraphicFramePr>
        <xdr:cNvPr id="65" name="Graphique 1">
          <a:extLst>
            <a:ext uri="{FF2B5EF4-FFF2-40B4-BE49-F238E27FC236}">
              <a16:creationId xmlns:a16="http://schemas.microsoft.com/office/drawing/2014/main" id="{CBD5137E-EADA-41D9-BF31-D0C4CAE9A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419100</xdr:colOff>
      <xdr:row>305</xdr:row>
      <xdr:rowOff>66675</xdr:rowOff>
    </xdr:from>
    <xdr:to>
      <xdr:col>8</xdr:col>
      <xdr:colOff>419100</xdr:colOff>
      <xdr:row>305</xdr:row>
      <xdr:rowOff>66675</xdr:rowOff>
    </xdr:to>
    <xdr:graphicFrame macro="">
      <xdr:nvGraphicFramePr>
        <xdr:cNvPr id="66" name="Graphique 1">
          <a:extLst>
            <a:ext uri="{FF2B5EF4-FFF2-40B4-BE49-F238E27FC236}">
              <a16:creationId xmlns:a16="http://schemas.microsoft.com/office/drawing/2014/main" id="{0FB060CE-29F9-43A6-8631-A85EEED13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419100</xdr:colOff>
      <xdr:row>293</xdr:row>
      <xdr:rowOff>66675</xdr:rowOff>
    </xdr:from>
    <xdr:to>
      <xdr:col>8</xdr:col>
      <xdr:colOff>419100</xdr:colOff>
      <xdr:row>293</xdr:row>
      <xdr:rowOff>66675</xdr:rowOff>
    </xdr:to>
    <xdr:graphicFrame macro="">
      <xdr:nvGraphicFramePr>
        <xdr:cNvPr id="67" name="Graphique 1">
          <a:extLst>
            <a:ext uri="{FF2B5EF4-FFF2-40B4-BE49-F238E27FC236}">
              <a16:creationId xmlns:a16="http://schemas.microsoft.com/office/drawing/2014/main" id="{C916FD0F-21F5-45D4-8928-87EB6A4D0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419100</xdr:colOff>
      <xdr:row>270</xdr:row>
      <xdr:rowOff>66675</xdr:rowOff>
    </xdr:from>
    <xdr:to>
      <xdr:col>8</xdr:col>
      <xdr:colOff>419100</xdr:colOff>
      <xdr:row>270</xdr:row>
      <xdr:rowOff>66675</xdr:rowOff>
    </xdr:to>
    <xdr:graphicFrame macro="">
      <xdr:nvGraphicFramePr>
        <xdr:cNvPr id="68" name="Graphique 1">
          <a:extLst>
            <a:ext uri="{FF2B5EF4-FFF2-40B4-BE49-F238E27FC236}">
              <a16:creationId xmlns:a16="http://schemas.microsoft.com/office/drawing/2014/main" id="{55B030C9-05A0-4F82-B25D-5A1CFCB0C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419100</xdr:colOff>
      <xdr:row>240</xdr:row>
      <xdr:rowOff>66675</xdr:rowOff>
    </xdr:from>
    <xdr:to>
      <xdr:col>8</xdr:col>
      <xdr:colOff>419100</xdr:colOff>
      <xdr:row>240</xdr:row>
      <xdr:rowOff>66675</xdr:rowOff>
    </xdr:to>
    <xdr:graphicFrame macro="">
      <xdr:nvGraphicFramePr>
        <xdr:cNvPr id="69" name="Graphique 1">
          <a:extLst>
            <a:ext uri="{FF2B5EF4-FFF2-40B4-BE49-F238E27FC236}">
              <a16:creationId xmlns:a16="http://schemas.microsoft.com/office/drawing/2014/main" id="{284C6678-D17B-44FD-80FC-C3D3BB4DC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419100</xdr:colOff>
      <xdr:row>196</xdr:row>
      <xdr:rowOff>66675</xdr:rowOff>
    </xdr:from>
    <xdr:to>
      <xdr:col>8</xdr:col>
      <xdr:colOff>419100</xdr:colOff>
      <xdr:row>196</xdr:row>
      <xdr:rowOff>66675</xdr:rowOff>
    </xdr:to>
    <xdr:graphicFrame macro="">
      <xdr:nvGraphicFramePr>
        <xdr:cNvPr id="70" name="Graphique 1">
          <a:extLst>
            <a:ext uri="{FF2B5EF4-FFF2-40B4-BE49-F238E27FC236}">
              <a16:creationId xmlns:a16="http://schemas.microsoft.com/office/drawing/2014/main" id="{46B194DC-3C8F-4F8C-952B-D0C54A04E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</xdr:col>
      <xdr:colOff>419100</xdr:colOff>
      <xdr:row>240</xdr:row>
      <xdr:rowOff>66675</xdr:rowOff>
    </xdr:from>
    <xdr:to>
      <xdr:col>8</xdr:col>
      <xdr:colOff>419100</xdr:colOff>
      <xdr:row>240</xdr:row>
      <xdr:rowOff>66675</xdr:rowOff>
    </xdr:to>
    <xdr:graphicFrame macro="">
      <xdr:nvGraphicFramePr>
        <xdr:cNvPr id="71" name="Graphique 1">
          <a:extLst>
            <a:ext uri="{FF2B5EF4-FFF2-40B4-BE49-F238E27FC236}">
              <a16:creationId xmlns:a16="http://schemas.microsoft.com/office/drawing/2014/main" id="{5786B421-A291-4F21-9763-7C2C754CA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</xdr:col>
      <xdr:colOff>419100</xdr:colOff>
      <xdr:row>275</xdr:row>
      <xdr:rowOff>66675</xdr:rowOff>
    </xdr:from>
    <xdr:to>
      <xdr:col>8</xdr:col>
      <xdr:colOff>419100</xdr:colOff>
      <xdr:row>275</xdr:row>
      <xdr:rowOff>66675</xdr:rowOff>
    </xdr:to>
    <xdr:graphicFrame macro="">
      <xdr:nvGraphicFramePr>
        <xdr:cNvPr id="72" name="Graphique 1">
          <a:extLst>
            <a:ext uri="{FF2B5EF4-FFF2-40B4-BE49-F238E27FC236}">
              <a16:creationId xmlns:a16="http://schemas.microsoft.com/office/drawing/2014/main" id="{52EA3588-98D3-4D44-92B1-2533EE17B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8</xdr:col>
      <xdr:colOff>419100</xdr:colOff>
      <xdr:row>244</xdr:row>
      <xdr:rowOff>66675</xdr:rowOff>
    </xdr:from>
    <xdr:to>
      <xdr:col>8</xdr:col>
      <xdr:colOff>419100</xdr:colOff>
      <xdr:row>244</xdr:row>
      <xdr:rowOff>66675</xdr:rowOff>
    </xdr:to>
    <xdr:graphicFrame macro="">
      <xdr:nvGraphicFramePr>
        <xdr:cNvPr id="73" name="Graphique 1">
          <a:extLst>
            <a:ext uri="{FF2B5EF4-FFF2-40B4-BE49-F238E27FC236}">
              <a16:creationId xmlns:a16="http://schemas.microsoft.com/office/drawing/2014/main" id="{10397DD8-B6B8-4DAC-BED3-851B07B82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8</xdr:col>
      <xdr:colOff>419100</xdr:colOff>
      <xdr:row>280</xdr:row>
      <xdr:rowOff>66675</xdr:rowOff>
    </xdr:from>
    <xdr:to>
      <xdr:col>8</xdr:col>
      <xdr:colOff>419100</xdr:colOff>
      <xdr:row>280</xdr:row>
      <xdr:rowOff>66675</xdr:rowOff>
    </xdr:to>
    <xdr:graphicFrame macro="">
      <xdr:nvGraphicFramePr>
        <xdr:cNvPr id="74" name="Graphique 1">
          <a:extLst>
            <a:ext uri="{FF2B5EF4-FFF2-40B4-BE49-F238E27FC236}">
              <a16:creationId xmlns:a16="http://schemas.microsoft.com/office/drawing/2014/main" id="{E5F8857A-9A66-4C93-B0BD-010984401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75" name="Graphique 1">
          <a:extLst>
            <a:ext uri="{FF2B5EF4-FFF2-40B4-BE49-F238E27FC236}">
              <a16:creationId xmlns:a16="http://schemas.microsoft.com/office/drawing/2014/main" id="{A5163E5F-56E4-470A-AEF3-E3413B765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419100</xdr:colOff>
      <xdr:row>206</xdr:row>
      <xdr:rowOff>66675</xdr:rowOff>
    </xdr:from>
    <xdr:to>
      <xdr:col>8</xdr:col>
      <xdr:colOff>419100</xdr:colOff>
      <xdr:row>206</xdr:row>
      <xdr:rowOff>66675</xdr:rowOff>
    </xdr:to>
    <xdr:graphicFrame macro="">
      <xdr:nvGraphicFramePr>
        <xdr:cNvPr id="76" name="Graphique 1">
          <a:extLst>
            <a:ext uri="{FF2B5EF4-FFF2-40B4-BE49-F238E27FC236}">
              <a16:creationId xmlns:a16="http://schemas.microsoft.com/office/drawing/2014/main" id="{36B43228-5478-4E9B-8FC2-090500148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77" name="Graphique 1">
          <a:extLst>
            <a:ext uri="{FF2B5EF4-FFF2-40B4-BE49-F238E27FC236}">
              <a16:creationId xmlns:a16="http://schemas.microsoft.com/office/drawing/2014/main" id="{C41A84C4-3A7A-4379-BDCA-9E16574CD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419100</xdr:colOff>
      <xdr:row>287</xdr:row>
      <xdr:rowOff>66675</xdr:rowOff>
    </xdr:from>
    <xdr:to>
      <xdr:col>8</xdr:col>
      <xdr:colOff>419100</xdr:colOff>
      <xdr:row>287</xdr:row>
      <xdr:rowOff>66675</xdr:rowOff>
    </xdr:to>
    <xdr:graphicFrame macro="">
      <xdr:nvGraphicFramePr>
        <xdr:cNvPr id="78" name="Graphique 1">
          <a:extLst>
            <a:ext uri="{FF2B5EF4-FFF2-40B4-BE49-F238E27FC236}">
              <a16:creationId xmlns:a16="http://schemas.microsoft.com/office/drawing/2014/main" id="{BB1922BE-6FC4-4C25-B961-91828C0B4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419100</xdr:colOff>
      <xdr:row>261</xdr:row>
      <xdr:rowOff>66675</xdr:rowOff>
    </xdr:from>
    <xdr:to>
      <xdr:col>8</xdr:col>
      <xdr:colOff>419100</xdr:colOff>
      <xdr:row>261</xdr:row>
      <xdr:rowOff>66675</xdr:rowOff>
    </xdr:to>
    <xdr:graphicFrame macro="">
      <xdr:nvGraphicFramePr>
        <xdr:cNvPr id="79" name="Graphique 1">
          <a:extLst>
            <a:ext uri="{FF2B5EF4-FFF2-40B4-BE49-F238E27FC236}">
              <a16:creationId xmlns:a16="http://schemas.microsoft.com/office/drawing/2014/main" id="{FED45648-CE44-4845-96F5-52713857E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419100</xdr:colOff>
      <xdr:row>227</xdr:row>
      <xdr:rowOff>66675</xdr:rowOff>
    </xdr:from>
    <xdr:to>
      <xdr:col>8</xdr:col>
      <xdr:colOff>419100</xdr:colOff>
      <xdr:row>227</xdr:row>
      <xdr:rowOff>66675</xdr:rowOff>
    </xdr:to>
    <xdr:graphicFrame macro="">
      <xdr:nvGraphicFramePr>
        <xdr:cNvPr id="80" name="Graphique 1">
          <a:extLst>
            <a:ext uri="{FF2B5EF4-FFF2-40B4-BE49-F238E27FC236}">
              <a16:creationId xmlns:a16="http://schemas.microsoft.com/office/drawing/2014/main" id="{7F90FE9C-59D1-4D54-97EE-E19E5EA42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</xdr:col>
      <xdr:colOff>419100</xdr:colOff>
      <xdr:row>201</xdr:row>
      <xdr:rowOff>66675</xdr:rowOff>
    </xdr:from>
    <xdr:to>
      <xdr:col>8</xdr:col>
      <xdr:colOff>419100</xdr:colOff>
      <xdr:row>201</xdr:row>
      <xdr:rowOff>66675</xdr:rowOff>
    </xdr:to>
    <xdr:graphicFrame macro="">
      <xdr:nvGraphicFramePr>
        <xdr:cNvPr id="81" name="Graphique 1">
          <a:extLst>
            <a:ext uri="{FF2B5EF4-FFF2-40B4-BE49-F238E27FC236}">
              <a16:creationId xmlns:a16="http://schemas.microsoft.com/office/drawing/2014/main" id="{E9561C2E-425E-4584-816D-9FAA7BC75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</xdr:col>
      <xdr:colOff>419100</xdr:colOff>
      <xdr:row>183</xdr:row>
      <xdr:rowOff>66675</xdr:rowOff>
    </xdr:from>
    <xdr:to>
      <xdr:col>8</xdr:col>
      <xdr:colOff>419100</xdr:colOff>
      <xdr:row>183</xdr:row>
      <xdr:rowOff>66675</xdr:rowOff>
    </xdr:to>
    <xdr:graphicFrame macro="">
      <xdr:nvGraphicFramePr>
        <xdr:cNvPr id="82" name="Graphique 1">
          <a:extLst>
            <a:ext uri="{FF2B5EF4-FFF2-40B4-BE49-F238E27FC236}">
              <a16:creationId xmlns:a16="http://schemas.microsoft.com/office/drawing/2014/main" id="{829DE8B1-D1C5-42D4-B3FA-14F866BD0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8</xdr:col>
      <xdr:colOff>419100</xdr:colOff>
      <xdr:row>201</xdr:row>
      <xdr:rowOff>66675</xdr:rowOff>
    </xdr:from>
    <xdr:to>
      <xdr:col>8</xdr:col>
      <xdr:colOff>419100</xdr:colOff>
      <xdr:row>201</xdr:row>
      <xdr:rowOff>66675</xdr:rowOff>
    </xdr:to>
    <xdr:graphicFrame macro="">
      <xdr:nvGraphicFramePr>
        <xdr:cNvPr id="83" name="Graphique 1">
          <a:extLst>
            <a:ext uri="{FF2B5EF4-FFF2-40B4-BE49-F238E27FC236}">
              <a16:creationId xmlns:a16="http://schemas.microsoft.com/office/drawing/2014/main" id="{C2D5A893-3DAC-47F6-B79D-43A016CE6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8</xdr:col>
      <xdr:colOff>419100</xdr:colOff>
      <xdr:row>236</xdr:row>
      <xdr:rowOff>66675</xdr:rowOff>
    </xdr:from>
    <xdr:to>
      <xdr:col>8</xdr:col>
      <xdr:colOff>419100</xdr:colOff>
      <xdr:row>236</xdr:row>
      <xdr:rowOff>66675</xdr:rowOff>
    </xdr:to>
    <xdr:graphicFrame macro="">
      <xdr:nvGraphicFramePr>
        <xdr:cNvPr id="84" name="Graphique 1">
          <a:extLst>
            <a:ext uri="{FF2B5EF4-FFF2-40B4-BE49-F238E27FC236}">
              <a16:creationId xmlns:a16="http://schemas.microsoft.com/office/drawing/2014/main" id="{1E032450-1B23-4234-B1C6-F31979DAD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8</xdr:col>
      <xdr:colOff>419100</xdr:colOff>
      <xdr:row>209</xdr:row>
      <xdr:rowOff>66675</xdr:rowOff>
    </xdr:from>
    <xdr:to>
      <xdr:col>8</xdr:col>
      <xdr:colOff>419100</xdr:colOff>
      <xdr:row>209</xdr:row>
      <xdr:rowOff>66675</xdr:rowOff>
    </xdr:to>
    <xdr:graphicFrame macro="">
      <xdr:nvGraphicFramePr>
        <xdr:cNvPr id="85" name="Graphique 1">
          <a:extLst>
            <a:ext uri="{FF2B5EF4-FFF2-40B4-BE49-F238E27FC236}">
              <a16:creationId xmlns:a16="http://schemas.microsoft.com/office/drawing/2014/main" id="{3DEB0786-FB39-46AB-A413-F985D4B21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8</xdr:col>
      <xdr:colOff>419100</xdr:colOff>
      <xdr:row>285</xdr:row>
      <xdr:rowOff>66675</xdr:rowOff>
    </xdr:from>
    <xdr:to>
      <xdr:col>8</xdr:col>
      <xdr:colOff>419100</xdr:colOff>
      <xdr:row>285</xdr:row>
      <xdr:rowOff>66675</xdr:rowOff>
    </xdr:to>
    <xdr:graphicFrame macro="">
      <xdr:nvGraphicFramePr>
        <xdr:cNvPr id="86" name="Graphique 1">
          <a:extLst>
            <a:ext uri="{FF2B5EF4-FFF2-40B4-BE49-F238E27FC236}">
              <a16:creationId xmlns:a16="http://schemas.microsoft.com/office/drawing/2014/main" id="{0603DA7B-8F7F-4524-ABE6-CBD19F7D3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8</xdr:col>
      <xdr:colOff>419100</xdr:colOff>
      <xdr:row>259</xdr:row>
      <xdr:rowOff>66675</xdr:rowOff>
    </xdr:from>
    <xdr:to>
      <xdr:col>8</xdr:col>
      <xdr:colOff>419100</xdr:colOff>
      <xdr:row>259</xdr:row>
      <xdr:rowOff>66675</xdr:rowOff>
    </xdr:to>
    <xdr:graphicFrame macro="">
      <xdr:nvGraphicFramePr>
        <xdr:cNvPr id="87" name="Graphique 1">
          <a:extLst>
            <a:ext uri="{FF2B5EF4-FFF2-40B4-BE49-F238E27FC236}">
              <a16:creationId xmlns:a16="http://schemas.microsoft.com/office/drawing/2014/main" id="{CFFA9269-1357-4757-878A-2FC4AD53B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8</xdr:col>
      <xdr:colOff>419100</xdr:colOff>
      <xdr:row>211</xdr:row>
      <xdr:rowOff>66675</xdr:rowOff>
    </xdr:from>
    <xdr:to>
      <xdr:col>8</xdr:col>
      <xdr:colOff>419100</xdr:colOff>
      <xdr:row>211</xdr:row>
      <xdr:rowOff>66675</xdr:rowOff>
    </xdr:to>
    <xdr:graphicFrame macro="">
      <xdr:nvGraphicFramePr>
        <xdr:cNvPr id="88" name="Graphique 1">
          <a:extLst>
            <a:ext uri="{FF2B5EF4-FFF2-40B4-BE49-F238E27FC236}">
              <a16:creationId xmlns:a16="http://schemas.microsoft.com/office/drawing/2014/main" id="{BC81C3D7-B8BE-486B-A53A-9CC532188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8</xdr:col>
      <xdr:colOff>419100</xdr:colOff>
      <xdr:row>259</xdr:row>
      <xdr:rowOff>66675</xdr:rowOff>
    </xdr:from>
    <xdr:to>
      <xdr:col>8</xdr:col>
      <xdr:colOff>419100</xdr:colOff>
      <xdr:row>259</xdr:row>
      <xdr:rowOff>66675</xdr:rowOff>
    </xdr:to>
    <xdr:graphicFrame macro="">
      <xdr:nvGraphicFramePr>
        <xdr:cNvPr id="89" name="Graphique 1">
          <a:extLst>
            <a:ext uri="{FF2B5EF4-FFF2-40B4-BE49-F238E27FC236}">
              <a16:creationId xmlns:a16="http://schemas.microsoft.com/office/drawing/2014/main" id="{0DC84358-55C5-452B-9F7F-C856DC847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8</xdr:col>
      <xdr:colOff>419100</xdr:colOff>
      <xdr:row>292</xdr:row>
      <xdr:rowOff>66675</xdr:rowOff>
    </xdr:from>
    <xdr:to>
      <xdr:col>8</xdr:col>
      <xdr:colOff>419100</xdr:colOff>
      <xdr:row>292</xdr:row>
      <xdr:rowOff>66675</xdr:rowOff>
    </xdr:to>
    <xdr:graphicFrame macro="">
      <xdr:nvGraphicFramePr>
        <xdr:cNvPr id="90" name="Graphique 1">
          <a:extLst>
            <a:ext uri="{FF2B5EF4-FFF2-40B4-BE49-F238E27FC236}">
              <a16:creationId xmlns:a16="http://schemas.microsoft.com/office/drawing/2014/main" id="{043A94F1-20A4-40A6-B358-6071B7F1A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8</xdr:col>
      <xdr:colOff>419100</xdr:colOff>
      <xdr:row>265</xdr:row>
      <xdr:rowOff>66675</xdr:rowOff>
    </xdr:from>
    <xdr:to>
      <xdr:col>8</xdr:col>
      <xdr:colOff>419100</xdr:colOff>
      <xdr:row>265</xdr:row>
      <xdr:rowOff>66675</xdr:rowOff>
    </xdr:to>
    <xdr:graphicFrame macro="">
      <xdr:nvGraphicFramePr>
        <xdr:cNvPr id="91" name="Graphique 1">
          <a:extLst>
            <a:ext uri="{FF2B5EF4-FFF2-40B4-BE49-F238E27FC236}">
              <a16:creationId xmlns:a16="http://schemas.microsoft.com/office/drawing/2014/main" id="{46040A4A-F747-4428-816B-447705B5B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8</xdr:col>
      <xdr:colOff>419100</xdr:colOff>
      <xdr:row>234</xdr:row>
      <xdr:rowOff>66675</xdr:rowOff>
    </xdr:from>
    <xdr:to>
      <xdr:col>8</xdr:col>
      <xdr:colOff>419100</xdr:colOff>
      <xdr:row>234</xdr:row>
      <xdr:rowOff>66675</xdr:rowOff>
    </xdr:to>
    <xdr:graphicFrame macro="">
      <xdr:nvGraphicFramePr>
        <xdr:cNvPr id="92" name="Graphique 1">
          <a:extLst>
            <a:ext uri="{FF2B5EF4-FFF2-40B4-BE49-F238E27FC236}">
              <a16:creationId xmlns:a16="http://schemas.microsoft.com/office/drawing/2014/main" id="{554AE0EB-181E-40A1-BB2B-0E8674BCA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8</xdr:col>
      <xdr:colOff>419100</xdr:colOff>
      <xdr:row>208</xdr:row>
      <xdr:rowOff>66675</xdr:rowOff>
    </xdr:from>
    <xdr:to>
      <xdr:col>8</xdr:col>
      <xdr:colOff>419100</xdr:colOff>
      <xdr:row>208</xdr:row>
      <xdr:rowOff>66675</xdr:rowOff>
    </xdr:to>
    <xdr:graphicFrame macro="">
      <xdr:nvGraphicFramePr>
        <xdr:cNvPr id="93" name="Graphique 1">
          <a:extLst>
            <a:ext uri="{FF2B5EF4-FFF2-40B4-BE49-F238E27FC236}">
              <a16:creationId xmlns:a16="http://schemas.microsoft.com/office/drawing/2014/main" id="{E91C164D-9739-4F5B-8A18-CF360D8E2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8</xdr:col>
      <xdr:colOff>419100</xdr:colOff>
      <xdr:row>184</xdr:row>
      <xdr:rowOff>66675</xdr:rowOff>
    </xdr:from>
    <xdr:to>
      <xdr:col>8</xdr:col>
      <xdr:colOff>419100</xdr:colOff>
      <xdr:row>184</xdr:row>
      <xdr:rowOff>66675</xdr:rowOff>
    </xdr:to>
    <xdr:graphicFrame macro="">
      <xdr:nvGraphicFramePr>
        <xdr:cNvPr id="94" name="Graphique 1">
          <a:extLst>
            <a:ext uri="{FF2B5EF4-FFF2-40B4-BE49-F238E27FC236}">
              <a16:creationId xmlns:a16="http://schemas.microsoft.com/office/drawing/2014/main" id="{FA2728A6-D2C1-45D8-8220-BEC0BF0A1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8</xdr:col>
      <xdr:colOff>419100</xdr:colOff>
      <xdr:row>208</xdr:row>
      <xdr:rowOff>66675</xdr:rowOff>
    </xdr:from>
    <xdr:to>
      <xdr:col>8</xdr:col>
      <xdr:colOff>419100</xdr:colOff>
      <xdr:row>208</xdr:row>
      <xdr:rowOff>66675</xdr:rowOff>
    </xdr:to>
    <xdr:graphicFrame macro="">
      <xdr:nvGraphicFramePr>
        <xdr:cNvPr id="95" name="Graphique 1">
          <a:extLst>
            <a:ext uri="{FF2B5EF4-FFF2-40B4-BE49-F238E27FC236}">
              <a16:creationId xmlns:a16="http://schemas.microsoft.com/office/drawing/2014/main" id="{B7796C01-D2A4-48EE-B56E-76BED04B7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96" name="Graphique 1">
          <a:extLst>
            <a:ext uri="{FF2B5EF4-FFF2-40B4-BE49-F238E27FC236}">
              <a16:creationId xmlns:a16="http://schemas.microsoft.com/office/drawing/2014/main" id="{1BD0095F-1278-4E5C-B9AC-9D2A20B5E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8</xdr:col>
      <xdr:colOff>419100</xdr:colOff>
      <xdr:row>212</xdr:row>
      <xdr:rowOff>66675</xdr:rowOff>
    </xdr:from>
    <xdr:to>
      <xdr:col>8</xdr:col>
      <xdr:colOff>419100</xdr:colOff>
      <xdr:row>212</xdr:row>
      <xdr:rowOff>66675</xdr:rowOff>
    </xdr:to>
    <xdr:graphicFrame macro="">
      <xdr:nvGraphicFramePr>
        <xdr:cNvPr id="97" name="Graphique 1">
          <a:extLst>
            <a:ext uri="{FF2B5EF4-FFF2-40B4-BE49-F238E27FC236}">
              <a16:creationId xmlns:a16="http://schemas.microsoft.com/office/drawing/2014/main" id="{7C1C2463-6D4E-4163-946B-86E15AB2C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</xdr:col>
      <xdr:colOff>103908</xdr:colOff>
      <xdr:row>82</xdr:row>
      <xdr:rowOff>126421</xdr:rowOff>
    </xdr:from>
    <xdr:to>
      <xdr:col>20</xdr:col>
      <xdr:colOff>242454</xdr:colOff>
      <xdr:row>120</xdr:row>
      <xdr:rowOff>34635</xdr:rowOff>
    </xdr:to>
    <xdr:graphicFrame macro="">
      <xdr:nvGraphicFramePr>
        <xdr:cNvPr id="98" name="Graphique 97">
          <a:extLst>
            <a:ext uri="{FF2B5EF4-FFF2-40B4-BE49-F238E27FC236}">
              <a16:creationId xmlns:a16="http://schemas.microsoft.com/office/drawing/2014/main" id="{76F9ECC9-C464-4DF9-A532-613D2533F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</xdr:col>
      <xdr:colOff>639537</xdr:colOff>
      <xdr:row>118</xdr:row>
      <xdr:rowOff>122463</xdr:rowOff>
    </xdr:from>
    <xdr:to>
      <xdr:col>16</xdr:col>
      <xdr:colOff>122465</xdr:colOff>
      <xdr:row>147</xdr:row>
      <xdr:rowOff>122464</xdr:rowOff>
    </xdr:to>
    <xdr:graphicFrame macro="">
      <xdr:nvGraphicFramePr>
        <xdr:cNvPr id="99" name="Graphique 3">
          <a:extLst>
            <a:ext uri="{FF2B5EF4-FFF2-40B4-BE49-F238E27FC236}">
              <a16:creationId xmlns:a16="http://schemas.microsoft.com/office/drawing/2014/main" id="{4532CFD7-B405-463C-9F61-11336EEF5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2</xdr:col>
      <xdr:colOff>595312</xdr:colOff>
      <xdr:row>149</xdr:row>
      <xdr:rowOff>64724</xdr:rowOff>
    </xdr:from>
    <xdr:to>
      <xdr:col>16</xdr:col>
      <xdr:colOff>381000</xdr:colOff>
      <xdr:row>174</xdr:row>
      <xdr:rowOff>43295</xdr:rowOff>
    </xdr:to>
    <xdr:graphicFrame macro="">
      <xdr:nvGraphicFramePr>
        <xdr:cNvPr id="100" name="Graphique 99">
          <a:extLst>
            <a:ext uri="{FF2B5EF4-FFF2-40B4-BE49-F238E27FC236}">
              <a16:creationId xmlns:a16="http://schemas.microsoft.com/office/drawing/2014/main" id="{4DF7FBD0-4EB1-4DA5-A0FC-C7C9D75AC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15</xdr:col>
      <xdr:colOff>979714</xdr:colOff>
      <xdr:row>68</xdr:row>
      <xdr:rowOff>69373</xdr:rowOff>
    </xdr:from>
    <xdr:to>
      <xdr:col>25</xdr:col>
      <xdr:colOff>139564</xdr:colOff>
      <xdr:row>97</xdr:row>
      <xdr:rowOff>95250</xdr:rowOff>
    </xdr:to>
    <xdr:graphicFrame macro="">
      <xdr:nvGraphicFramePr>
        <xdr:cNvPr id="101" name="Graphique 100">
          <a:extLst>
            <a:ext uri="{FF2B5EF4-FFF2-40B4-BE49-F238E27FC236}">
              <a16:creationId xmlns:a16="http://schemas.microsoft.com/office/drawing/2014/main" id="{D8C4EC60-EA21-44F3-921C-96294342E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9</xdr:col>
      <xdr:colOff>449035</xdr:colOff>
      <xdr:row>2</xdr:row>
      <xdr:rowOff>95250</xdr:rowOff>
    </xdr:from>
    <xdr:to>
      <xdr:col>19</xdr:col>
      <xdr:colOff>585108</xdr:colOff>
      <xdr:row>5</xdr:row>
      <xdr:rowOff>136072</xdr:rowOff>
    </xdr:to>
    <xdr:sp macro="" textlink="">
      <xdr:nvSpPr>
        <xdr:cNvPr id="102" name="ZoneTexte 101">
          <a:extLst>
            <a:ext uri="{FF2B5EF4-FFF2-40B4-BE49-F238E27FC236}">
              <a16:creationId xmlns:a16="http://schemas.microsoft.com/office/drawing/2014/main" id="{228A698B-51FB-418E-ACBA-5EA00860813A}"/>
            </a:ext>
          </a:extLst>
        </xdr:cNvPr>
        <xdr:cNvSpPr txBox="1"/>
      </xdr:nvSpPr>
      <xdr:spPr>
        <a:xfrm>
          <a:off x="10476955" y="529590"/>
          <a:ext cx="7599863" cy="555172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 i="1">
              <a:solidFill>
                <a:sysClr val="windowText" lastClr="000000"/>
              </a:solidFill>
            </a:rPr>
            <a:t>Les cellules en bleu magenta sont à renseigner par l'utilisateur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22</xdr:row>
      <xdr:rowOff>66675</xdr:rowOff>
    </xdr:from>
    <xdr:to>
      <xdr:col>8</xdr:col>
      <xdr:colOff>419100</xdr:colOff>
      <xdr:row>22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2B4FF3-13F9-474D-A33B-4DC05C946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23</xdr:row>
      <xdr:rowOff>85725</xdr:rowOff>
    </xdr:from>
    <xdr:to>
      <xdr:col>12</xdr:col>
      <xdr:colOff>419100</xdr:colOff>
      <xdr:row>23</xdr:row>
      <xdr:rowOff>85725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C163924-FD4D-4FA9-88C3-6A9CEE7FB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571500</xdr:colOff>
      <xdr:row>30</xdr:row>
      <xdr:rowOff>63542</xdr:rowOff>
    </xdr:from>
    <xdr:to>
      <xdr:col>20</xdr:col>
      <xdr:colOff>225136</xdr:colOff>
      <xdr:row>52</xdr:row>
      <xdr:rowOff>86591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897576A-7B29-4C0F-BBA9-36311F762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0</xdr:colOff>
      <xdr:row>18</xdr:row>
      <xdr:rowOff>38100</xdr:rowOff>
    </xdr:to>
    <xdr:graphicFrame macro="">
      <xdr:nvGraphicFramePr>
        <xdr:cNvPr id="5" name="Graphique 9" hidden="1">
          <a:extLst>
            <a:ext uri="{FF2B5EF4-FFF2-40B4-BE49-F238E27FC236}">
              <a16:creationId xmlns:a16="http://schemas.microsoft.com/office/drawing/2014/main" id="{FFB48165-A621-46BC-B8D7-B56D19134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34</xdr:col>
      <xdr:colOff>0</xdr:colOff>
      <xdr:row>18</xdr:row>
      <xdr:rowOff>38100</xdr:rowOff>
    </xdr:to>
    <xdr:graphicFrame macro="">
      <xdr:nvGraphicFramePr>
        <xdr:cNvPr id="6" name="Graphique 10" hidden="1">
          <a:extLst>
            <a:ext uri="{FF2B5EF4-FFF2-40B4-BE49-F238E27FC236}">
              <a16:creationId xmlns:a16="http://schemas.microsoft.com/office/drawing/2014/main" id="{DCE17D89-3D8A-4C06-99F1-8043BCF8C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40</xdr:col>
      <xdr:colOff>0</xdr:colOff>
      <xdr:row>18</xdr:row>
      <xdr:rowOff>38100</xdr:rowOff>
    </xdr:to>
    <xdr:graphicFrame macro="">
      <xdr:nvGraphicFramePr>
        <xdr:cNvPr id="7" name="Graphique 11" hidden="1">
          <a:extLst>
            <a:ext uri="{FF2B5EF4-FFF2-40B4-BE49-F238E27FC236}">
              <a16:creationId xmlns:a16="http://schemas.microsoft.com/office/drawing/2014/main" id="{362DDA0B-7B2B-4855-A7B4-74532F615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0</xdr:colOff>
      <xdr:row>18</xdr:row>
      <xdr:rowOff>38100</xdr:rowOff>
    </xdr:to>
    <xdr:graphicFrame macro="">
      <xdr:nvGraphicFramePr>
        <xdr:cNvPr id="8" name="Graphique 12" hidden="1">
          <a:extLst>
            <a:ext uri="{FF2B5EF4-FFF2-40B4-BE49-F238E27FC236}">
              <a16:creationId xmlns:a16="http://schemas.microsoft.com/office/drawing/2014/main" id="{7FE2B7DC-4E3C-44C6-89DB-3C409791A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52</xdr:col>
      <xdr:colOff>0</xdr:colOff>
      <xdr:row>18</xdr:row>
      <xdr:rowOff>38100</xdr:rowOff>
    </xdr:to>
    <xdr:graphicFrame macro="">
      <xdr:nvGraphicFramePr>
        <xdr:cNvPr id="9" name="Graphique 13" hidden="1">
          <a:extLst>
            <a:ext uri="{FF2B5EF4-FFF2-40B4-BE49-F238E27FC236}">
              <a16:creationId xmlns:a16="http://schemas.microsoft.com/office/drawing/2014/main" id="{62ED0391-CFE1-44F1-9189-2B27047D8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58</xdr:col>
      <xdr:colOff>0</xdr:colOff>
      <xdr:row>18</xdr:row>
      <xdr:rowOff>38100</xdr:rowOff>
    </xdr:to>
    <xdr:graphicFrame macro="">
      <xdr:nvGraphicFramePr>
        <xdr:cNvPr id="10" name="Graphique 14" hidden="1">
          <a:extLst>
            <a:ext uri="{FF2B5EF4-FFF2-40B4-BE49-F238E27FC236}">
              <a16:creationId xmlns:a16="http://schemas.microsoft.com/office/drawing/2014/main" id="{8BB548D0-ADDC-486E-9185-3153F7F93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18</xdr:row>
      <xdr:rowOff>38100</xdr:rowOff>
    </xdr:from>
    <xdr:to>
      <xdr:col>34</xdr:col>
      <xdr:colOff>0</xdr:colOff>
      <xdr:row>38</xdr:row>
      <xdr:rowOff>0</xdr:rowOff>
    </xdr:to>
    <xdr:graphicFrame macro="">
      <xdr:nvGraphicFramePr>
        <xdr:cNvPr id="11" name="Graphique 15" hidden="1">
          <a:extLst>
            <a:ext uri="{FF2B5EF4-FFF2-40B4-BE49-F238E27FC236}">
              <a16:creationId xmlns:a16="http://schemas.microsoft.com/office/drawing/2014/main" id="{0085A0B9-8563-40ED-9145-01B6A3092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18</xdr:row>
      <xdr:rowOff>38100</xdr:rowOff>
    </xdr:from>
    <xdr:to>
      <xdr:col>40</xdr:col>
      <xdr:colOff>0</xdr:colOff>
      <xdr:row>38</xdr:row>
      <xdr:rowOff>0</xdr:rowOff>
    </xdr:to>
    <xdr:graphicFrame macro="">
      <xdr:nvGraphicFramePr>
        <xdr:cNvPr id="12" name="Graphique 16" hidden="1">
          <a:extLst>
            <a:ext uri="{FF2B5EF4-FFF2-40B4-BE49-F238E27FC236}">
              <a16:creationId xmlns:a16="http://schemas.microsoft.com/office/drawing/2014/main" id="{0127AFA9-7763-42FC-8E27-4E7481404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0</xdr:colOff>
      <xdr:row>18</xdr:row>
      <xdr:rowOff>38100</xdr:rowOff>
    </xdr:from>
    <xdr:to>
      <xdr:col>46</xdr:col>
      <xdr:colOff>0</xdr:colOff>
      <xdr:row>38</xdr:row>
      <xdr:rowOff>0</xdr:rowOff>
    </xdr:to>
    <xdr:graphicFrame macro="">
      <xdr:nvGraphicFramePr>
        <xdr:cNvPr id="13" name="Graphique 17" hidden="1">
          <a:extLst>
            <a:ext uri="{FF2B5EF4-FFF2-40B4-BE49-F238E27FC236}">
              <a16:creationId xmlns:a16="http://schemas.microsoft.com/office/drawing/2014/main" id="{EF49C1CE-37ED-4044-AE3E-79EE2E6DB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0</xdr:colOff>
      <xdr:row>18</xdr:row>
      <xdr:rowOff>38100</xdr:rowOff>
    </xdr:from>
    <xdr:to>
      <xdr:col>52</xdr:col>
      <xdr:colOff>0</xdr:colOff>
      <xdr:row>38</xdr:row>
      <xdr:rowOff>0</xdr:rowOff>
    </xdr:to>
    <xdr:graphicFrame macro="">
      <xdr:nvGraphicFramePr>
        <xdr:cNvPr id="14" name="Graphique 18" hidden="1">
          <a:extLst>
            <a:ext uri="{FF2B5EF4-FFF2-40B4-BE49-F238E27FC236}">
              <a16:creationId xmlns:a16="http://schemas.microsoft.com/office/drawing/2014/main" id="{095ED5F4-1DBE-4FA4-967B-C8C9C47C2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0</xdr:colOff>
      <xdr:row>18</xdr:row>
      <xdr:rowOff>38100</xdr:rowOff>
    </xdr:from>
    <xdr:to>
      <xdr:col>58</xdr:col>
      <xdr:colOff>0</xdr:colOff>
      <xdr:row>38</xdr:row>
      <xdr:rowOff>0</xdr:rowOff>
    </xdr:to>
    <xdr:graphicFrame macro="">
      <xdr:nvGraphicFramePr>
        <xdr:cNvPr id="15" name="Graphique 19" hidden="1">
          <a:extLst>
            <a:ext uri="{FF2B5EF4-FFF2-40B4-BE49-F238E27FC236}">
              <a16:creationId xmlns:a16="http://schemas.microsoft.com/office/drawing/2014/main" id="{63DBECF0-7CA4-40D9-8AE1-1E0657809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0</xdr:colOff>
      <xdr:row>38</xdr:row>
      <xdr:rowOff>0</xdr:rowOff>
    </xdr:from>
    <xdr:to>
      <xdr:col>40</xdr:col>
      <xdr:colOff>0</xdr:colOff>
      <xdr:row>57</xdr:row>
      <xdr:rowOff>95250</xdr:rowOff>
    </xdr:to>
    <xdr:graphicFrame macro="">
      <xdr:nvGraphicFramePr>
        <xdr:cNvPr id="16" name="Graphique 20" hidden="1">
          <a:extLst>
            <a:ext uri="{FF2B5EF4-FFF2-40B4-BE49-F238E27FC236}">
              <a16:creationId xmlns:a16="http://schemas.microsoft.com/office/drawing/2014/main" id="{E5BE1DD8-18EE-419B-B371-9868C98A5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38</xdr:row>
      <xdr:rowOff>0</xdr:rowOff>
    </xdr:from>
    <xdr:to>
      <xdr:col>46</xdr:col>
      <xdr:colOff>0</xdr:colOff>
      <xdr:row>57</xdr:row>
      <xdr:rowOff>95250</xdr:rowOff>
    </xdr:to>
    <xdr:graphicFrame macro="">
      <xdr:nvGraphicFramePr>
        <xdr:cNvPr id="17" name="Graphique 21" hidden="1">
          <a:extLst>
            <a:ext uri="{FF2B5EF4-FFF2-40B4-BE49-F238E27FC236}">
              <a16:creationId xmlns:a16="http://schemas.microsoft.com/office/drawing/2014/main" id="{57E66F40-5FA7-4E84-B313-D0C5DE84F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0</xdr:colOff>
      <xdr:row>38</xdr:row>
      <xdr:rowOff>0</xdr:rowOff>
    </xdr:from>
    <xdr:to>
      <xdr:col>52</xdr:col>
      <xdr:colOff>0</xdr:colOff>
      <xdr:row>57</xdr:row>
      <xdr:rowOff>95250</xdr:rowOff>
    </xdr:to>
    <xdr:graphicFrame macro="">
      <xdr:nvGraphicFramePr>
        <xdr:cNvPr id="18" name="Graphique 22" hidden="1">
          <a:extLst>
            <a:ext uri="{FF2B5EF4-FFF2-40B4-BE49-F238E27FC236}">
              <a16:creationId xmlns:a16="http://schemas.microsoft.com/office/drawing/2014/main" id="{39A5E347-17C2-4A09-A65A-D1E9544CA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52</xdr:col>
      <xdr:colOff>0</xdr:colOff>
      <xdr:row>38</xdr:row>
      <xdr:rowOff>0</xdr:rowOff>
    </xdr:from>
    <xdr:to>
      <xdr:col>58</xdr:col>
      <xdr:colOff>0</xdr:colOff>
      <xdr:row>57</xdr:row>
      <xdr:rowOff>95250</xdr:rowOff>
    </xdr:to>
    <xdr:graphicFrame macro="">
      <xdr:nvGraphicFramePr>
        <xdr:cNvPr id="19" name="Graphique 23" hidden="1">
          <a:extLst>
            <a:ext uri="{FF2B5EF4-FFF2-40B4-BE49-F238E27FC236}">
              <a16:creationId xmlns:a16="http://schemas.microsoft.com/office/drawing/2014/main" id="{02F6C6A0-CD5E-4134-AE60-AB037DE7F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0</xdr:colOff>
      <xdr:row>57</xdr:row>
      <xdr:rowOff>95250</xdr:rowOff>
    </xdr:from>
    <xdr:to>
      <xdr:col>46</xdr:col>
      <xdr:colOff>0</xdr:colOff>
      <xdr:row>77</xdr:row>
      <xdr:rowOff>133350</xdr:rowOff>
    </xdr:to>
    <xdr:graphicFrame macro="">
      <xdr:nvGraphicFramePr>
        <xdr:cNvPr id="20" name="Graphique 24" hidden="1">
          <a:extLst>
            <a:ext uri="{FF2B5EF4-FFF2-40B4-BE49-F238E27FC236}">
              <a16:creationId xmlns:a16="http://schemas.microsoft.com/office/drawing/2014/main" id="{3F80C45D-57EF-494F-B843-5C97238A1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0</xdr:colOff>
      <xdr:row>57</xdr:row>
      <xdr:rowOff>95250</xdr:rowOff>
    </xdr:from>
    <xdr:to>
      <xdr:col>52</xdr:col>
      <xdr:colOff>0</xdr:colOff>
      <xdr:row>77</xdr:row>
      <xdr:rowOff>133350</xdr:rowOff>
    </xdr:to>
    <xdr:graphicFrame macro="">
      <xdr:nvGraphicFramePr>
        <xdr:cNvPr id="21" name="Graphique 25" hidden="1">
          <a:extLst>
            <a:ext uri="{FF2B5EF4-FFF2-40B4-BE49-F238E27FC236}">
              <a16:creationId xmlns:a16="http://schemas.microsoft.com/office/drawing/2014/main" id="{D780E30F-1D2B-42E0-9627-48D679AE0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52</xdr:col>
      <xdr:colOff>0</xdr:colOff>
      <xdr:row>57</xdr:row>
      <xdr:rowOff>95250</xdr:rowOff>
    </xdr:from>
    <xdr:to>
      <xdr:col>58</xdr:col>
      <xdr:colOff>0</xdr:colOff>
      <xdr:row>77</xdr:row>
      <xdr:rowOff>133350</xdr:rowOff>
    </xdr:to>
    <xdr:graphicFrame macro="">
      <xdr:nvGraphicFramePr>
        <xdr:cNvPr id="22" name="Graphique 26" hidden="1">
          <a:extLst>
            <a:ext uri="{FF2B5EF4-FFF2-40B4-BE49-F238E27FC236}">
              <a16:creationId xmlns:a16="http://schemas.microsoft.com/office/drawing/2014/main" id="{875C33B7-02EB-48A1-BEAF-306FB497D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0</xdr:colOff>
      <xdr:row>77</xdr:row>
      <xdr:rowOff>133350</xdr:rowOff>
    </xdr:from>
    <xdr:to>
      <xdr:col>52</xdr:col>
      <xdr:colOff>0</xdr:colOff>
      <xdr:row>97</xdr:row>
      <xdr:rowOff>133350</xdr:rowOff>
    </xdr:to>
    <xdr:graphicFrame macro="">
      <xdr:nvGraphicFramePr>
        <xdr:cNvPr id="23" name="Graphique 27" hidden="1">
          <a:extLst>
            <a:ext uri="{FF2B5EF4-FFF2-40B4-BE49-F238E27FC236}">
              <a16:creationId xmlns:a16="http://schemas.microsoft.com/office/drawing/2014/main" id="{BDA1B111-275F-42D7-9EE5-63734FB5A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52</xdr:col>
      <xdr:colOff>0</xdr:colOff>
      <xdr:row>77</xdr:row>
      <xdr:rowOff>133350</xdr:rowOff>
    </xdr:from>
    <xdr:to>
      <xdr:col>58</xdr:col>
      <xdr:colOff>0</xdr:colOff>
      <xdr:row>97</xdr:row>
      <xdr:rowOff>133350</xdr:rowOff>
    </xdr:to>
    <xdr:graphicFrame macro="">
      <xdr:nvGraphicFramePr>
        <xdr:cNvPr id="24" name="Graphique 28" hidden="1">
          <a:extLst>
            <a:ext uri="{FF2B5EF4-FFF2-40B4-BE49-F238E27FC236}">
              <a16:creationId xmlns:a16="http://schemas.microsoft.com/office/drawing/2014/main" id="{495CCE56-E0A7-4D06-8033-733ACBDDE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52</xdr:col>
      <xdr:colOff>0</xdr:colOff>
      <xdr:row>97</xdr:row>
      <xdr:rowOff>133350</xdr:rowOff>
    </xdr:from>
    <xdr:to>
      <xdr:col>58</xdr:col>
      <xdr:colOff>0</xdr:colOff>
      <xdr:row>117</xdr:row>
      <xdr:rowOff>133350</xdr:rowOff>
    </xdr:to>
    <xdr:graphicFrame macro="">
      <xdr:nvGraphicFramePr>
        <xdr:cNvPr id="25" name="Graphique 30" hidden="1">
          <a:extLst>
            <a:ext uri="{FF2B5EF4-FFF2-40B4-BE49-F238E27FC236}">
              <a16:creationId xmlns:a16="http://schemas.microsoft.com/office/drawing/2014/main" id="{A40F526B-8BC8-4E6E-AE52-A45AC2D6C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180975</xdr:colOff>
      <xdr:row>15</xdr:row>
      <xdr:rowOff>47625</xdr:rowOff>
    </xdr:from>
    <xdr:to>
      <xdr:col>8</xdr:col>
      <xdr:colOff>152400</xdr:colOff>
      <xdr:row>16</xdr:row>
      <xdr:rowOff>123825</xdr:rowOff>
    </xdr:to>
    <xdr:sp macro="" textlink="">
      <xdr:nvSpPr>
        <xdr:cNvPr id="26" name="Texte 32">
          <a:extLst>
            <a:ext uri="{FF2B5EF4-FFF2-40B4-BE49-F238E27FC236}">
              <a16:creationId xmlns:a16="http://schemas.microsoft.com/office/drawing/2014/main" id="{FD1F7AD2-44E1-44E3-8F3C-6083CDC4073A}"/>
            </a:ext>
          </a:extLst>
        </xdr:cNvPr>
        <xdr:cNvSpPr txBox="1">
          <a:spLocks noChangeArrowheads="1"/>
        </xdr:cNvSpPr>
      </xdr:nvSpPr>
      <xdr:spPr bwMode="auto">
        <a:xfrm>
          <a:off x="1807845" y="2745105"/>
          <a:ext cx="7174230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Plan complet : Colonnes 1, 2, 4                  Plan résolution IV : Colonnes impaires ou 1, 2, 4, 7</a:t>
          </a:r>
        </a:p>
      </xdr:txBody>
    </xdr:sp>
    <xdr:clientData/>
  </xdr:twoCellAnchor>
  <xdr:twoCellAnchor>
    <xdr:from>
      <xdr:col>8</xdr:col>
      <xdr:colOff>419100</xdr:colOff>
      <xdr:row>184</xdr:row>
      <xdr:rowOff>66675</xdr:rowOff>
    </xdr:from>
    <xdr:to>
      <xdr:col>8</xdr:col>
      <xdr:colOff>419100</xdr:colOff>
      <xdr:row>184</xdr:row>
      <xdr:rowOff>66675</xdr:rowOff>
    </xdr:to>
    <xdr:graphicFrame macro="">
      <xdr:nvGraphicFramePr>
        <xdr:cNvPr id="27" name="Graphique 1">
          <a:extLst>
            <a:ext uri="{FF2B5EF4-FFF2-40B4-BE49-F238E27FC236}">
              <a16:creationId xmlns:a16="http://schemas.microsoft.com/office/drawing/2014/main" id="{68BE2E28-78F1-4FE2-997B-E3CB84CD4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419100</xdr:colOff>
      <xdr:row>188</xdr:row>
      <xdr:rowOff>66675</xdr:rowOff>
    </xdr:from>
    <xdr:to>
      <xdr:col>8</xdr:col>
      <xdr:colOff>419100</xdr:colOff>
      <xdr:row>188</xdr:row>
      <xdr:rowOff>66675</xdr:rowOff>
    </xdr:to>
    <xdr:graphicFrame macro="">
      <xdr:nvGraphicFramePr>
        <xdr:cNvPr id="28" name="Graphique 1">
          <a:extLst>
            <a:ext uri="{FF2B5EF4-FFF2-40B4-BE49-F238E27FC236}">
              <a16:creationId xmlns:a16="http://schemas.microsoft.com/office/drawing/2014/main" id="{BEBC2B31-3923-480C-9D1B-1D23C93C0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419100</xdr:colOff>
      <xdr:row>194</xdr:row>
      <xdr:rowOff>66675</xdr:rowOff>
    </xdr:from>
    <xdr:to>
      <xdr:col>8</xdr:col>
      <xdr:colOff>419100</xdr:colOff>
      <xdr:row>194</xdr:row>
      <xdr:rowOff>66675</xdr:rowOff>
    </xdr:to>
    <xdr:graphicFrame macro="">
      <xdr:nvGraphicFramePr>
        <xdr:cNvPr id="29" name="Graphique 1">
          <a:extLst>
            <a:ext uri="{FF2B5EF4-FFF2-40B4-BE49-F238E27FC236}">
              <a16:creationId xmlns:a16="http://schemas.microsoft.com/office/drawing/2014/main" id="{3513099E-1AF8-42EB-AD25-9FD8B02DB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419100</xdr:colOff>
      <xdr:row>198</xdr:row>
      <xdr:rowOff>66675</xdr:rowOff>
    </xdr:from>
    <xdr:to>
      <xdr:col>8</xdr:col>
      <xdr:colOff>419100</xdr:colOff>
      <xdr:row>198</xdr:row>
      <xdr:rowOff>66675</xdr:rowOff>
    </xdr:to>
    <xdr:graphicFrame macro="">
      <xdr:nvGraphicFramePr>
        <xdr:cNvPr id="30" name="Graphique 1">
          <a:extLst>
            <a:ext uri="{FF2B5EF4-FFF2-40B4-BE49-F238E27FC236}">
              <a16:creationId xmlns:a16="http://schemas.microsoft.com/office/drawing/2014/main" id="{8CE501F9-AC72-4C1D-8149-FA89C6425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419100</xdr:colOff>
      <xdr:row>203</xdr:row>
      <xdr:rowOff>66675</xdr:rowOff>
    </xdr:from>
    <xdr:to>
      <xdr:col>8</xdr:col>
      <xdr:colOff>419100</xdr:colOff>
      <xdr:row>203</xdr:row>
      <xdr:rowOff>66675</xdr:rowOff>
    </xdr:to>
    <xdr:graphicFrame macro="">
      <xdr:nvGraphicFramePr>
        <xdr:cNvPr id="31" name="Graphique 1">
          <a:extLst>
            <a:ext uri="{FF2B5EF4-FFF2-40B4-BE49-F238E27FC236}">
              <a16:creationId xmlns:a16="http://schemas.microsoft.com/office/drawing/2014/main" id="{282E2806-7639-46CB-AEDE-6356DDDC9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419100</xdr:colOff>
      <xdr:row>207</xdr:row>
      <xdr:rowOff>66675</xdr:rowOff>
    </xdr:from>
    <xdr:to>
      <xdr:col>8</xdr:col>
      <xdr:colOff>419100</xdr:colOff>
      <xdr:row>207</xdr:row>
      <xdr:rowOff>66675</xdr:rowOff>
    </xdr:to>
    <xdr:graphicFrame macro="">
      <xdr:nvGraphicFramePr>
        <xdr:cNvPr id="32" name="Graphique 1">
          <a:extLst>
            <a:ext uri="{FF2B5EF4-FFF2-40B4-BE49-F238E27FC236}">
              <a16:creationId xmlns:a16="http://schemas.microsoft.com/office/drawing/2014/main" id="{EB4583A0-0592-4111-884E-0422A27DF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419100</xdr:colOff>
      <xdr:row>213</xdr:row>
      <xdr:rowOff>66675</xdr:rowOff>
    </xdr:from>
    <xdr:to>
      <xdr:col>8</xdr:col>
      <xdr:colOff>419100</xdr:colOff>
      <xdr:row>213</xdr:row>
      <xdr:rowOff>66675</xdr:rowOff>
    </xdr:to>
    <xdr:graphicFrame macro="">
      <xdr:nvGraphicFramePr>
        <xdr:cNvPr id="33" name="Graphique 1">
          <a:extLst>
            <a:ext uri="{FF2B5EF4-FFF2-40B4-BE49-F238E27FC236}">
              <a16:creationId xmlns:a16="http://schemas.microsoft.com/office/drawing/2014/main" id="{333D53DA-98BC-45F0-BE77-8129999E4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419100</xdr:colOff>
      <xdr:row>217</xdr:row>
      <xdr:rowOff>66675</xdr:rowOff>
    </xdr:from>
    <xdr:to>
      <xdr:col>8</xdr:col>
      <xdr:colOff>419100</xdr:colOff>
      <xdr:row>217</xdr:row>
      <xdr:rowOff>66675</xdr:rowOff>
    </xdr:to>
    <xdr:graphicFrame macro="">
      <xdr:nvGraphicFramePr>
        <xdr:cNvPr id="34" name="Graphique 1">
          <a:extLst>
            <a:ext uri="{FF2B5EF4-FFF2-40B4-BE49-F238E27FC236}">
              <a16:creationId xmlns:a16="http://schemas.microsoft.com/office/drawing/2014/main" id="{DDD7BC8C-11AA-4CBA-93BB-27D937E6E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419100</xdr:colOff>
      <xdr:row>223</xdr:row>
      <xdr:rowOff>66675</xdr:rowOff>
    </xdr:from>
    <xdr:to>
      <xdr:col>8</xdr:col>
      <xdr:colOff>419100</xdr:colOff>
      <xdr:row>223</xdr:row>
      <xdr:rowOff>66675</xdr:rowOff>
    </xdr:to>
    <xdr:graphicFrame macro="">
      <xdr:nvGraphicFramePr>
        <xdr:cNvPr id="35" name="Graphique 1">
          <a:extLst>
            <a:ext uri="{FF2B5EF4-FFF2-40B4-BE49-F238E27FC236}">
              <a16:creationId xmlns:a16="http://schemas.microsoft.com/office/drawing/2014/main" id="{7334C9F3-4855-4179-8120-21E2BDA64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419100</xdr:colOff>
      <xdr:row>227</xdr:row>
      <xdr:rowOff>66675</xdr:rowOff>
    </xdr:from>
    <xdr:to>
      <xdr:col>8</xdr:col>
      <xdr:colOff>419100</xdr:colOff>
      <xdr:row>227</xdr:row>
      <xdr:rowOff>66675</xdr:rowOff>
    </xdr:to>
    <xdr:graphicFrame macro="">
      <xdr:nvGraphicFramePr>
        <xdr:cNvPr id="36" name="Graphique 1">
          <a:extLst>
            <a:ext uri="{FF2B5EF4-FFF2-40B4-BE49-F238E27FC236}">
              <a16:creationId xmlns:a16="http://schemas.microsoft.com/office/drawing/2014/main" id="{6B624582-B837-4204-A975-D12CF8438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419100</xdr:colOff>
      <xdr:row>233</xdr:row>
      <xdr:rowOff>66675</xdr:rowOff>
    </xdr:from>
    <xdr:to>
      <xdr:col>8</xdr:col>
      <xdr:colOff>419100</xdr:colOff>
      <xdr:row>233</xdr:row>
      <xdr:rowOff>66675</xdr:rowOff>
    </xdr:to>
    <xdr:graphicFrame macro="">
      <xdr:nvGraphicFramePr>
        <xdr:cNvPr id="37" name="Graphique 1">
          <a:extLst>
            <a:ext uri="{FF2B5EF4-FFF2-40B4-BE49-F238E27FC236}">
              <a16:creationId xmlns:a16="http://schemas.microsoft.com/office/drawing/2014/main" id="{2CB5AB00-9367-4879-B895-E54FE69AC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419100</xdr:colOff>
      <xdr:row>237</xdr:row>
      <xdr:rowOff>66675</xdr:rowOff>
    </xdr:from>
    <xdr:to>
      <xdr:col>8</xdr:col>
      <xdr:colOff>419100</xdr:colOff>
      <xdr:row>237</xdr:row>
      <xdr:rowOff>66675</xdr:rowOff>
    </xdr:to>
    <xdr:graphicFrame macro="">
      <xdr:nvGraphicFramePr>
        <xdr:cNvPr id="38" name="Graphique 1">
          <a:extLst>
            <a:ext uri="{FF2B5EF4-FFF2-40B4-BE49-F238E27FC236}">
              <a16:creationId xmlns:a16="http://schemas.microsoft.com/office/drawing/2014/main" id="{F3213398-6E90-4DAD-BC7A-922A9BACB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39" name="Graphique 1">
          <a:extLst>
            <a:ext uri="{FF2B5EF4-FFF2-40B4-BE49-F238E27FC236}">
              <a16:creationId xmlns:a16="http://schemas.microsoft.com/office/drawing/2014/main" id="{160DC7E2-96EF-4327-984D-C1FADA929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419100</xdr:colOff>
      <xdr:row>246</xdr:row>
      <xdr:rowOff>66675</xdr:rowOff>
    </xdr:from>
    <xdr:to>
      <xdr:col>8</xdr:col>
      <xdr:colOff>419100</xdr:colOff>
      <xdr:row>246</xdr:row>
      <xdr:rowOff>66675</xdr:rowOff>
    </xdr:to>
    <xdr:graphicFrame macro="">
      <xdr:nvGraphicFramePr>
        <xdr:cNvPr id="40" name="Graphique 1">
          <a:extLst>
            <a:ext uri="{FF2B5EF4-FFF2-40B4-BE49-F238E27FC236}">
              <a16:creationId xmlns:a16="http://schemas.microsoft.com/office/drawing/2014/main" id="{292A67B5-9D5F-4B97-BA45-80F806972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41" name="Graphique 1">
          <a:extLst>
            <a:ext uri="{FF2B5EF4-FFF2-40B4-BE49-F238E27FC236}">
              <a16:creationId xmlns:a16="http://schemas.microsoft.com/office/drawing/2014/main" id="{371CBB1D-C096-4809-A52A-81B0BCADA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419100</xdr:colOff>
      <xdr:row>256</xdr:row>
      <xdr:rowOff>66675</xdr:rowOff>
    </xdr:from>
    <xdr:to>
      <xdr:col>8</xdr:col>
      <xdr:colOff>419100</xdr:colOff>
      <xdr:row>256</xdr:row>
      <xdr:rowOff>66675</xdr:rowOff>
    </xdr:to>
    <xdr:graphicFrame macro="">
      <xdr:nvGraphicFramePr>
        <xdr:cNvPr id="42" name="Graphique 1">
          <a:extLst>
            <a:ext uri="{FF2B5EF4-FFF2-40B4-BE49-F238E27FC236}">
              <a16:creationId xmlns:a16="http://schemas.microsoft.com/office/drawing/2014/main" id="{BE46E896-3437-4D1C-BE51-A79CA8C9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419100</xdr:colOff>
      <xdr:row>261</xdr:row>
      <xdr:rowOff>66675</xdr:rowOff>
    </xdr:from>
    <xdr:to>
      <xdr:col>8</xdr:col>
      <xdr:colOff>419100</xdr:colOff>
      <xdr:row>261</xdr:row>
      <xdr:rowOff>66675</xdr:rowOff>
    </xdr:to>
    <xdr:graphicFrame macro="">
      <xdr:nvGraphicFramePr>
        <xdr:cNvPr id="43" name="Graphique 1">
          <a:extLst>
            <a:ext uri="{FF2B5EF4-FFF2-40B4-BE49-F238E27FC236}">
              <a16:creationId xmlns:a16="http://schemas.microsoft.com/office/drawing/2014/main" id="{8E2F1FAC-0EA7-4DD6-B55A-6A81300B5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419100</xdr:colOff>
      <xdr:row>265</xdr:row>
      <xdr:rowOff>66675</xdr:rowOff>
    </xdr:from>
    <xdr:to>
      <xdr:col>8</xdr:col>
      <xdr:colOff>419100</xdr:colOff>
      <xdr:row>265</xdr:row>
      <xdr:rowOff>66675</xdr:rowOff>
    </xdr:to>
    <xdr:graphicFrame macro="">
      <xdr:nvGraphicFramePr>
        <xdr:cNvPr id="44" name="Graphique 1">
          <a:extLst>
            <a:ext uri="{FF2B5EF4-FFF2-40B4-BE49-F238E27FC236}">
              <a16:creationId xmlns:a16="http://schemas.microsoft.com/office/drawing/2014/main" id="{24ACDABD-1882-4D05-BB42-AD9C7277F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419100</xdr:colOff>
      <xdr:row>271</xdr:row>
      <xdr:rowOff>66675</xdr:rowOff>
    </xdr:from>
    <xdr:to>
      <xdr:col>8</xdr:col>
      <xdr:colOff>419100</xdr:colOff>
      <xdr:row>271</xdr:row>
      <xdr:rowOff>66675</xdr:rowOff>
    </xdr:to>
    <xdr:graphicFrame macro="">
      <xdr:nvGraphicFramePr>
        <xdr:cNvPr id="45" name="Graphique 1">
          <a:extLst>
            <a:ext uri="{FF2B5EF4-FFF2-40B4-BE49-F238E27FC236}">
              <a16:creationId xmlns:a16="http://schemas.microsoft.com/office/drawing/2014/main" id="{21888555-5242-48F8-8105-971EE27F2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419100</xdr:colOff>
      <xdr:row>275</xdr:row>
      <xdr:rowOff>66675</xdr:rowOff>
    </xdr:from>
    <xdr:to>
      <xdr:col>8</xdr:col>
      <xdr:colOff>419100</xdr:colOff>
      <xdr:row>275</xdr:row>
      <xdr:rowOff>66675</xdr:rowOff>
    </xdr:to>
    <xdr:graphicFrame macro="">
      <xdr:nvGraphicFramePr>
        <xdr:cNvPr id="46" name="Graphique 1">
          <a:extLst>
            <a:ext uri="{FF2B5EF4-FFF2-40B4-BE49-F238E27FC236}">
              <a16:creationId xmlns:a16="http://schemas.microsoft.com/office/drawing/2014/main" id="{515C5FDF-D050-4F37-A82B-D221AEA20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419100</xdr:colOff>
      <xdr:row>280</xdr:row>
      <xdr:rowOff>66675</xdr:rowOff>
    </xdr:from>
    <xdr:to>
      <xdr:col>8</xdr:col>
      <xdr:colOff>419100</xdr:colOff>
      <xdr:row>280</xdr:row>
      <xdr:rowOff>66675</xdr:rowOff>
    </xdr:to>
    <xdr:graphicFrame macro="">
      <xdr:nvGraphicFramePr>
        <xdr:cNvPr id="47" name="Graphique 1">
          <a:extLst>
            <a:ext uri="{FF2B5EF4-FFF2-40B4-BE49-F238E27FC236}">
              <a16:creationId xmlns:a16="http://schemas.microsoft.com/office/drawing/2014/main" id="{0AB8F120-9D40-4007-9B1E-5E4E085F6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48" name="Graphique 1">
          <a:extLst>
            <a:ext uri="{FF2B5EF4-FFF2-40B4-BE49-F238E27FC236}">
              <a16:creationId xmlns:a16="http://schemas.microsoft.com/office/drawing/2014/main" id="{0E298A3B-B142-44F3-AEC4-7F51FE4BE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419100</xdr:colOff>
      <xdr:row>290</xdr:row>
      <xdr:rowOff>66675</xdr:rowOff>
    </xdr:from>
    <xdr:to>
      <xdr:col>8</xdr:col>
      <xdr:colOff>419100</xdr:colOff>
      <xdr:row>290</xdr:row>
      <xdr:rowOff>66675</xdr:rowOff>
    </xdr:to>
    <xdr:graphicFrame macro="">
      <xdr:nvGraphicFramePr>
        <xdr:cNvPr id="49" name="Graphique 1">
          <a:extLst>
            <a:ext uri="{FF2B5EF4-FFF2-40B4-BE49-F238E27FC236}">
              <a16:creationId xmlns:a16="http://schemas.microsoft.com/office/drawing/2014/main" id="{825146F8-5830-4CEC-9E9C-1A5A71BE3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419100</xdr:colOff>
      <xdr:row>294</xdr:row>
      <xdr:rowOff>66675</xdr:rowOff>
    </xdr:from>
    <xdr:to>
      <xdr:col>8</xdr:col>
      <xdr:colOff>419100</xdr:colOff>
      <xdr:row>294</xdr:row>
      <xdr:rowOff>66675</xdr:rowOff>
    </xdr:to>
    <xdr:graphicFrame macro="">
      <xdr:nvGraphicFramePr>
        <xdr:cNvPr id="50" name="Graphique 1">
          <a:extLst>
            <a:ext uri="{FF2B5EF4-FFF2-40B4-BE49-F238E27FC236}">
              <a16:creationId xmlns:a16="http://schemas.microsoft.com/office/drawing/2014/main" id="{E031719C-0A69-4827-BB78-C70F270AD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51" name="Graphique 1">
          <a:extLst>
            <a:ext uri="{FF2B5EF4-FFF2-40B4-BE49-F238E27FC236}">
              <a16:creationId xmlns:a16="http://schemas.microsoft.com/office/drawing/2014/main" id="{7974395D-3829-4DD0-B777-EA7798FD9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419100</xdr:colOff>
      <xdr:row>304</xdr:row>
      <xdr:rowOff>66675</xdr:rowOff>
    </xdr:from>
    <xdr:to>
      <xdr:col>8</xdr:col>
      <xdr:colOff>419100</xdr:colOff>
      <xdr:row>304</xdr:row>
      <xdr:rowOff>66675</xdr:rowOff>
    </xdr:to>
    <xdr:graphicFrame macro="">
      <xdr:nvGraphicFramePr>
        <xdr:cNvPr id="52" name="Graphique 1">
          <a:extLst>
            <a:ext uri="{FF2B5EF4-FFF2-40B4-BE49-F238E27FC236}">
              <a16:creationId xmlns:a16="http://schemas.microsoft.com/office/drawing/2014/main" id="{7BC8F1E3-6D32-4407-B2DC-64E5E58AF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419100</xdr:colOff>
      <xdr:row>188</xdr:row>
      <xdr:rowOff>66675</xdr:rowOff>
    </xdr:from>
    <xdr:to>
      <xdr:col>8</xdr:col>
      <xdr:colOff>419100</xdr:colOff>
      <xdr:row>188</xdr:row>
      <xdr:rowOff>66675</xdr:rowOff>
    </xdr:to>
    <xdr:graphicFrame macro="">
      <xdr:nvGraphicFramePr>
        <xdr:cNvPr id="53" name="Graphique 1">
          <a:extLst>
            <a:ext uri="{FF2B5EF4-FFF2-40B4-BE49-F238E27FC236}">
              <a16:creationId xmlns:a16="http://schemas.microsoft.com/office/drawing/2014/main" id="{659CC6DB-C0C4-4708-9618-8B46F79F4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419100</xdr:colOff>
      <xdr:row>192</xdr:row>
      <xdr:rowOff>66675</xdr:rowOff>
    </xdr:from>
    <xdr:to>
      <xdr:col>8</xdr:col>
      <xdr:colOff>419100</xdr:colOff>
      <xdr:row>192</xdr:row>
      <xdr:rowOff>66675</xdr:rowOff>
    </xdr:to>
    <xdr:graphicFrame macro="">
      <xdr:nvGraphicFramePr>
        <xdr:cNvPr id="54" name="Graphique 1">
          <a:extLst>
            <a:ext uri="{FF2B5EF4-FFF2-40B4-BE49-F238E27FC236}">
              <a16:creationId xmlns:a16="http://schemas.microsoft.com/office/drawing/2014/main" id="{0D704434-1DF8-41B6-A460-0C9F530FE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419100</xdr:colOff>
      <xdr:row>196</xdr:row>
      <xdr:rowOff>66675</xdr:rowOff>
    </xdr:from>
    <xdr:to>
      <xdr:col>8</xdr:col>
      <xdr:colOff>419100</xdr:colOff>
      <xdr:row>196</xdr:row>
      <xdr:rowOff>66675</xdr:rowOff>
    </xdr:to>
    <xdr:graphicFrame macro="">
      <xdr:nvGraphicFramePr>
        <xdr:cNvPr id="55" name="Graphique 1">
          <a:extLst>
            <a:ext uri="{FF2B5EF4-FFF2-40B4-BE49-F238E27FC236}">
              <a16:creationId xmlns:a16="http://schemas.microsoft.com/office/drawing/2014/main" id="{8D301F2F-EF09-417C-B6CC-0F65638CF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419100</xdr:colOff>
      <xdr:row>200</xdr:row>
      <xdr:rowOff>66675</xdr:rowOff>
    </xdr:from>
    <xdr:to>
      <xdr:col>8</xdr:col>
      <xdr:colOff>419100</xdr:colOff>
      <xdr:row>200</xdr:row>
      <xdr:rowOff>66675</xdr:rowOff>
    </xdr:to>
    <xdr:graphicFrame macro="">
      <xdr:nvGraphicFramePr>
        <xdr:cNvPr id="56" name="Graphique 1">
          <a:extLst>
            <a:ext uri="{FF2B5EF4-FFF2-40B4-BE49-F238E27FC236}">
              <a16:creationId xmlns:a16="http://schemas.microsoft.com/office/drawing/2014/main" id="{E808F932-08C7-46A6-95FB-7E43BAF14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419100</xdr:colOff>
      <xdr:row>204</xdr:row>
      <xdr:rowOff>66675</xdr:rowOff>
    </xdr:from>
    <xdr:to>
      <xdr:col>8</xdr:col>
      <xdr:colOff>419100</xdr:colOff>
      <xdr:row>204</xdr:row>
      <xdr:rowOff>66675</xdr:rowOff>
    </xdr:to>
    <xdr:graphicFrame macro="">
      <xdr:nvGraphicFramePr>
        <xdr:cNvPr id="57" name="Graphique 1">
          <a:extLst>
            <a:ext uri="{FF2B5EF4-FFF2-40B4-BE49-F238E27FC236}">
              <a16:creationId xmlns:a16="http://schemas.microsoft.com/office/drawing/2014/main" id="{4CB990CC-40DD-4DFF-A32B-E47163C1D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419100</xdr:colOff>
      <xdr:row>210</xdr:row>
      <xdr:rowOff>66675</xdr:rowOff>
    </xdr:from>
    <xdr:to>
      <xdr:col>8</xdr:col>
      <xdr:colOff>419100</xdr:colOff>
      <xdr:row>210</xdr:row>
      <xdr:rowOff>66675</xdr:rowOff>
    </xdr:to>
    <xdr:graphicFrame macro="">
      <xdr:nvGraphicFramePr>
        <xdr:cNvPr id="58" name="Graphique 1">
          <a:extLst>
            <a:ext uri="{FF2B5EF4-FFF2-40B4-BE49-F238E27FC236}">
              <a16:creationId xmlns:a16="http://schemas.microsoft.com/office/drawing/2014/main" id="{82E4119A-1921-430F-8C45-73C02908B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419100</xdr:colOff>
      <xdr:row>204</xdr:row>
      <xdr:rowOff>66675</xdr:rowOff>
    </xdr:from>
    <xdr:to>
      <xdr:col>8</xdr:col>
      <xdr:colOff>419100</xdr:colOff>
      <xdr:row>204</xdr:row>
      <xdr:rowOff>66675</xdr:rowOff>
    </xdr:to>
    <xdr:graphicFrame macro="">
      <xdr:nvGraphicFramePr>
        <xdr:cNvPr id="59" name="Graphique 1">
          <a:extLst>
            <a:ext uri="{FF2B5EF4-FFF2-40B4-BE49-F238E27FC236}">
              <a16:creationId xmlns:a16="http://schemas.microsoft.com/office/drawing/2014/main" id="{4ADE4EED-06A2-43C6-BBA8-E0E3C21CF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8</xdr:col>
      <xdr:colOff>419100</xdr:colOff>
      <xdr:row>208</xdr:row>
      <xdr:rowOff>66675</xdr:rowOff>
    </xdr:from>
    <xdr:to>
      <xdr:col>8</xdr:col>
      <xdr:colOff>419100</xdr:colOff>
      <xdr:row>208</xdr:row>
      <xdr:rowOff>66675</xdr:rowOff>
    </xdr:to>
    <xdr:graphicFrame macro="">
      <xdr:nvGraphicFramePr>
        <xdr:cNvPr id="60" name="Graphique 1">
          <a:extLst>
            <a:ext uri="{FF2B5EF4-FFF2-40B4-BE49-F238E27FC236}">
              <a16:creationId xmlns:a16="http://schemas.microsoft.com/office/drawing/2014/main" id="{BE7DA00E-71E2-413E-81D7-AAB5FDCF8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419100</xdr:colOff>
      <xdr:row>212</xdr:row>
      <xdr:rowOff>66675</xdr:rowOff>
    </xdr:from>
    <xdr:to>
      <xdr:col>8</xdr:col>
      <xdr:colOff>419100</xdr:colOff>
      <xdr:row>212</xdr:row>
      <xdr:rowOff>66675</xdr:rowOff>
    </xdr:to>
    <xdr:graphicFrame macro="">
      <xdr:nvGraphicFramePr>
        <xdr:cNvPr id="61" name="Graphique 1">
          <a:extLst>
            <a:ext uri="{FF2B5EF4-FFF2-40B4-BE49-F238E27FC236}">
              <a16:creationId xmlns:a16="http://schemas.microsoft.com/office/drawing/2014/main" id="{4C97130A-383A-44B4-9147-270D14294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419100</xdr:colOff>
      <xdr:row>216</xdr:row>
      <xdr:rowOff>66675</xdr:rowOff>
    </xdr:from>
    <xdr:to>
      <xdr:col>8</xdr:col>
      <xdr:colOff>419100</xdr:colOff>
      <xdr:row>216</xdr:row>
      <xdr:rowOff>66675</xdr:rowOff>
    </xdr:to>
    <xdr:graphicFrame macro="">
      <xdr:nvGraphicFramePr>
        <xdr:cNvPr id="62" name="Graphique 1">
          <a:extLst>
            <a:ext uri="{FF2B5EF4-FFF2-40B4-BE49-F238E27FC236}">
              <a16:creationId xmlns:a16="http://schemas.microsoft.com/office/drawing/2014/main" id="{09043F6F-1A8A-43EF-9ADC-17128CEC1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419100</xdr:colOff>
      <xdr:row>220</xdr:row>
      <xdr:rowOff>66675</xdr:rowOff>
    </xdr:from>
    <xdr:to>
      <xdr:col>8</xdr:col>
      <xdr:colOff>419100</xdr:colOff>
      <xdr:row>220</xdr:row>
      <xdr:rowOff>66675</xdr:rowOff>
    </xdr:to>
    <xdr:graphicFrame macro="">
      <xdr:nvGraphicFramePr>
        <xdr:cNvPr id="63" name="Graphique 1">
          <a:extLst>
            <a:ext uri="{FF2B5EF4-FFF2-40B4-BE49-F238E27FC236}">
              <a16:creationId xmlns:a16="http://schemas.microsoft.com/office/drawing/2014/main" id="{3968A4F5-51B1-4B8B-9F72-D64BD1175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419100</xdr:colOff>
      <xdr:row>226</xdr:row>
      <xdr:rowOff>66675</xdr:rowOff>
    </xdr:from>
    <xdr:to>
      <xdr:col>8</xdr:col>
      <xdr:colOff>419100</xdr:colOff>
      <xdr:row>226</xdr:row>
      <xdr:rowOff>66675</xdr:rowOff>
    </xdr:to>
    <xdr:graphicFrame macro="">
      <xdr:nvGraphicFramePr>
        <xdr:cNvPr id="64" name="Graphique 1">
          <a:extLst>
            <a:ext uri="{FF2B5EF4-FFF2-40B4-BE49-F238E27FC236}">
              <a16:creationId xmlns:a16="http://schemas.microsoft.com/office/drawing/2014/main" id="{37B86DB7-4456-4795-A21B-BEA58A480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419100</xdr:colOff>
      <xdr:row>220</xdr:row>
      <xdr:rowOff>66675</xdr:rowOff>
    </xdr:from>
    <xdr:to>
      <xdr:col>8</xdr:col>
      <xdr:colOff>419100</xdr:colOff>
      <xdr:row>220</xdr:row>
      <xdr:rowOff>66675</xdr:rowOff>
    </xdr:to>
    <xdr:graphicFrame macro="">
      <xdr:nvGraphicFramePr>
        <xdr:cNvPr id="65" name="Graphique 1">
          <a:extLst>
            <a:ext uri="{FF2B5EF4-FFF2-40B4-BE49-F238E27FC236}">
              <a16:creationId xmlns:a16="http://schemas.microsoft.com/office/drawing/2014/main" id="{B7174EB7-BC5C-4BEF-80AB-2E4BE86AB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419100</xdr:colOff>
      <xdr:row>224</xdr:row>
      <xdr:rowOff>66675</xdr:rowOff>
    </xdr:from>
    <xdr:to>
      <xdr:col>8</xdr:col>
      <xdr:colOff>419100</xdr:colOff>
      <xdr:row>224</xdr:row>
      <xdr:rowOff>66675</xdr:rowOff>
    </xdr:to>
    <xdr:graphicFrame macro="">
      <xdr:nvGraphicFramePr>
        <xdr:cNvPr id="66" name="Graphique 1">
          <a:extLst>
            <a:ext uri="{FF2B5EF4-FFF2-40B4-BE49-F238E27FC236}">
              <a16:creationId xmlns:a16="http://schemas.microsoft.com/office/drawing/2014/main" id="{CD584A34-CF60-4F62-BEF5-8CA2706DF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419100</xdr:colOff>
      <xdr:row>228</xdr:row>
      <xdr:rowOff>66675</xdr:rowOff>
    </xdr:from>
    <xdr:to>
      <xdr:col>8</xdr:col>
      <xdr:colOff>419100</xdr:colOff>
      <xdr:row>228</xdr:row>
      <xdr:rowOff>66675</xdr:rowOff>
    </xdr:to>
    <xdr:graphicFrame macro="">
      <xdr:nvGraphicFramePr>
        <xdr:cNvPr id="67" name="Graphique 1">
          <a:extLst>
            <a:ext uri="{FF2B5EF4-FFF2-40B4-BE49-F238E27FC236}">
              <a16:creationId xmlns:a16="http://schemas.microsoft.com/office/drawing/2014/main" id="{231D8D20-9B0F-4748-9CD8-D3C2D50A5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419100</xdr:colOff>
      <xdr:row>232</xdr:row>
      <xdr:rowOff>66675</xdr:rowOff>
    </xdr:from>
    <xdr:to>
      <xdr:col>8</xdr:col>
      <xdr:colOff>419100</xdr:colOff>
      <xdr:row>232</xdr:row>
      <xdr:rowOff>66675</xdr:rowOff>
    </xdr:to>
    <xdr:graphicFrame macro="">
      <xdr:nvGraphicFramePr>
        <xdr:cNvPr id="68" name="Graphique 1">
          <a:extLst>
            <a:ext uri="{FF2B5EF4-FFF2-40B4-BE49-F238E27FC236}">
              <a16:creationId xmlns:a16="http://schemas.microsoft.com/office/drawing/2014/main" id="{D1969EA0-5DEA-49B7-BF37-1FF8A014A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419100</xdr:colOff>
      <xdr:row>236</xdr:row>
      <xdr:rowOff>66675</xdr:rowOff>
    </xdr:from>
    <xdr:to>
      <xdr:col>8</xdr:col>
      <xdr:colOff>419100</xdr:colOff>
      <xdr:row>236</xdr:row>
      <xdr:rowOff>66675</xdr:rowOff>
    </xdr:to>
    <xdr:graphicFrame macro="">
      <xdr:nvGraphicFramePr>
        <xdr:cNvPr id="69" name="Graphique 1">
          <a:extLst>
            <a:ext uri="{FF2B5EF4-FFF2-40B4-BE49-F238E27FC236}">
              <a16:creationId xmlns:a16="http://schemas.microsoft.com/office/drawing/2014/main" id="{0F30C3C8-627C-4BC3-B435-A390232E3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70" name="Graphique 1">
          <a:extLst>
            <a:ext uri="{FF2B5EF4-FFF2-40B4-BE49-F238E27FC236}">
              <a16:creationId xmlns:a16="http://schemas.microsoft.com/office/drawing/2014/main" id="{CAC988C0-0E33-4922-8F8A-114DAE8DD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</xdr:col>
      <xdr:colOff>419100</xdr:colOff>
      <xdr:row>236</xdr:row>
      <xdr:rowOff>66675</xdr:rowOff>
    </xdr:from>
    <xdr:to>
      <xdr:col>8</xdr:col>
      <xdr:colOff>419100</xdr:colOff>
      <xdr:row>236</xdr:row>
      <xdr:rowOff>66675</xdr:rowOff>
    </xdr:to>
    <xdr:graphicFrame macro="">
      <xdr:nvGraphicFramePr>
        <xdr:cNvPr id="71" name="Graphique 1">
          <a:extLst>
            <a:ext uri="{FF2B5EF4-FFF2-40B4-BE49-F238E27FC236}">
              <a16:creationId xmlns:a16="http://schemas.microsoft.com/office/drawing/2014/main" id="{43499036-E37F-4B2E-86B5-4BD7BE727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</xdr:col>
      <xdr:colOff>419100</xdr:colOff>
      <xdr:row>240</xdr:row>
      <xdr:rowOff>66675</xdr:rowOff>
    </xdr:from>
    <xdr:to>
      <xdr:col>8</xdr:col>
      <xdr:colOff>419100</xdr:colOff>
      <xdr:row>240</xdr:row>
      <xdr:rowOff>66675</xdr:rowOff>
    </xdr:to>
    <xdr:graphicFrame macro="">
      <xdr:nvGraphicFramePr>
        <xdr:cNvPr id="72" name="Graphique 1">
          <a:extLst>
            <a:ext uri="{FF2B5EF4-FFF2-40B4-BE49-F238E27FC236}">
              <a16:creationId xmlns:a16="http://schemas.microsoft.com/office/drawing/2014/main" id="{9C0048AA-CBBF-4DC0-A5CC-1C89DA235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8</xdr:col>
      <xdr:colOff>419100</xdr:colOff>
      <xdr:row>244</xdr:row>
      <xdr:rowOff>66675</xdr:rowOff>
    </xdr:from>
    <xdr:to>
      <xdr:col>8</xdr:col>
      <xdr:colOff>419100</xdr:colOff>
      <xdr:row>244</xdr:row>
      <xdr:rowOff>66675</xdr:rowOff>
    </xdr:to>
    <xdr:graphicFrame macro="">
      <xdr:nvGraphicFramePr>
        <xdr:cNvPr id="73" name="Graphique 1">
          <a:extLst>
            <a:ext uri="{FF2B5EF4-FFF2-40B4-BE49-F238E27FC236}">
              <a16:creationId xmlns:a16="http://schemas.microsoft.com/office/drawing/2014/main" id="{1A85D2E8-7344-478E-8DDF-2F8F2EA56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8</xdr:col>
      <xdr:colOff>419100</xdr:colOff>
      <xdr:row>248</xdr:row>
      <xdr:rowOff>66675</xdr:rowOff>
    </xdr:from>
    <xdr:to>
      <xdr:col>8</xdr:col>
      <xdr:colOff>419100</xdr:colOff>
      <xdr:row>248</xdr:row>
      <xdr:rowOff>66675</xdr:rowOff>
    </xdr:to>
    <xdr:graphicFrame macro="">
      <xdr:nvGraphicFramePr>
        <xdr:cNvPr id="74" name="Graphique 1">
          <a:extLst>
            <a:ext uri="{FF2B5EF4-FFF2-40B4-BE49-F238E27FC236}">
              <a16:creationId xmlns:a16="http://schemas.microsoft.com/office/drawing/2014/main" id="{94FC14E1-F999-4D6C-A52D-1C7AE6E68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75" name="Graphique 1">
          <a:extLst>
            <a:ext uri="{FF2B5EF4-FFF2-40B4-BE49-F238E27FC236}">
              <a16:creationId xmlns:a16="http://schemas.microsoft.com/office/drawing/2014/main" id="{8BBA4B68-D33A-4BDF-B46D-38ED2D187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419100</xdr:colOff>
      <xdr:row>258</xdr:row>
      <xdr:rowOff>66675</xdr:rowOff>
    </xdr:from>
    <xdr:to>
      <xdr:col>8</xdr:col>
      <xdr:colOff>419100</xdr:colOff>
      <xdr:row>258</xdr:row>
      <xdr:rowOff>66675</xdr:rowOff>
    </xdr:to>
    <xdr:graphicFrame macro="">
      <xdr:nvGraphicFramePr>
        <xdr:cNvPr id="76" name="Graphique 1">
          <a:extLst>
            <a:ext uri="{FF2B5EF4-FFF2-40B4-BE49-F238E27FC236}">
              <a16:creationId xmlns:a16="http://schemas.microsoft.com/office/drawing/2014/main" id="{F34E0729-F5CF-46B2-A3A6-15790DD26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77" name="Graphique 1">
          <a:extLst>
            <a:ext uri="{FF2B5EF4-FFF2-40B4-BE49-F238E27FC236}">
              <a16:creationId xmlns:a16="http://schemas.microsoft.com/office/drawing/2014/main" id="{EF85FA70-133E-414B-991F-3B35B90FA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419100</xdr:colOff>
      <xdr:row>256</xdr:row>
      <xdr:rowOff>66675</xdr:rowOff>
    </xdr:from>
    <xdr:to>
      <xdr:col>8</xdr:col>
      <xdr:colOff>419100</xdr:colOff>
      <xdr:row>256</xdr:row>
      <xdr:rowOff>66675</xdr:rowOff>
    </xdr:to>
    <xdr:graphicFrame macro="">
      <xdr:nvGraphicFramePr>
        <xdr:cNvPr id="78" name="Graphique 1">
          <a:extLst>
            <a:ext uri="{FF2B5EF4-FFF2-40B4-BE49-F238E27FC236}">
              <a16:creationId xmlns:a16="http://schemas.microsoft.com/office/drawing/2014/main" id="{FB1C74AE-25AD-462C-A5C8-95ED1C6E4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419100</xdr:colOff>
      <xdr:row>260</xdr:row>
      <xdr:rowOff>66675</xdr:rowOff>
    </xdr:from>
    <xdr:to>
      <xdr:col>8</xdr:col>
      <xdr:colOff>419100</xdr:colOff>
      <xdr:row>260</xdr:row>
      <xdr:rowOff>66675</xdr:rowOff>
    </xdr:to>
    <xdr:graphicFrame macro="">
      <xdr:nvGraphicFramePr>
        <xdr:cNvPr id="79" name="Graphique 1">
          <a:extLst>
            <a:ext uri="{FF2B5EF4-FFF2-40B4-BE49-F238E27FC236}">
              <a16:creationId xmlns:a16="http://schemas.microsoft.com/office/drawing/2014/main" id="{6C59C41A-64A7-4BBB-8544-ABB6B2587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419100</xdr:colOff>
      <xdr:row>264</xdr:row>
      <xdr:rowOff>66675</xdr:rowOff>
    </xdr:from>
    <xdr:to>
      <xdr:col>8</xdr:col>
      <xdr:colOff>419100</xdr:colOff>
      <xdr:row>264</xdr:row>
      <xdr:rowOff>66675</xdr:rowOff>
    </xdr:to>
    <xdr:graphicFrame macro="">
      <xdr:nvGraphicFramePr>
        <xdr:cNvPr id="80" name="Graphique 1">
          <a:extLst>
            <a:ext uri="{FF2B5EF4-FFF2-40B4-BE49-F238E27FC236}">
              <a16:creationId xmlns:a16="http://schemas.microsoft.com/office/drawing/2014/main" id="{E55F8625-1BC6-44AF-80A1-989313135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</xdr:col>
      <xdr:colOff>419100</xdr:colOff>
      <xdr:row>268</xdr:row>
      <xdr:rowOff>66675</xdr:rowOff>
    </xdr:from>
    <xdr:to>
      <xdr:col>8</xdr:col>
      <xdr:colOff>419100</xdr:colOff>
      <xdr:row>268</xdr:row>
      <xdr:rowOff>66675</xdr:rowOff>
    </xdr:to>
    <xdr:graphicFrame macro="">
      <xdr:nvGraphicFramePr>
        <xdr:cNvPr id="81" name="Graphique 1">
          <a:extLst>
            <a:ext uri="{FF2B5EF4-FFF2-40B4-BE49-F238E27FC236}">
              <a16:creationId xmlns:a16="http://schemas.microsoft.com/office/drawing/2014/main" id="{1CE78405-7119-4C8A-A923-0F7D32B88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</xdr:col>
      <xdr:colOff>419100</xdr:colOff>
      <xdr:row>274</xdr:row>
      <xdr:rowOff>66675</xdr:rowOff>
    </xdr:from>
    <xdr:to>
      <xdr:col>8</xdr:col>
      <xdr:colOff>419100</xdr:colOff>
      <xdr:row>274</xdr:row>
      <xdr:rowOff>66675</xdr:rowOff>
    </xdr:to>
    <xdr:graphicFrame macro="">
      <xdr:nvGraphicFramePr>
        <xdr:cNvPr id="82" name="Graphique 1">
          <a:extLst>
            <a:ext uri="{FF2B5EF4-FFF2-40B4-BE49-F238E27FC236}">
              <a16:creationId xmlns:a16="http://schemas.microsoft.com/office/drawing/2014/main" id="{0CB37164-3F1B-4DB3-808B-5D01C260B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8</xdr:col>
      <xdr:colOff>419100</xdr:colOff>
      <xdr:row>268</xdr:row>
      <xdr:rowOff>66675</xdr:rowOff>
    </xdr:from>
    <xdr:to>
      <xdr:col>8</xdr:col>
      <xdr:colOff>419100</xdr:colOff>
      <xdr:row>268</xdr:row>
      <xdr:rowOff>66675</xdr:rowOff>
    </xdr:to>
    <xdr:graphicFrame macro="">
      <xdr:nvGraphicFramePr>
        <xdr:cNvPr id="83" name="Graphique 1">
          <a:extLst>
            <a:ext uri="{FF2B5EF4-FFF2-40B4-BE49-F238E27FC236}">
              <a16:creationId xmlns:a16="http://schemas.microsoft.com/office/drawing/2014/main" id="{35F45DA3-E2DA-45B9-90FA-BDC67921E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8</xdr:col>
      <xdr:colOff>419100</xdr:colOff>
      <xdr:row>272</xdr:row>
      <xdr:rowOff>66675</xdr:rowOff>
    </xdr:from>
    <xdr:to>
      <xdr:col>8</xdr:col>
      <xdr:colOff>419100</xdr:colOff>
      <xdr:row>272</xdr:row>
      <xdr:rowOff>66675</xdr:rowOff>
    </xdr:to>
    <xdr:graphicFrame macro="">
      <xdr:nvGraphicFramePr>
        <xdr:cNvPr id="84" name="Graphique 1">
          <a:extLst>
            <a:ext uri="{FF2B5EF4-FFF2-40B4-BE49-F238E27FC236}">
              <a16:creationId xmlns:a16="http://schemas.microsoft.com/office/drawing/2014/main" id="{B38F6D92-BBB1-41D5-98D0-065F9A620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8</xdr:col>
      <xdr:colOff>419100</xdr:colOff>
      <xdr:row>276</xdr:row>
      <xdr:rowOff>66675</xdr:rowOff>
    </xdr:from>
    <xdr:to>
      <xdr:col>8</xdr:col>
      <xdr:colOff>419100</xdr:colOff>
      <xdr:row>276</xdr:row>
      <xdr:rowOff>66675</xdr:rowOff>
    </xdr:to>
    <xdr:graphicFrame macro="">
      <xdr:nvGraphicFramePr>
        <xdr:cNvPr id="85" name="Graphique 1">
          <a:extLst>
            <a:ext uri="{FF2B5EF4-FFF2-40B4-BE49-F238E27FC236}">
              <a16:creationId xmlns:a16="http://schemas.microsoft.com/office/drawing/2014/main" id="{BD80DEAF-8D5F-4B13-B427-7932C5721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8</xdr:col>
      <xdr:colOff>419100</xdr:colOff>
      <xdr:row>280</xdr:row>
      <xdr:rowOff>66675</xdr:rowOff>
    </xdr:from>
    <xdr:to>
      <xdr:col>8</xdr:col>
      <xdr:colOff>419100</xdr:colOff>
      <xdr:row>280</xdr:row>
      <xdr:rowOff>66675</xdr:rowOff>
    </xdr:to>
    <xdr:graphicFrame macro="">
      <xdr:nvGraphicFramePr>
        <xdr:cNvPr id="86" name="Graphique 1">
          <a:extLst>
            <a:ext uri="{FF2B5EF4-FFF2-40B4-BE49-F238E27FC236}">
              <a16:creationId xmlns:a16="http://schemas.microsoft.com/office/drawing/2014/main" id="{71785485-2B72-4DF6-BFED-70210D26B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87" name="Graphique 1">
          <a:extLst>
            <a:ext uri="{FF2B5EF4-FFF2-40B4-BE49-F238E27FC236}">
              <a16:creationId xmlns:a16="http://schemas.microsoft.com/office/drawing/2014/main" id="{1F9B7E9E-3BB9-46C8-867C-267E690CE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8</xdr:col>
      <xdr:colOff>419100</xdr:colOff>
      <xdr:row>290</xdr:row>
      <xdr:rowOff>66675</xdr:rowOff>
    </xdr:from>
    <xdr:to>
      <xdr:col>8</xdr:col>
      <xdr:colOff>419100</xdr:colOff>
      <xdr:row>290</xdr:row>
      <xdr:rowOff>66675</xdr:rowOff>
    </xdr:to>
    <xdr:graphicFrame macro="">
      <xdr:nvGraphicFramePr>
        <xdr:cNvPr id="88" name="Graphique 1">
          <a:extLst>
            <a:ext uri="{FF2B5EF4-FFF2-40B4-BE49-F238E27FC236}">
              <a16:creationId xmlns:a16="http://schemas.microsoft.com/office/drawing/2014/main" id="{F96877E5-E8F3-4292-A98F-4AAEE21A1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89" name="Graphique 1">
          <a:extLst>
            <a:ext uri="{FF2B5EF4-FFF2-40B4-BE49-F238E27FC236}">
              <a16:creationId xmlns:a16="http://schemas.microsoft.com/office/drawing/2014/main" id="{BD74DF05-0634-4063-AC49-53729D5C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8</xdr:col>
      <xdr:colOff>419100</xdr:colOff>
      <xdr:row>288</xdr:row>
      <xdr:rowOff>66675</xdr:rowOff>
    </xdr:from>
    <xdr:to>
      <xdr:col>8</xdr:col>
      <xdr:colOff>419100</xdr:colOff>
      <xdr:row>288</xdr:row>
      <xdr:rowOff>66675</xdr:rowOff>
    </xdr:to>
    <xdr:graphicFrame macro="">
      <xdr:nvGraphicFramePr>
        <xdr:cNvPr id="90" name="Graphique 1">
          <a:extLst>
            <a:ext uri="{FF2B5EF4-FFF2-40B4-BE49-F238E27FC236}">
              <a16:creationId xmlns:a16="http://schemas.microsoft.com/office/drawing/2014/main" id="{BFEA41AB-12A6-4CAA-957B-D105A0F07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8</xdr:col>
      <xdr:colOff>419100</xdr:colOff>
      <xdr:row>292</xdr:row>
      <xdr:rowOff>66675</xdr:rowOff>
    </xdr:from>
    <xdr:to>
      <xdr:col>8</xdr:col>
      <xdr:colOff>419100</xdr:colOff>
      <xdr:row>292</xdr:row>
      <xdr:rowOff>66675</xdr:rowOff>
    </xdr:to>
    <xdr:graphicFrame macro="">
      <xdr:nvGraphicFramePr>
        <xdr:cNvPr id="91" name="Graphique 1">
          <a:extLst>
            <a:ext uri="{FF2B5EF4-FFF2-40B4-BE49-F238E27FC236}">
              <a16:creationId xmlns:a16="http://schemas.microsoft.com/office/drawing/2014/main" id="{B060DA08-4908-45D5-95F7-9622BF214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8</xdr:col>
      <xdr:colOff>419100</xdr:colOff>
      <xdr:row>296</xdr:row>
      <xdr:rowOff>66675</xdr:rowOff>
    </xdr:from>
    <xdr:to>
      <xdr:col>8</xdr:col>
      <xdr:colOff>419100</xdr:colOff>
      <xdr:row>296</xdr:row>
      <xdr:rowOff>66675</xdr:rowOff>
    </xdr:to>
    <xdr:graphicFrame macro="">
      <xdr:nvGraphicFramePr>
        <xdr:cNvPr id="92" name="Graphique 1">
          <a:extLst>
            <a:ext uri="{FF2B5EF4-FFF2-40B4-BE49-F238E27FC236}">
              <a16:creationId xmlns:a16="http://schemas.microsoft.com/office/drawing/2014/main" id="{4598C3BC-382E-4398-BC21-1B0140359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93" name="Graphique 1">
          <a:extLst>
            <a:ext uri="{FF2B5EF4-FFF2-40B4-BE49-F238E27FC236}">
              <a16:creationId xmlns:a16="http://schemas.microsoft.com/office/drawing/2014/main" id="{0CAC7833-69A9-4AF9-A13D-090C4FB68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8</xdr:col>
      <xdr:colOff>419100</xdr:colOff>
      <xdr:row>306</xdr:row>
      <xdr:rowOff>66675</xdr:rowOff>
    </xdr:from>
    <xdr:to>
      <xdr:col>8</xdr:col>
      <xdr:colOff>419100</xdr:colOff>
      <xdr:row>306</xdr:row>
      <xdr:rowOff>66675</xdr:rowOff>
    </xdr:to>
    <xdr:graphicFrame macro="">
      <xdr:nvGraphicFramePr>
        <xdr:cNvPr id="94" name="Graphique 1">
          <a:extLst>
            <a:ext uri="{FF2B5EF4-FFF2-40B4-BE49-F238E27FC236}">
              <a16:creationId xmlns:a16="http://schemas.microsoft.com/office/drawing/2014/main" id="{5560C56D-B9C5-4B98-9AB5-223CF24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95" name="Graphique 1">
          <a:extLst>
            <a:ext uri="{FF2B5EF4-FFF2-40B4-BE49-F238E27FC236}">
              <a16:creationId xmlns:a16="http://schemas.microsoft.com/office/drawing/2014/main" id="{80317747-369E-447E-B7DB-4BA991947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8</xdr:col>
      <xdr:colOff>419100</xdr:colOff>
      <xdr:row>304</xdr:row>
      <xdr:rowOff>66675</xdr:rowOff>
    </xdr:from>
    <xdr:to>
      <xdr:col>8</xdr:col>
      <xdr:colOff>419100</xdr:colOff>
      <xdr:row>304</xdr:row>
      <xdr:rowOff>66675</xdr:rowOff>
    </xdr:to>
    <xdr:graphicFrame macro="">
      <xdr:nvGraphicFramePr>
        <xdr:cNvPr id="96" name="Graphique 1">
          <a:extLst>
            <a:ext uri="{FF2B5EF4-FFF2-40B4-BE49-F238E27FC236}">
              <a16:creationId xmlns:a16="http://schemas.microsoft.com/office/drawing/2014/main" id="{BB81C99C-2BEC-4182-8286-992798F9F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8</xdr:col>
      <xdr:colOff>419100</xdr:colOff>
      <xdr:row>308</xdr:row>
      <xdr:rowOff>66675</xdr:rowOff>
    </xdr:from>
    <xdr:to>
      <xdr:col>8</xdr:col>
      <xdr:colOff>419100</xdr:colOff>
      <xdr:row>308</xdr:row>
      <xdr:rowOff>66675</xdr:rowOff>
    </xdr:to>
    <xdr:graphicFrame macro="">
      <xdr:nvGraphicFramePr>
        <xdr:cNvPr id="97" name="Graphique 1">
          <a:extLst>
            <a:ext uri="{FF2B5EF4-FFF2-40B4-BE49-F238E27FC236}">
              <a16:creationId xmlns:a16="http://schemas.microsoft.com/office/drawing/2014/main" id="{FBC17A96-AE99-4CB4-AE5C-232DA2FF9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</xdr:col>
      <xdr:colOff>103908</xdr:colOff>
      <xdr:row>82</xdr:row>
      <xdr:rowOff>126421</xdr:rowOff>
    </xdr:from>
    <xdr:to>
      <xdr:col>20</xdr:col>
      <xdr:colOff>242454</xdr:colOff>
      <xdr:row>120</xdr:row>
      <xdr:rowOff>34635</xdr:rowOff>
    </xdr:to>
    <xdr:graphicFrame macro="">
      <xdr:nvGraphicFramePr>
        <xdr:cNvPr id="98" name="Graphique 97">
          <a:extLst>
            <a:ext uri="{FF2B5EF4-FFF2-40B4-BE49-F238E27FC236}">
              <a16:creationId xmlns:a16="http://schemas.microsoft.com/office/drawing/2014/main" id="{A85F1CBA-44E5-4543-8C80-30D54CD28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</xdr:col>
      <xdr:colOff>639537</xdr:colOff>
      <xdr:row>118</xdr:row>
      <xdr:rowOff>122463</xdr:rowOff>
    </xdr:from>
    <xdr:to>
      <xdr:col>16</xdr:col>
      <xdr:colOff>122465</xdr:colOff>
      <xdr:row>147</xdr:row>
      <xdr:rowOff>122464</xdr:rowOff>
    </xdr:to>
    <xdr:graphicFrame macro="">
      <xdr:nvGraphicFramePr>
        <xdr:cNvPr id="99" name="Graphique 3">
          <a:extLst>
            <a:ext uri="{FF2B5EF4-FFF2-40B4-BE49-F238E27FC236}">
              <a16:creationId xmlns:a16="http://schemas.microsoft.com/office/drawing/2014/main" id="{C3D29DF3-CFC8-412A-B0B6-F5A366E8E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2</xdr:col>
      <xdr:colOff>595312</xdr:colOff>
      <xdr:row>149</xdr:row>
      <xdr:rowOff>64724</xdr:rowOff>
    </xdr:from>
    <xdr:to>
      <xdr:col>16</xdr:col>
      <xdr:colOff>381000</xdr:colOff>
      <xdr:row>174</xdr:row>
      <xdr:rowOff>43295</xdr:rowOff>
    </xdr:to>
    <xdr:graphicFrame macro="">
      <xdr:nvGraphicFramePr>
        <xdr:cNvPr id="100" name="Graphique 99">
          <a:extLst>
            <a:ext uri="{FF2B5EF4-FFF2-40B4-BE49-F238E27FC236}">
              <a16:creationId xmlns:a16="http://schemas.microsoft.com/office/drawing/2014/main" id="{A1F1F13D-FDFE-4FCD-AFEC-6D53D079C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15</xdr:col>
      <xdr:colOff>979714</xdr:colOff>
      <xdr:row>68</xdr:row>
      <xdr:rowOff>69373</xdr:rowOff>
    </xdr:from>
    <xdr:to>
      <xdr:col>25</xdr:col>
      <xdr:colOff>139564</xdr:colOff>
      <xdr:row>97</xdr:row>
      <xdr:rowOff>95250</xdr:rowOff>
    </xdr:to>
    <xdr:graphicFrame macro="">
      <xdr:nvGraphicFramePr>
        <xdr:cNvPr id="101" name="Graphique 100">
          <a:extLst>
            <a:ext uri="{FF2B5EF4-FFF2-40B4-BE49-F238E27FC236}">
              <a16:creationId xmlns:a16="http://schemas.microsoft.com/office/drawing/2014/main" id="{3795C041-8EFD-4749-B3D3-A9761C2B5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9</xdr:col>
      <xdr:colOff>449035</xdr:colOff>
      <xdr:row>2</xdr:row>
      <xdr:rowOff>95250</xdr:rowOff>
    </xdr:from>
    <xdr:to>
      <xdr:col>19</xdr:col>
      <xdr:colOff>585108</xdr:colOff>
      <xdr:row>5</xdr:row>
      <xdr:rowOff>136072</xdr:rowOff>
    </xdr:to>
    <xdr:sp macro="" textlink="">
      <xdr:nvSpPr>
        <xdr:cNvPr id="102" name="ZoneTexte 101">
          <a:extLst>
            <a:ext uri="{FF2B5EF4-FFF2-40B4-BE49-F238E27FC236}">
              <a16:creationId xmlns:a16="http://schemas.microsoft.com/office/drawing/2014/main" id="{E00934C3-4667-4B21-9607-2A3719BFC858}"/>
            </a:ext>
          </a:extLst>
        </xdr:cNvPr>
        <xdr:cNvSpPr txBox="1"/>
      </xdr:nvSpPr>
      <xdr:spPr>
        <a:xfrm>
          <a:off x="10476955" y="529590"/>
          <a:ext cx="7599863" cy="555172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 i="1">
              <a:solidFill>
                <a:sysClr val="windowText" lastClr="000000"/>
              </a:solidFill>
            </a:rPr>
            <a:t>Les cellules en bleu magenta sont à renseigner par l'utilisateur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ller5/Documents/BB%20-%20Ressources%20pedagogiques/Plans%20d'exp&#233;riences/TP%20h&#233;licopt&#232;res/TP%20h&#233;licopt&#232;re%20-%20application%20Excel%20avec%20L8%20(corrig&#233;%20D&#233;viation)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8"/>
    </sheetNames>
    <sheetDataSet>
      <sheetData sheetId="0">
        <row r="23">
          <cell r="P23">
            <v>12.24744871391589</v>
          </cell>
          <cell r="Q23">
            <v>7.6342799356293733</v>
          </cell>
          <cell r="R23">
            <v>150</v>
          </cell>
        </row>
        <row r="24">
          <cell r="P24">
            <v>11.945710527214352</v>
          </cell>
          <cell r="Q24">
            <v>12.524737144099181</v>
          </cell>
          <cell r="R24">
            <v>142.69999999999982</v>
          </cell>
        </row>
        <row r="25">
          <cell r="P25">
            <v>6.5192024052026492</v>
          </cell>
          <cell r="Q25">
            <v>6.4461234201342599</v>
          </cell>
          <cell r="R25">
            <v>42.5</v>
          </cell>
        </row>
        <row r="26">
          <cell r="P26">
            <v>4.8785243670601872</v>
          </cell>
          <cell r="Q26">
            <v>3.4769891254427705</v>
          </cell>
          <cell r="R26">
            <v>23.799999999999997</v>
          </cell>
        </row>
        <row r="27">
          <cell r="P27">
            <v>14.25833089811006</v>
          </cell>
          <cell r="Q27">
            <v>2.2778936275753057</v>
          </cell>
          <cell r="R27">
            <v>203.3</v>
          </cell>
        </row>
        <row r="28">
          <cell r="P28"/>
          <cell r="Q28">
            <v>5.8684256088387512</v>
          </cell>
          <cell r="R28">
            <v>72.637499999999989</v>
          </cell>
        </row>
        <row r="29">
          <cell r="P29"/>
          <cell r="Q29"/>
          <cell r="R29"/>
        </row>
        <row r="30">
          <cell r="F30"/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</row>
        <row r="31">
          <cell r="F31"/>
          <cell r="G31"/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</row>
        <row r="32">
          <cell r="F32" t="str">
            <v>Effet sur le Ratio S/N</v>
          </cell>
          <cell r="G32" t="str">
            <v>Moyenne de la VAR</v>
          </cell>
          <cell r="H32" t="str">
            <v>Effet sur la VAR</v>
          </cell>
          <cell r="I32"/>
          <cell r="J32"/>
          <cell r="K32"/>
          <cell r="L32"/>
          <cell r="M32"/>
          <cell r="N32"/>
          <cell r="O32"/>
          <cell r="P32"/>
          <cell r="Q32"/>
          <cell r="R32"/>
        </row>
        <row r="33">
          <cell r="B33" t="str">
            <v>Larg pales1</v>
          </cell>
          <cell r="C33">
            <v>11.5</v>
          </cell>
          <cell r="E33">
            <v>5.5554153883646258</v>
          </cell>
          <cell r="F33">
            <v>-0.31301022047412541</v>
          </cell>
          <cell r="G33">
            <v>42.2</v>
          </cell>
          <cell r="H33">
            <v>-30.437499999999986</v>
          </cell>
          <cell r="I33"/>
          <cell r="J33"/>
          <cell r="K33"/>
          <cell r="L33"/>
          <cell r="M33"/>
          <cell r="N33"/>
          <cell r="O33"/>
          <cell r="P33"/>
          <cell r="Q33"/>
          <cell r="R33"/>
        </row>
        <row r="34">
          <cell r="B34" t="str">
            <v>Larg pales2</v>
          </cell>
          <cell r="C34">
            <v>23</v>
          </cell>
          <cell r="E34">
            <v>6.1814358293128793</v>
          </cell>
          <cell r="F34">
            <v>0.31301022047412808</v>
          </cell>
          <cell r="G34">
            <v>103.07499999999996</v>
          </cell>
          <cell r="H34">
            <v>30.437499999999972</v>
          </cell>
          <cell r="I34"/>
          <cell r="J34"/>
          <cell r="K34"/>
          <cell r="L34"/>
          <cell r="M34"/>
          <cell r="N34"/>
          <cell r="O34"/>
          <cell r="P34"/>
          <cell r="Q34"/>
          <cell r="R34"/>
        </row>
        <row r="35">
          <cell r="B35"/>
          <cell r="C35"/>
          <cell r="E35"/>
          <cell r="F35"/>
          <cell r="G35"/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</row>
        <row r="36">
          <cell r="B36" t="str">
            <v>Long pales1</v>
          </cell>
          <cell r="C36">
            <v>17.899999999999999</v>
          </cell>
          <cell r="E36">
            <v>6.0627261072998886</v>
          </cell>
          <cell r="F36">
            <v>0.19430049846113739</v>
          </cell>
          <cell r="G36">
            <v>48.574999999999953</v>
          </cell>
          <cell r="H36">
            <v>-24.062500000000036</v>
          </cell>
          <cell r="I36"/>
          <cell r="J36"/>
          <cell r="K36"/>
          <cell r="L36"/>
          <cell r="M36"/>
          <cell r="N36"/>
          <cell r="O36"/>
          <cell r="P36"/>
          <cell r="Q36"/>
          <cell r="R36"/>
        </row>
        <row r="37">
          <cell r="B37" t="str">
            <v>Long pales2</v>
          </cell>
          <cell r="C37">
            <v>16.600000000000001</v>
          </cell>
          <cell r="E37">
            <v>5.6741251103776165</v>
          </cell>
          <cell r="F37">
            <v>-0.19430049846113473</v>
          </cell>
          <cell r="G37">
            <v>96.7</v>
          </cell>
          <cell r="H37">
            <v>24.062500000000014</v>
          </cell>
          <cell r="I37"/>
          <cell r="J37"/>
          <cell r="K37"/>
          <cell r="L37"/>
          <cell r="M37"/>
          <cell r="N37"/>
          <cell r="O37"/>
          <cell r="P37"/>
          <cell r="Q37"/>
          <cell r="R37"/>
        </row>
        <row r="38">
          <cell r="B38"/>
          <cell r="C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</row>
        <row r="39">
          <cell r="B39" t="str">
            <v>Larg fuselage1</v>
          </cell>
          <cell r="C39">
            <v>8.5</v>
          </cell>
          <cell r="E39">
            <v>2.7587316544960476</v>
          </cell>
          <cell r="F39">
            <v>-3.1096939543427036</v>
          </cell>
          <cell r="G39">
            <v>59.05</v>
          </cell>
          <cell r="H39">
            <v>-13.587499999999991</v>
          </cell>
          <cell r="I39"/>
          <cell r="J39"/>
          <cell r="K39"/>
          <cell r="L39"/>
          <cell r="M39"/>
          <cell r="N39"/>
          <cell r="O39"/>
          <cell r="P39"/>
          <cell r="Q39"/>
          <cell r="R39"/>
        </row>
        <row r="40">
          <cell r="B40" t="str">
            <v>Larg fuselage2</v>
          </cell>
          <cell r="C40">
            <v>26</v>
          </cell>
          <cell r="E40">
            <v>8.9781195631814583</v>
          </cell>
          <cell r="F40">
            <v>3.1096939543427071</v>
          </cell>
          <cell r="G40">
            <v>86.224999999999952</v>
          </cell>
          <cell r="H40">
            <v>13.587499999999963</v>
          </cell>
          <cell r="I40"/>
          <cell r="J40"/>
          <cell r="K40"/>
          <cell r="L40"/>
          <cell r="M40"/>
          <cell r="N40"/>
          <cell r="O40"/>
          <cell r="P40"/>
          <cell r="Q40"/>
          <cell r="R40"/>
        </row>
        <row r="41">
          <cell r="B41"/>
          <cell r="C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</row>
        <row r="42">
          <cell r="B42" t="str">
            <v>Long fuselage1</v>
          </cell>
          <cell r="C42">
            <v>18.249999999999996</v>
          </cell>
          <cell r="E42">
            <v>7.7751582779612241</v>
          </cell>
          <cell r="F42">
            <v>1.9067326691224729</v>
          </cell>
          <cell r="G42">
            <v>45.874999999999957</v>
          </cell>
          <cell r="H42">
            <v>-26.762500000000031</v>
          </cell>
          <cell r="I42"/>
          <cell r="J42"/>
          <cell r="K42"/>
          <cell r="L42"/>
          <cell r="M42"/>
          <cell r="N42"/>
          <cell r="O42"/>
          <cell r="P42"/>
          <cell r="Q42"/>
          <cell r="R42"/>
        </row>
        <row r="43">
          <cell r="B43" t="str">
            <v>Long fuselage2</v>
          </cell>
          <cell r="C43">
            <v>16.25</v>
          </cell>
          <cell r="E43">
            <v>3.961692939716281</v>
          </cell>
          <cell r="F43">
            <v>-1.9067326691224702</v>
          </cell>
          <cell r="G43">
            <v>99.4</v>
          </cell>
          <cell r="H43">
            <v>26.762500000000017</v>
          </cell>
          <cell r="I43"/>
          <cell r="J43"/>
          <cell r="K43"/>
          <cell r="L43"/>
          <cell r="M43"/>
          <cell r="N43"/>
          <cell r="O43"/>
          <cell r="P43"/>
          <cell r="Q43"/>
          <cell r="R43"/>
        </row>
        <row r="44">
          <cell r="B44"/>
          <cell r="C44"/>
          <cell r="E44"/>
          <cell r="G44"/>
        </row>
        <row r="45">
          <cell r="B45" t="str">
            <v>inclinaison pales1</v>
          </cell>
          <cell r="C45">
            <v>12.05</v>
          </cell>
          <cell r="E45">
            <v>5.9557309725031278</v>
          </cell>
          <cell r="G45">
            <v>65.7</v>
          </cell>
        </row>
        <row r="46">
          <cell r="B46" t="str">
            <v>inclinaison pales2</v>
          </cell>
          <cell r="C46">
            <v>22.449999999999996</v>
          </cell>
          <cell r="E46">
            <v>5.7811202451743773</v>
          </cell>
          <cell r="G46">
            <v>79.57499999999996</v>
          </cell>
        </row>
        <row r="47">
          <cell r="B47"/>
          <cell r="C47"/>
          <cell r="E47"/>
          <cell r="G47"/>
        </row>
        <row r="48">
          <cell r="B48" t="str">
            <v>Nbre trombones1</v>
          </cell>
          <cell r="C48">
            <v>26.449999999999996</v>
          </cell>
          <cell r="E48">
            <v>7.0571199491859469</v>
          </cell>
          <cell r="G48">
            <v>125.82499999999996</v>
          </cell>
        </row>
        <row r="49">
          <cell r="B49" t="str">
            <v>Nbre trombones2</v>
          </cell>
          <cell r="C49">
            <v>8.0500000000000007</v>
          </cell>
          <cell r="E49">
            <v>4.6797312684915582</v>
          </cell>
          <cell r="G49">
            <v>19.45</v>
          </cell>
        </row>
        <row r="50">
          <cell r="B50"/>
          <cell r="C50"/>
          <cell r="E50"/>
          <cell r="G50"/>
        </row>
        <row r="51">
          <cell r="B51" t="str">
            <v>1</v>
          </cell>
          <cell r="C51">
            <v>14.25</v>
          </cell>
          <cell r="E51">
            <v>5.8372403926615828</v>
          </cell>
          <cell r="G51">
            <v>55.900000000000006</v>
          </cell>
        </row>
        <row r="52">
          <cell r="B52" t="str">
            <v>2</v>
          </cell>
          <cell r="C52">
            <v>20.25</v>
          </cell>
          <cell r="E52">
            <v>5.8996108250159223</v>
          </cell>
          <cell r="G52">
            <v>89.374999999999957</v>
          </cell>
        </row>
        <row r="59">
          <cell r="C59" t="str">
            <v>Larg pales</v>
          </cell>
          <cell r="E59">
            <v>1322.5</v>
          </cell>
        </row>
        <row r="60">
          <cell r="C60" t="str">
            <v>Long pales</v>
          </cell>
          <cell r="E60">
            <v>16.899999999999928</v>
          </cell>
        </row>
        <row r="61">
          <cell r="C61" t="str">
            <v>Larg fuselage</v>
          </cell>
          <cell r="E61">
            <v>3062.5</v>
          </cell>
        </row>
        <row r="62">
          <cell r="C62" t="str">
            <v>Long fuselage</v>
          </cell>
          <cell r="E62">
            <v>39.999999999999716</v>
          </cell>
        </row>
        <row r="63">
          <cell r="C63" t="str">
            <v>inclinaison pales</v>
          </cell>
          <cell r="E63">
            <v>1081.5999999999997</v>
          </cell>
        </row>
        <row r="64">
          <cell r="C64" t="str">
            <v>Nbre trombones</v>
          </cell>
          <cell r="E64">
            <v>3385.5999999999967</v>
          </cell>
        </row>
        <row r="65">
          <cell r="C65" t="str">
            <v/>
          </cell>
          <cell r="E65">
            <v>360</v>
          </cell>
        </row>
        <row r="66">
          <cell r="C66" t="str">
            <v>Résidus</v>
          </cell>
          <cell r="E66">
            <v>2324.4000000000051</v>
          </cell>
        </row>
        <row r="79">
          <cell r="W79" t="str">
            <v/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 t="str">
            <v/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 t="str">
            <v/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  <cell r="AN79" t="str">
            <v/>
          </cell>
        </row>
        <row r="80"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  <cell r="AN80" t="str">
            <v/>
          </cell>
        </row>
        <row r="81"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F81" t="str">
            <v/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 t="str">
            <v/>
          </cell>
          <cell r="AM81" t="str">
            <v/>
          </cell>
          <cell r="AN81" t="str">
            <v/>
          </cell>
        </row>
        <row r="83">
          <cell r="Z83" t="str">
            <v/>
          </cell>
          <cell r="AA83" t="str">
            <v/>
          </cell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  <cell r="AN83" t="str">
            <v/>
          </cell>
        </row>
        <row r="84">
          <cell r="Z84" t="str">
            <v/>
          </cell>
          <cell r="AA84" t="str">
            <v/>
          </cell>
          <cell r="AB84" t="str">
            <v/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  <cell r="AN84" t="str">
            <v/>
          </cell>
        </row>
        <row r="85">
          <cell r="Z85" t="str">
            <v/>
          </cell>
          <cell r="AA85" t="str">
            <v/>
          </cell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 t="str">
            <v/>
          </cell>
          <cell r="AN85" t="str">
            <v/>
          </cell>
        </row>
        <row r="87">
          <cell r="AC87" t="str">
            <v/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 t="str">
            <v/>
          </cell>
          <cell r="AI87" t="str">
            <v/>
          </cell>
          <cell r="AJ87" t="str">
            <v/>
          </cell>
          <cell r="AK87" t="str">
            <v/>
          </cell>
          <cell r="AL87" t="str">
            <v/>
          </cell>
          <cell r="AM87" t="str">
            <v/>
          </cell>
          <cell r="AN87" t="str">
            <v/>
          </cell>
        </row>
        <row r="88"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  <cell r="AN88" t="str">
            <v/>
          </cell>
        </row>
        <row r="89"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 t="str">
            <v/>
          </cell>
          <cell r="AN89" t="str">
            <v/>
          </cell>
        </row>
        <row r="91">
          <cell r="AF91" t="str">
            <v/>
          </cell>
          <cell r="AG91" t="str">
            <v/>
          </cell>
          <cell r="AH91" t="str">
            <v/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  <cell r="AN91" t="str">
            <v/>
          </cell>
        </row>
        <row r="92"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 t="str">
            <v/>
          </cell>
          <cell r="AN92" t="str">
            <v/>
          </cell>
        </row>
        <row r="93">
          <cell r="AF93" t="str">
            <v/>
          </cell>
          <cell r="AG93" t="str">
            <v/>
          </cell>
          <cell r="AH93" t="str">
            <v/>
          </cell>
          <cell r="AI93" t="str">
            <v/>
          </cell>
          <cell r="AJ93" t="str">
            <v/>
          </cell>
          <cell r="AK93" t="str">
            <v/>
          </cell>
          <cell r="AL93" t="str">
            <v/>
          </cell>
          <cell r="AM93" t="str">
            <v/>
          </cell>
          <cell r="AN93" t="str">
            <v/>
          </cell>
        </row>
        <row r="95"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 t="str">
            <v/>
          </cell>
          <cell r="AN95" t="str">
            <v/>
          </cell>
        </row>
        <row r="96"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 t="str">
            <v/>
          </cell>
          <cell r="AN96" t="str">
            <v/>
          </cell>
        </row>
        <row r="97"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 t="str">
            <v/>
          </cell>
          <cell r="AN97" t="str">
            <v/>
          </cell>
        </row>
        <row r="99">
          <cell r="AL99" t="str">
            <v/>
          </cell>
          <cell r="AM99" t="str">
            <v/>
          </cell>
          <cell r="AN99" t="str">
            <v/>
          </cell>
        </row>
        <row r="100">
          <cell r="AL100" t="str">
            <v/>
          </cell>
          <cell r="AM100" t="str">
            <v/>
          </cell>
          <cell r="AN100" t="str">
            <v/>
          </cell>
        </row>
        <row r="101">
          <cell r="AL101" t="str">
            <v/>
          </cell>
          <cell r="AM101" t="str">
            <v/>
          </cell>
          <cell r="AN101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BG310"/>
  <sheetViews>
    <sheetView topLeftCell="B1" zoomScale="62" zoomScaleNormal="100" workbookViewId="0">
      <selection activeCell="C122" sqref="C122"/>
    </sheetView>
  </sheetViews>
  <sheetFormatPr defaultColWidth="11.42578125" defaultRowHeight="12.75" x14ac:dyDescent="0.2"/>
  <cols>
    <col min="1" max="1" width="5.140625" customWidth="1"/>
    <col min="2" max="2" width="18.42578125" customWidth="1"/>
    <col min="3" max="9" width="17.42578125" customWidth="1"/>
    <col min="10" max="10" width="12.140625" customWidth="1"/>
    <col min="11" max="11" width="8.140625" customWidth="1"/>
    <col min="12" max="12" width="10.85546875" customWidth="1"/>
    <col min="13" max="20" width="11.140625" customWidth="1"/>
    <col min="21" max="21" width="5.85546875" customWidth="1"/>
    <col min="22" max="25" width="8.7109375" customWidth="1"/>
    <col min="26" max="26" width="28.28515625" bestFit="1" customWidth="1"/>
    <col min="27" max="69" width="8.7109375" customWidth="1"/>
  </cols>
  <sheetData>
    <row r="1" spans="1:59" x14ac:dyDescent="0.2">
      <c r="A1" s="57"/>
      <c r="B1" s="58"/>
      <c r="C1" s="58"/>
      <c r="D1" s="58"/>
      <c r="E1" s="59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60"/>
      <c r="V1" s="57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60"/>
    </row>
    <row r="2" spans="1:59" s="52" customFormat="1" ht="21" customHeight="1" x14ac:dyDescent="0.4">
      <c r="A2" s="61" t="str">
        <f>"Table L8, Réponse étudiée: " &amp;K18</f>
        <v>Table L8, Réponse étudiée: Durée du vol</v>
      </c>
      <c r="B2" s="43"/>
      <c r="C2" s="43"/>
      <c r="D2" s="43"/>
      <c r="E2" s="43"/>
      <c r="F2" s="43"/>
      <c r="G2" s="43"/>
      <c r="H2" s="43"/>
      <c r="I2" s="43"/>
      <c r="J2" s="43"/>
      <c r="K2" s="44"/>
      <c r="L2" s="43"/>
      <c r="M2" s="43"/>
      <c r="N2" s="43"/>
      <c r="O2" s="43"/>
      <c r="P2" s="43"/>
      <c r="Q2" s="43"/>
      <c r="R2" s="1"/>
      <c r="S2" s="1"/>
      <c r="T2" s="1"/>
      <c r="U2" s="62"/>
      <c r="V2" s="69"/>
      <c r="W2" s="45"/>
      <c r="X2" s="46"/>
      <c r="Y2" s="46"/>
      <c r="Z2" s="46"/>
      <c r="AA2" s="46"/>
      <c r="AB2" s="46"/>
      <c r="AC2" s="46"/>
      <c r="AD2" s="46"/>
      <c r="AE2" s="46"/>
      <c r="AF2" s="51" t="s">
        <v>0</v>
      </c>
      <c r="AG2" s="46"/>
      <c r="AH2" s="46"/>
      <c r="AI2" s="46"/>
      <c r="AJ2" s="46"/>
      <c r="AK2" s="46"/>
      <c r="AL2" s="46"/>
      <c r="BG2" s="70"/>
    </row>
    <row r="3" spans="1:59" x14ac:dyDescent="0.2">
      <c r="A3" s="63"/>
      <c r="C3" s="11"/>
      <c r="D3" s="11"/>
      <c r="E3" s="11"/>
      <c r="F3" s="11"/>
      <c r="G3" s="11"/>
      <c r="H3" s="11"/>
      <c r="I3" s="11"/>
      <c r="U3" s="64"/>
      <c r="V3" s="63"/>
      <c r="W3" s="11"/>
      <c r="X3" s="11"/>
      <c r="BG3" s="64"/>
    </row>
    <row r="4" spans="1:59" x14ac:dyDescent="0.2">
      <c r="A4" s="72"/>
      <c r="B4" s="11"/>
      <c r="C4" s="114" t="s">
        <v>79</v>
      </c>
      <c r="D4" s="114" t="s">
        <v>78</v>
      </c>
      <c r="E4" s="11" t="s">
        <v>76</v>
      </c>
      <c r="F4" s="114" t="s">
        <v>77</v>
      </c>
      <c r="G4" s="114" t="s">
        <v>80</v>
      </c>
      <c r="H4" s="114" t="s">
        <v>81</v>
      </c>
      <c r="I4" s="114" t="s">
        <v>82</v>
      </c>
      <c r="J4" s="11"/>
      <c r="K4" s="11"/>
      <c r="L4" s="11"/>
      <c r="U4" s="64"/>
      <c r="V4" s="63"/>
      <c r="AY4" s="64"/>
    </row>
    <row r="5" spans="1:59" x14ac:dyDescent="0.2">
      <c r="A5" s="63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U5" s="64"/>
      <c r="V5" s="63"/>
      <c r="AY5" s="64"/>
    </row>
    <row r="6" spans="1:59" ht="13.5" thickBot="1" x14ac:dyDescent="0.25">
      <c r="A6" s="63"/>
      <c r="B6" s="71" t="s">
        <v>1</v>
      </c>
      <c r="C6" s="82" t="s">
        <v>88</v>
      </c>
      <c r="D6" s="82" t="s">
        <v>89</v>
      </c>
      <c r="E6" s="82" t="s">
        <v>85</v>
      </c>
      <c r="F6" s="82" t="s">
        <v>86</v>
      </c>
      <c r="G6" s="82" t="s">
        <v>87</v>
      </c>
      <c r="H6" s="82" t="s">
        <v>90</v>
      </c>
      <c r="I6" s="82"/>
      <c r="U6" s="64"/>
      <c r="V6" s="63"/>
      <c r="AU6" s="64"/>
    </row>
    <row r="7" spans="1:59" x14ac:dyDescent="0.2">
      <c r="A7" s="63"/>
      <c r="B7" s="3" t="s">
        <v>2</v>
      </c>
      <c r="C7" s="81">
        <v>25</v>
      </c>
      <c r="D7" s="81">
        <v>60</v>
      </c>
      <c r="E7" s="81">
        <v>25</v>
      </c>
      <c r="F7" s="81">
        <v>50</v>
      </c>
      <c r="G7" s="40">
        <v>0</v>
      </c>
      <c r="H7" s="81">
        <v>1</v>
      </c>
      <c r="I7" s="81"/>
      <c r="K7" s="56" t="s">
        <v>3</v>
      </c>
      <c r="U7" s="64"/>
      <c r="V7" s="63"/>
      <c r="AU7" s="64"/>
    </row>
    <row r="8" spans="1:59" ht="13.5" thickBot="1" x14ac:dyDescent="0.25">
      <c r="A8" s="63"/>
      <c r="B8" s="71" t="s">
        <v>4</v>
      </c>
      <c r="C8" s="82">
        <v>60</v>
      </c>
      <c r="D8" s="82">
        <v>100</v>
      </c>
      <c r="E8" s="82">
        <v>40</v>
      </c>
      <c r="F8" s="82">
        <v>100</v>
      </c>
      <c r="G8" s="82">
        <v>10</v>
      </c>
      <c r="H8" s="82">
        <v>2</v>
      </c>
      <c r="I8" s="82"/>
      <c r="L8" s="18">
        <v>1</v>
      </c>
      <c r="M8" s="18">
        <v>2</v>
      </c>
      <c r="N8" s="18">
        <v>3</v>
      </c>
      <c r="O8" s="18">
        <v>4</v>
      </c>
      <c r="P8" s="18">
        <v>5</v>
      </c>
      <c r="Q8" s="18">
        <v>6</v>
      </c>
      <c r="R8" s="18">
        <v>7</v>
      </c>
      <c r="U8" s="64"/>
      <c r="V8" s="63"/>
      <c r="AU8" s="64"/>
    </row>
    <row r="9" spans="1:59" x14ac:dyDescent="0.2">
      <c r="A9" s="63"/>
      <c r="B9" s="12" t="str">
        <f>IF(C6="","",C6)</f>
        <v>Larg pales</v>
      </c>
      <c r="C9" s="49"/>
      <c r="D9" s="81"/>
      <c r="E9" s="40"/>
      <c r="F9" s="81"/>
      <c r="G9" s="40"/>
      <c r="H9" s="40"/>
      <c r="I9" s="81"/>
      <c r="K9" s="12">
        <v>1</v>
      </c>
      <c r="L9" s="49"/>
      <c r="M9" s="12">
        <v>3</v>
      </c>
      <c r="N9" s="12">
        <v>2</v>
      </c>
      <c r="O9" s="12">
        <v>5</v>
      </c>
      <c r="P9" s="12">
        <v>4</v>
      </c>
      <c r="Q9" s="12">
        <v>7</v>
      </c>
      <c r="R9" s="12">
        <v>6</v>
      </c>
      <c r="U9" s="64"/>
      <c r="V9" s="63"/>
      <c r="AU9" s="64"/>
    </row>
    <row r="10" spans="1:59" x14ac:dyDescent="0.2">
      <c r="A10" s="63"/>
      <c r="B10" s="12" t="str">
        <f>IF(D6="","",D6)</f>
        <v>Long pales</v>
      </c>
      <c r="C10" s="49"/>
      <c r="D10" s="49"/>
      <c r="E10" s="40"/>
      <c r="F10" s="81"/>
      <c r="G10" s="40"/>
      <c r="H10" s="40"/>
      <c r="I10" s="40"/>
      <c r="K10" s="12">
        <v>2</v>
      </c>
      <c r="L10" s="49"/>
      <c r="M10" s="49"/>
      <c r="N10" s="12">
        <v>1</v>
      </c>
      <c r="O10" s="12">
        <v>6</v>
      </c>
      <c r="P10" s="12">
        <v>7</v>
      </c>
      <c r="Q10" s="12">
        <v>4</v>
      </c>
      <c r="R10" s="12">
        <v>5</v>
      </c>
      <c r="U10" s="64"/>
      <c r="V10" s="63"/>
      <c r="Y10" s="11"/>
      <c r="AU10" s="64"/>
    </row>
    <row r="11" spans="1:59" x14ac:dyDescent="0.2">
      <c r="A11" s="63"/>
      <c r="B11" s="12" t="str">
        <f>IF(E6="","",E6)</f>
        <v>Larg fuselage</v>
      </c>
      <c r="C11" s="49"/>
      <c r="D11" s="49"/>
      <c r="E11" s="49"/>
      <c r="F11" s="40"/>
      <c r="G11" s="40"/>
      <c r="H11" s="40"/>
      <c r="I11" s="40"/>
      <c r="K11" s="12">
        <v>3</v>
      </c>
      <c r="L11" s="49"/>
      <c r="M11" s="49"/>
      <c r="N11" s="49"/>
      <c r="O11" s="12">
        <v>7</v>
      </c>
      <c r="P11" s="12">
        <v>6</v>
      </c>
      <c r="Q11" s="12">
        <v>5</v>
      </c>
      <c r="R11" s="12">
        <v>4</v>
      </c>
      <c r="U11" s="64"/>
      <c r="V11" s="63"/>
      <c r="Y11" s="13"/>
      <c r="AU11" s="64"/>
    </row>
    <row r="12" spans="1:59" ht="15.75" x14ac:dyDescent="0.25">
      <c r="A12" s="63"/>
      <c r="B12" s="12" t="str">
        <f>IF(F6="","",F6)</f>
        <v>Long fuselage</v>
      </c>
      <c r="C12" s="50"/>
      <c r="D12" s="49"/>
      <c r="E12" s="49"/>
      <c r="F12" s="49"/>
      <c r="G12" s="40"/>
      <c r="H12" s="40"/>
      <c r="I12" s="40"/>
      <c r="K12" s="12">
        <v>4</v>
      </c>
      <c r="L12" s="50"/>
      <c r="M12" s="49"/>
      <c r="N12" s="49"/>
      <c r="O12" s="49"/>
      <c r="P12" s="12">
        <v>1</v>
      </c>
      <c r="Q12" s="12">
        <v>2</v>
      </c>
      <c r="R12" s="12">
        <v>3</v>
      </c>
      <c r="U12" s="64"/>
      <c r="V12" s="63"/>
      <c r="AU12" s="64"/>
    </row>
    <row r="13" spans="1:59" x14ac:dyDescent="0.2">
      <c r="A13" s="63"/>
      <c r="B13" s="12" t="str">
        <f>IF(G6="","",G6)</f>
        <v>inclinaison pales</v>
      </c>
      <c r="C13" s="49"/>
      <c r="D13" s="49"/>
      <c r="E13" s="49"/>
      <c r="F13" s="49"/>
      <c r="G13" s="49"/>
      <c r="H13" s="40"/>
      <c r="I13" s="40"/>
      <c r="K13" s="12">
        <v>5</v>
      </c>
      <c r="L13" s="49"/>
      <c r="M13" s="49"/>
      <c r="N13" s="49"/>
      <c r="O13" s="49"/>
      <c r="P13" s="49"/>
      <c r="Q13" s="12">
        <v>3</v>
      </c>
      <c r="R13" s="12">
        <v>2</v>
      </c>
      <c r="U13" s="64"/>
      <c r="V13" s="63"/>
      <c r="AU13" s="64"/>
    </row>
    <row r="14" spans="1:59" x14ac:dyDescent="0.2">
      <c r="A14" s="63"/>
      <c r="B14" s="12" t="str">
        <f>IF(H6="","",H6)</f>
        <v>Nbre trombones</v>
      </c>
      <c r="C14" s="49"/>
      <c r="D14" s="49"/>
      <c r="E14" s="49"/>
      <c r="F14" s="49"/>
      <c r="G14" s="49"/>
      <c r="H14" s="49"/>
      <c r="I14" s="40"/>
      <c r="K14" s="12">
        <v>6</v>
      </c>
      <c r="L14" s="49"/>
      <c r="M14" s="49"/>
      <c r="N14" s="49"/>
      <c r="O14" s="49"/>
      <c r="P14" s="49"/>
      <c r="Q14" s="49"/>
      <c r="R14" s="12">
        <v>1</v>
      </c>
      <c r="U14" s="64"/>
      <c r="V14" s="63"/>
      <c r="AY14" s="64"/>
    </row>
    <row r="15" spans="1:59" x14ac:dyDescent="0.2">
      <c r="A15" s="63"/>
      <c r="B15" s="12" t="str">
        <f>IF(I6="","",I6)</f>
        <v/>
      </c>
      <c r="C15" s="49"/>
      <c r="D15" s="48"/>
      <c r="E15" s="48"/>
      <c r="F15" s="49"/>
      <c r="G15" s="49"/>
      <c r="H15" s="49"/>
      <c r="I15" s="48"/>
      <c r="K15" s="12">
        <v>7</v>
      </c>
      <c r="L15" s="49"/>
      <c r="M15" s="48"/>
      <c r="N15" s="48"/>
      <c r="O15" s="49"/>
      <c r="P15" s="49"/>
      <c r="Q15" s="49"/>
      <c r="R15" s="48"/>
      <c r="U15" s="64"/>
      <c r="V15" s="63"/>
      <c r="BG15" s="64"/>
    </row>
    <row r="16" spans="1:59" x14ac:dyDescent="0.2">
      <c r="A16" s="63"/>
      <c r="Q16" s="11"/>
      <c r="R16" s="47"/>
      <c r="U16" s="64"/>
      <c r="V16" s="63"/>
      <c r="BG16" s="64"/>
    </row>
    <row r="17" spans="1:59" x14ac:dyDescent="0.2">
      <c r="A17" s="63"/>
      <c r="Q17" s="11"/>
      <c r="R17" s="47"/>
      <c r="U17" s="64"/>
      <c r="V17" s="63"/>
      <c r="BG17" s="64"/>
    </row>
    <row r="18" spans="1:59" x14ac:dyDescent="0.2">
      <c r="A18" s="63"/>
      <c r="B18" s="2" t="s">
        <v>1</v>
      </c>
      <c r="C18" s="12" t="str">
        <f>IF(E10="",IF(G12="",IF(I14="",IF(C6="","",C6),IF(C6="",IF(I6="",B14&amp;"/"&amp;I18,B14&amp;"/"&amp;I6),"impossible !")),IF(I14="",IF(C6="",IF(G6="",B12&amp;"/"&amp;G18,B12&amp;"/"&amp;G6),"impossible !"),"impossible !")),IF(G12="",IF(I14="",IF(C6="",IF(E6="",B10&amp;"/"&amp;E18,B10&amp;"/"&amp;E6),"impossible !"),"impossible !"),"impossible !"))</f>
        <v>Larg pales</v>
      </c>
      <c r="D18" s="12" t="str">
        <f>IF(E9="",IF(H12="",IF(I13="",IF(D6="","",D6),IF(D6="",IF(I6="",B13&amp;"/"&amp;I18,B13&amp;"/"&amp;I6),"impossible !")),IF(I13="",IF(D6="",IF(H6="",B12&amp;"/"&amp;H18,B12&amp;"/"&amp;H6),"impossible !"),"impossible !")),IF(H12="",IF(I13="",IF(D6="",IF(E6="",B9&amp;"/"&amp;E18,B9&amp;"/"&amp;E6),"impossible !"),"impossible !"),"impossible !"))</f>
        <v>Long pales</v>
      </c>
      <c r="E18" s="12" t="str">
        <f>IF(D9="",IF(H13="",IF(I12="",IF(E6="","",E6),IF(E6="",IF(I6="",B12&amp;"/"&amp;I18,B12&amp;"/"&amp;I6),"impossible !")),IF(I12="",IF(E6="",IF(H6="",B13&amp;"/"&amp;H18,B13&amp;"/"&amp;H6),"impossible !"),"impossible !")),IF(H13="",IF(I12="",IF(E6="",IF(D6="",B9&amp;"/"&amp;D18,B9&amp;"/"&amp;D6),"impossible !"),"impossible !"),"impossible !"))</f>
        <v>Larg fuselage</v>
      </c>
      <c r="F18" s="12" t="str">
        <f>IF(G9="",IF(H10="",IF(I11="",IF(F6="","",F6),IF(F6="",IF(I6="",B11&amp;"/"&amp;I18,B11&amp;"/"&amp;I6),"impossible !")),IF(I11="",IF(F6="",IF(H6="",B10&amp;"/"&amp;H18,B10&amp;"/"&amp;H6),"impossible !"),"impossible !")),IF(H10="",IF(I11="",IF(F6="",IF(G6="",B9&amp;"/"&amp;G18,B9&amp;"/"&amp;G6),"impossible !"),"impossible !"),"impossible !"))</f>
        <v>Long fuselage</v>
      </c>
      <c r="G18" s="12" t="str">
        <f>IF(F9="",IF(H11="",IF(I10="",IF(G6="","",G6),IF(G6="",IF(I6="",B10&amp;"/"&amp;I18,B10&amp;"/"&amp;I6),"impossible !")),IF(I10="",IF(G6="",IF(H6="",B11&amp;"/"&amp;H18,B11&amp;"/"&amp;H6),"impossible !"),"impossible !")),IF(H11="",IF(I10="",IF(G6="",IF(F6="",B9&amp;"/"&amp;F18,B9&amp;"/"&amp;F6),"impossible"),"impossible !"),"impossible !"))</f>
        <v>inclinaison pales</v>
      </c>
      <c r="H18" s="12" t="str">
        <f>IF(F10="",IF(G11="",IF(I9="",IF(H6="","",H6),IF(H6="",IF(I6="",B9&amp;"/"&amp;I18,B9&amp;"/"&amp;I6),"impossible !")),IF(I9="",IF(H6="",IF(G6="",B11&amp;"/"&amp;G18,B11&amp;"/"&amp;G6),"impossible !"),"impossible !")),IF(G11="",IF(I9="",IF(H6="",IF(F6="",B10&amp;"/"&amp;F18,B10&amp;"/"&amp;F6),"impossible !"),"impossible !"),"impossible !"))</f>
        <v>Nbre trombones</v>
      </c>
      <c r="I18" s="12" t="str">
        <f>IF(F11="",IF(G10="",IF(H9="",IF(I6="","",I6),IF(I6="",IF(H6="",B9&amp;"/"&amp;H18,B9&amp;"/"&amp;H6),"impossible !")),IF(H9="",IF(I6="",IF(G6="",B10&amp;"/"&amp;G18,B10&amp;"/"&amp;G6),"impossible !"),"impossible !")),IF(G10="",IF(H9="",IF(I6="",IF(F6="",B11&amp;"/"&amp;F18,B11&amp;"/"&amp;F6),"impossible !"),"impossible !"),"impossible !"))</f>
        <v/>
      </c>
      <c r="J18" s="3" t="s">
        <v>5</v>
      </c>
      <c r="K18" s="42" t="s">
        <v>91</v>
      </c>
      <c r="L18" s="4"/>
      <c r="M18" s="4"/>
      <c r="N18" s="4"/>
      <c r="O18" s="5"/>
      <c r="P18" s="84" t="s">
        <v>64</v>
      </c>
      <c r="Q18" s="84" t="s">
        <v>63</v>
      </c>
      <c r="R18" s="84" t="s">
        <v>73</v>
      </c>
      <c r="S18" s="3" t="s">
        <v>6</v>
      </c>
      <c r="T18" s="41">
        <f>J28-MAX(D33:D34,D36:D37,D39:D40,D42:D43,D45:D46,D48:D49,D51:D52)*1.2</f>
        <v>1.5920499999999995</v>
      </c>
      <c r="U18" s="64"/>
      <c r="V18" s="63"/>
      <c r="BG18" s="64"/>
    </row>
    <row r="19" spans="1:59" ht="13.5" thickBot="1" x14ac:dyDescent="0.25">
      <c r="A19" s="63"/>
      <c r="B19" s="6" t="s">
        <v>7</v>
      </c>
      <c r="C19" s="3">
        <v>1</v>
      </c>
      <c r="D19" s="3">
        <v>2</v>
      </c>
      <c r="E19" s="3">
        <v>3</v>
      </c>
      <c r="F19" s="3">
        <v>4</v>
      </c>
      <c r="G19" s="3">
        <v>5</v>
      </c>
      <c r="H19" s="3">
        <v>6</v>
      </c>
      <c r="I19" s="3">
        <v>7</v>
      </c>
      <c r="J19" s="7" t="s">
        <v>8</v>
      </c>
      <c r="K19" s="8" t="s">
        <v>9</v>
      </c>
      <c r="L19" s="8" t="s">
        <v>10</v>
      </c>
      <c r="M19" s="8" t="s">
        <v>11</v>
      </c>
      <c r="N19" s="8" t="s">
        <v>12</v>
      </c>
      <c r="O19" s="6" t="s">
        <v>13</v>
      </c>
      <c r="P19" s="85"/>
      <c r="Q19" s="84" t="s">
        <v>65</v>
      </c>
      <c r="R19" s="85"/>
      <c r="S19" s="3" t="s">
        <v>14</v>
      </c>
      <c r="T19" s="41">
        <f>J28+MAX(D33:D34,D36:D37,D39:D40,D42:D43,D45:D46,D48:D49,D51:D52)*1.2</f>
        <v>2.1014500000000003</v>
      </c>
      <c r="U19" s="64"/>
      <c r="V19" s="63"/>
      <c r="BG19" s="64"/>
    </row>
    <row r="20" spans="1:59" ht="13.5" thickTop="1" x14ac:dyDescent="0.2">
      <c r="A20" s="63"/>
      <c r="B20" s="3">
        <v>1</v>
      </c>
      <c r="C20" s="108">
        <f t="shared" ref="C20:I20" si="0">IF(C$7="",1,C$7)</f>
        <v>25</v>
      </c>
      <c r="D20" s="108">
        <f t="shared" si="0"/>
        <v>60</v>
      </c>
      <c r="E20" s="108">
        <f t="shared" si="0"/>
        <v>25</v>
      </c>
      <c r="F20" s="108">
        <f t="shared" si="0"/>
        <v>50</v>
      </c>
      <c r="G20" s="108">
        <f t="shared" si="0"/>
        <v>0</v>
      </c>
      <c r="H20" s="108">
        <f t="shared" si="0"/>
        <v>1</v>
      </c>
      <c r="I20" s="108">
        <f t="shared" si="0"/>
        <v>1</v>
      </c>
      <c r="J20" s="9">
        <f t="shared" ref="J20:J27" si="1">AVERAGE(K20:O20)</f>
        <v>2.2439999999999998</v>
      </c>
      <c r="K20" s="40">
        <v>2.75</v>
      </c>
      <c r="L20" s="40">
        <v>1.76</v>
      </c>
      <c r="M20" s="40">
        <v>2.78</v>
      </c>
      <c r="N20" s="40">
        <v>1.82</v>
      </c>
      <c r="O20" s="40">
        <v>2.11</v>
      </c>
      <c r="P20" s="86">
        <f>_xlfn.STDEV.S(K20:O20)</f>
        <v>0.49379145395602064</v>
      </c>
      <c r="Q20" s="87">
        <f>10*(LOG10(((J20/P20)^2)-(1/5)))</f>
        <v>13.107321994722724</v>
      </c>
      <c r="R20" s="86">
        <f>_xlfn.VAR.S(K20:O20)</f>
        <v>0.24383000000000088</v>
      </c>
      <c r="U20" s="64"/>
      <c r="V20" s="63"/>
      <c r="BG20" s="64"/>
    </row>
    <row r="21" spans="1:59" x14ac:dyDescent="0.2">
      <c r="A21" s="63"/>
      <c r="B21" s="3">
        <v>2</v>
      </c>
      <c r="C21" s="108">
        <f>IF(C$7="",1,C$7)</f>
        <v>25</v>
      </c>
      <c r="D21" s="108">
        <f>IF(D$7="",1,D$7)</f>
        <v>60</v>
      </c>
      <c r="E21" s="108">
        <f>IF(E$7="",1,E$7)</f>
        <v>25</v>
      </c>
      <c r="F21" s="108">
        <f>IF(F$8="",2,F$8)</f>
        <v>100</v>
      </c>
      <c r="G21" s="108">
        <f>IF(G$8="",2,G$8)</f>
        <v>10</v>
      </c>
      <c r="H21" s="108">
        <f>IF(H$8="",2,H$8)</f>
        <v>2</v>
      </c>
      <c r="I21" s="108">
        <f>IF(I$8="",2,I$8)</f>
        <v>2</v>
      </c>
      <c r="J21" s="9">
        <f t="shared" si="1"/>
        <v>1.444</v>
      </c>
      <c r="K21" s="40">
        <v>1.6</v>
      </c>
      <c r="L21" s="40">
        <v>1.4</v>
      </c>
      <c r="M21" s="40">
        <v>1.5</v>
      </c>
      <c r="N21" s="40">
        <v>1.46</v>
      </c>
      <c r="O21" s="40">
        <v>1.26</v>
      </c>
      <c r="P21" s="86">
        <f t="shared" ref="P21:P27" si="2">_xlfn.STDEV.S(K21:O21)</f>
        <v>0.12601587201618694</v>
      </c>
      <c r="Q21" s="87">
        <f t="shared" ref="Q21:Q27" si="3">10*(LOG10(((J21/P21)^2)-(1/5)))</f>
        <v>21.176218832092061</v>
      </c>
      <c r="R21" s="86">
        <f t="shared" ref="R21:R27" si="4">_xlfn.VAR.S(K21:O21)</f>
        <v>1.5880000000000005E-2</v>
      </c>
      <c r="U21" s="64"/>
      <c r="V21" s="63"/>
      <c r="X21" s="11"/>
      <c r="BG21" s="64"/>
    </row>
    <row r="22" spans="1:59" x14ac:dyDescent="0.2">
      <c r="A22" s="63"/>
      <c r="B22" s="3">
        <v>3</v>
      </c>
      <c r="C22" s="108">
        <f>IF(C$7="",1,C$7)</f>
        <v>25</v>
      </c>
      <c r="D22" s="108">
        <f>IF(D$8="",2,D$8)</f>
        <v>100</v>
      </c>
      <c r="E22" s="108">
        <f>IF(E$8="",2,E$8)</f>
        <v>40</v>
      </c>
      <c r="F22" s="108">
        <f>IF(F$7="",1,F$7)</f>
        <v>50</v>
      </c>
      <c r="G22" s="108">
        <f>IF(G$7="",1,G$7)</f>
        <v>0</v>
      </c>
      <c r="H22" s="108">
        <f>IF(H$8="",2,H$8)</f>
        <v>2</v>
      </c>
      <c r="I22" s="108">
        <f>IF(I$8="",2,I$8)</f>
        <v>2</v>
      </c>
      <c r="J22" s="9">
        <f t="shared" si="1"/>
        <v>1.8039999999999998</v>
      </c>
      <c r="K22" s="40">
        <v>1.46</v>
      </c>
      <c r="L22" s="40">
        <v>1.95</v>
      </c>
      <c r="M22" s="40">
        <v>1.81</v>
      </c>
      <c r="N22" s="40">
        <v>2.1</v>
      </c>
      <c r="O22" s="40">
        <v>1.7</v>
      </c>
      <c r="P22" s="86">
        <f t="shared" si="2"/>
        <v>0.24398770460824382</v>
      </c>
      <c r="Q22" s="87">
        <f t="shared" si="3"/>
        <v>17.361454415838956</v>
      </c>
      <c r="R22" s="86">
        <f t="shared" si="4"/>
        <v>5.9529999999999639E-2</v>
      </c>
      <c r="U22" s="64"/>
      <c r="V22" s="63"/>
      <c r="BG22" s="64"/>
    </row>
    <row r="23" spans="1:59" x14ac:dyDescent="0.2">
      <c r="A23" s="63"/>
      <c r="B23" s="3">
        <v>4</v>
      </c>
      <c r="C23" s="108">
        <f>IF(C$7="",1,C$7)</f>
        <v>25</v>
      </c>
      <c r="D23" s="108">
        <f>IF(D$8="",2,D$8)</f>
        <v>100</v>
      </c>
      <c r="E23" s="108">
        <f>IF(E$8="",2,E$8)</f>
        <v>40</v>
      </c>
      <c r="F23" s="108">
        <f>IF(F$8="",2,F$8)</f>
        <v>100</v>
      </c>
      <c r="G23" s="108">
        <f>IF(G$8="",2,G$8)</f>
        <v>10</v>
      </c>
      <c r="H23" s="108">
        <f>IF(H$7="",1,H$7)</f>
        <v>1</v>
      </c>
      <c r="I23" s="108">
        <f>IF(I$7="",1,I$7)</f>
        <v>1</v>
      </c>
      <c r="J23" s="9">
        <f t="shared" si="1"/>
        <v>1.77</v>
      </c>
      <c r="K23" s="40">
        <v>1.86</v>
      </c>
      <c r="L23" s="40">
        <v>1.7</v>
      </c>
      <c r="M23" s="40">
        <v>1.88</v>
      </c>
      <c r="N23" s="40">
        <v>1.65</v>
      </c>
      <c r="O23" s="40">
        <v>1.76</v>
      </c>
      <c r="P23" s="86">
        <f t="shared" si="2"/>
        <v>9.949874371066203E-2</v>
      </c>
      <c r="Q23" s="87">
        <f t="shared" si="3"/>
        <v>25.000367762443968</v>
      </c>
      <c r="R23" s="86">
        <f t="shared" si="4"/>
        <v>9.900000000000006E-3</v>
      </c>
      <c r="U23" s="64"/>
      <c r="V23" s="63"/>
      <c r="BG23" s="64"/>
    </row>
    <row r="24" spans="1:59" x14ac:dyDescent="0.2">
      <c r="A24" s="63"/>
      <c r="B24" s="3">
        <v>5</v>
      </c>
      <c r="C24" s="108">
        <f>IF(C$8="",2,C$8)</f>
        <v>60</v>
      </c>
      <c r="D24" s="108">
        <f>IF(D$7="",1,D$7)</f>
        <v>60</v>
      </c>
      <c r="E24" s="108">
        <f>IF(E$8="",2,E$8)</f>
        <v>40</v>
      </c>
      <c r="F24" s="108">
        <f>IF(F$7="",1,F$7)</f>
        <v>50</v>
      </c>
      <c r="G24" s="108">
        <f>IF(G$8="",2,G$8)</f>
        <v>10</v>
      </c>
      <c r="H24" s="108">
        <f>IF(H$7="",1,H$7)</f>
        <v>1</v>
      </c>
      <c r="I24" s="108">
        <f>IF(I$8="",2,I$8)</f>
        <v>2</v>
      </c>
      <c r="J24" s="9">
        <f t="shared" si="1"/>
        <v>1.5960000000000001</v>
      </c>
      <c r="K24" s="40">
        <v>1.55</v>
      </c>
      <c r="L24" s="40">
        <v>1.6</v>
      </c>
      <c r="M24" s="40">
        <v>1.5</v>
      </c>
      <c r="N24" s="40">
        <v>1.8</v>
      </c>
      <c r="O24" s="40">
        <v>1.53</v>
      </c>
      <c r="P24" s="86">
        <f t="shared" si="2"/>
        <v>0.11970797801316337</v>
      </c>
      <c r="Q24" s="87">
        <f t="shared" si="3"/>
        <v>22.493306621031827</v>
      </c>
      <c r="R24" s="86">
        <f t="shared" si="4"/>
        <v>1.4330000000000002E-2</v>
      </c>
      <c r="U24" s="64"/>
      <c r="V24" s="63"/>
      <c r="Y24" s="11"/>
      <c r="Z24" s="11"/>
      <c r="AA24" s="11"/>
      <c r="AB24" s="11"/>
      <c r="AC24" s="11"/>
      <c r="AD24" s="11"/>
      <c r="AE24" s="11"/>
      <c r="BG24" s="64"/>
    </row>
    <row r="25" spans="1:59" x14ac:dyDescent="0.2">
      <c r="A25" s="63"/>
      <c r="B25" s="3">
        <v>6</v>
      </c>
      <c r="C25" s="108">
        <f>IF(C$8="",2,C$8)</f>
        <v>60</v>
      </c>
      <c r="D25" s="108">
        <f>IF(D$7="",1,D$7)</f>
        <v>60</v>
      </c>
      <c r="E25" s="108">
        <f>IF(E$8="",2,E$8)</f>
        <v>40</v>
      </c>
      <c r="F25" s="108">
        <f>IF(F$8="",2,F$8)</f>
        <v>100</v>
      </c>
      <c r="G25" s="108">
        <f>IF(G$7="",1,G$7)</f>
        <v>0</v>
      </c>
      <c r="H25" s="108">
        <f>IF(H$8="",2,H$8)</f>
        <v>2</v>
      </c>
      <c r="I25" s="108">
        <f>IF(I$7="",1,I$7)</f>
        <v>1</v>
      </c>
      <c r="J25" s="9">
        <f t="shared" si="1"/>
        <v>1.5859999999999999</v>
      </c>
      <c r="K25" s="40">
        <v>1.66</v>
      </c>
      <c r="L25" s="40">
        <v>1.48</v>
      </c>
      <c r="M25" s="40">
        <v>1.78</v>
      </c>
      <c r="N25" s="40">
        <v>1.53</v>
      </c>
      <c r="O25" s="40">
        <v>1.48</v>
      </c>
      <c r="P25" s="86">
        <f t="shared" si="2"/>
        <v>0.13107249902248755</v>
      </c>
      <c r="Q25" s="87">
        <f t="shared" si="3"/>
        <v>21.649895599976468</v>
      </c>
      <c r="R25" s="86">
        <f t="shared" si="4"/>
        <v>1.7180000000000001E-2</v>
      </c>
      <c r="U25" s="64"/>
      <c r="V25" s="63"/>
      <c r="BG25" s="64"/>
    </row>
    <row r="26" spans="1:59" x14ac:dyDescent="0.2">
      <c r="A26" s="63"/>
      <c r="B26" s="3">
        <v>7</v>
      </c>
      <c r="C26" s="108">
        <f>IF(C$8="",2,C$8)</f>
        <v>60</v>
      </c>
      <c r="D26" s="108">
        <f>IF(D$8="",2,D$8)</f>
        <v>100</v>
      </c>
      <c r="E26" s="108">
        <f>IF(E$7="",1,E$7)</f>
        <v>25</v>
      </c>
      <c r="F26" s="108">
        <f>IF(F$7="",1,F$7)</f>
        <v>50</v>
      </c>
      <c r="G26" s="108">
        <f>IF(G$8="",2,G$8)</f>
        <v>10</v>
      </c>
      <c r="H26" s="108">
        <f>IF(H$8="",2,H$8)</f>
        <v>2</v>
      </c>
      <c r="I26" s="108">
        <f>IF(I$7="",1,I$7)</f>
        <v>1</v>
      </c>
      <c r="J26" s="9">
        <f t="shared" si="1"/>
        <v>1.7280000000000002</v>
      </c>
      <c r="K26" s="40">
        <v>1.75</v>
      </c>
      <c r="L26" s="40">
        <v>1.6</v>
      </c>
      <c r="M26" s="40">
        <v>1.86</v>
      </c>
      <c r="N26" s="40">
        <v>1.83</v>
      </c>
      <c r="O26" s="40">
        <v>1.6</v>
      </c>
      <c r="P26" s="86">
        <f t="shared" si="2"/>
        <v>0.12357184145265457</v>
      </c>
      <c r="Q26" s="87">
        <f t="shared" si="3"/>
        <v>22.90804024897518</v>
      </c>
      <c r="R26" s="86">
        <f t="shared" si="4"/>
        <v>1.5269999999999999E-2</v>
      </c>
      <c r="U26" s="64"/>
      <c r="V26" s="63"/>
      <c r="BG26" s="64"/>
    </row>
    <row r="27" spans="1:59" x14ac:dyDescent="0.2">
      <c r="A27" s="63"/>
      <c r="B27" s="3">
        <v>8</v>
      </c>
      <c r="C27" s="108">
        <f>IF(C$8="",2,C$8)</f>
        <v>60</v>
      </c>
      <c r="D27" s="108">
        <f>IF(D$8="",2,D$8)</f>
        <v>100</v>
      </c>
      <c r="E27" s="108">
        <f>IF(E$7="",1,E$7)</f>
        <v>25</v>
      </c>
      <c r="F27" s="108">
        <f>IF(F$8="",2,F$8)</f>
        <v>100</v>
      </c>
      <c r="G27" s="108">
        <f>IF(G$7="",1,G$7)</f>
        <v>0</v>
      </c>
      <c r="H27" s="108">
        <f>IF(H$7="",1,H$7)</f>
        <v>1</v>
      </c>
      <c r="I27" s="108">
        <f>IF(I$8="",2,I$8)</f>
        <v>2</v>
      </c>
      <c r="J27" s="9">
        <f t="shared" si="1"/>
        <v>2.6019999999999999</v>
      </c>
      <c r="K27" s="40">
        <v>2.63</v>
      </c>
      <c r="L27" s="40">
        <v>2.78</v>
      </c>
      <c r="M27" s="40">
        <v>2.6</v>
      </c>
      <c r="N27" s="40">
        <v>2.5</v>
      </c>
      <c r="O27" s="81">
        <v>2.5</v>
      </c>
      <c r="P27" s="86">
        <f t="shared" si="2"/>
        <v>0.11541230437002799</v>
      </c>
      <c r="Q27" s="87">
        <f t="shared" si="3"/>
        <v>27.059394409865412</v>
      </c>
      <c r="R27" s="86">
        <f t="shared" si="4"/>
        <v>1.3319999999999981E-2</v>
      </c>
      <c r="U27" s="64"/>
      <c r="V27" s="63"/>
      <c r="BG27" s="64"/>
    </row>
    <row r="28" spans="1:59" x14ac:dyDescent="0.2">
      <c r="A28" s="63"/>
      <c r="C28" s="10" t="str">
        <f t="shared" ref="C28:I28" si="5">C18</f>
        <v>Larg pales</v>
      </c>
      <c r="D28" s="10" t="str">
        <f t="shared" si="5"/>
        <v>Long pales</v>
      </c>
      <c r="E28" s="10" t="str">
        <f t="shared" si="5"/>
        <v>Larg fuselage</v>
      </c>
      <c r="F28" s="10" t="str">
        <f t="shared" si="5"/>
        <v>Long fuselage</v>
      </c>
      <c r="G28" s="10" t="str">
        <f t="shared" si="5"/>
        <v>inclinaison pales</v>
      </c>
      <c r="H28" s="10" t="str">
        <f t="shared" si="5"/>
        <v>Nbre trombones</v>
      </c>
      <c r="I28" s="10" t="str">
        <f t="shared" si="5"/>
        <v/>
      </c>
      <c r="J28" s="93">
        <f>AVERAGE(J20:J27)</f>
        <v>1.8467499999999999</v>
      </c>
      <c r="K28" s="11"/>
      <c r="L28" s="11"/>
      <c r="M28" s="11"/>
      <c r="N28" s="11"/>
      <c r="O28" s="11"/>
      <c r="Q28" s="94">
        <f>AVERAGE(Q20:Q27)</f>
        <v>21.344499985618324</v>
      </c>
      <c r="R28" s="98">
        <f>AVERAGE(R20:R27)</f>
        <v>4.8655000000000073E-2</v>
      </c>
      <c r="U28" s="64"/>
      <c r="V28" s="63"/>
      <c r="BG28" s="64"/>
    </row>
    <row r="29" spans="1:59" x14ac:dyDescent="0.2">
      <c r="A29" s="63"/>
      <c r="B29" s="55"/>
      <c r="C29" s="9">
        <f>IF($D59="o",$D34,0)</f>
        <v>3.1250000000000222E-2</v>
      </c>
      <c r="D29" s="9">
        <f>IF($D60="o",$D37,0)</f>
        <v>0.12925000000000009</v>
      </c>
      <c r="E29" s="9">
        <f>IF($D61="o",$D40,0)</f>
        <v>-0.15774999999999983</v>
      </c>
      <c r="F29" s="9">
        <f>IF($D62="o",$D43,0)</f>
        <v>3.7499999999999201E-3</v>
      </c>
      <c r="G29" s="9">
        <f>IF($D63="o",$D46,0)</f>
        <v>-0.21224999999999983</v>
      </c>
      <c r="H29" s="9">
        <f>IF($D64="o",$D49,0)</f>
        <v>-0.20625000000000004</v>
      </c>
      <c r="I29" s="9">
        <f>IF($D65="o",$D52,0)</f>
        <v>1.4750000000000041E-2</v>
      </c>
      <c r="U29" s="64"/>
      <c r="V29" s="63"/>
      <c r="BG29" s="64"/>
    </row>
    <row r="30" spans="1:59" x14ac:dyDescent="0.2">
      <c r="A30" s="63"/>
      <c r="U30" s="64"/>
      <c r="V30" s="63"/>
      <c r="BG30" s="64"/>
    </row>
    <row r="31" spans="1:59" x14ac:dyDescent="0.2">
      <c r="A31" s="63"/>
      <c r="U31" s="64"/>
      <c r="V31" s="63"/>
      <c r="BG31" s="64"/>
    </row>
    <row r="32" spans="1:59" s="91" customFormat="1" ht="36.75" customHeight="1" x14ac:dyDescent="0.2">
      <c r="A32" s="88"/>
      <c r="B32" s="89" t="s">
        <v>15</v>
      </c>
      <c r="C32" s="90" t="s">
        <v>68</v>
      </c>
      <c r="D32" s="90" t="s">
        <v>66</v>
      </c>
      <c r="E32" s="90" t="s">
        <v>69</v>
      </c>
      <c r="F32" s="90" t="s">
        <v>67</v>
      </c>
      <c r="G32" s="90" t="s">
        <v>74</v>
      </c>
      <c r="H32" s="90" t="s">
        <v>75</v>
      </c>
      <c r="V32" s="88"/>
      <c r="BG32" s="92"/>
    </row>
    <row r="33" spans="1:59" x14ac:dyDescent="0.2">
      <c r="A33" s="63"/>
      <c r="B33" s="12" t="str">
        <f>C28&amp;1</f>
        <v>Larg pales1</v>
      </c>
      <c r="C33" s="9">
        <f>AVERAGE(J20:J23)</f>
        <v>1.8154999999999997</v>
      </c>
      <c r="D33" s="118">
        <f>C33-$J$28</f>
        <v>-3.1250000000000222E-2</v>
      </c>
      <c r="E33" s="9">
        <f>AVERAGE(Q20:Q23)</f>
        <v>19.161340751274427</v>
      </c>
      <c r="F33" s="9">
        <f>E33-$Q$28</f>
        <v>-2.183159234343897</v>
      </c>
      <c r="G33" s="9">
        <f>AVERAGE(R20:R23)</f>
        <v>8.2285000000000136E-2</v>
      </c>
      <c r="H33" s="9">
        <f>G33-$R$28</f>
        <v>3.3630000000000063E-2</v>
      </c>
      <c r="V33" s="63"/>
      <c r="BG33" s="64"/>
    </row>
    <row r="34" spans="1:59" x14ac:dyDescent="0.2">
      <c r="A34" s="63"/>
      <c r="B34" s="12" t="str">
        <f>C28&amp;2</f>
        <v>Larg pales2</v>
      </c>
      <c r="C34" s="9">
        <f>AVERAGE(J24:J27)</f>
        <v>1.8780000000000001</v>
      </c>
      <c r="D34" s="118">
        <f>C34-$J$28</f>
        <v>3.1250000000000222E-2</v>
      </c>
      <c r="E34" s="9">
        <f>AVERAGE(Q24:Q27)</f>
        <v>23.527659219962224</v>
      </c>
      <c r="F34" s="9">
        <f>E34-$Q$28</f>
        <v>2.1831592343439006</v>
      </c>
      <c r="G34" s="9">
        <f>AVERAGE(R24:R27)</f>
        <v>1.5024999999999997E-2</v>
      </c>
      <c r="H34" s="9">
        <f>G34-$R$28</f>
        <v>-3.3630000000000076E-2</v>
      </c>
      <c r="V34" s="63"/>
      <c r="BG34" s="64"/>
    </row>
    <row r="35" spans="1:59" x14ac:dyDescent="0.2">
      <c r="A35" s="63"/>
      <c r="B35" s="11"/>
      <c r="C35" s="13"/>
      <c r="D35" s="119"/>
      <c r="E35" s="14"/>
      <c r="F35" s="14"/>
      <c r="G35" s="14"/>
      <c r="H35" s="14"/>
      <c r="V35" s="63"/>
      <c r="BG35" s="64"/>
    </row>
    <row r="36" spans="1:59" x14ac:dyDescent="0.2">
      <c r="A36" s="63"/>
      <c r="B36" s="12" t="str">
        <f>D28&amp;1</f>
        <v>Long pales1</v>
      </c>
      <c r="C36" s="9">
        <f>AVERAGE(J20,J21,J24,J25)</f>
        <v>1.7174999999999998</v>
      </c>
      <c r="D36" s="118">
        <f>C36-$J$28</f>
        <v>-0.12925000000000009</v>
      </c>
      <c r="E36" s="9">
        <f>AVERAGE(Q20,Q21,Q24,Q25)</f>
        <v>19.60668576195577</v>
      </c>
      <c r="F36" s="9">
        <f>E36-$Q$28</f>
        <v>-1.7378142236625536</v>
      </c>
      <c r="G36" s="9">
        <f>AVERAGE(R20,R21,R24,R25)</f>
        <v>7.2805000000000231E-2</v>
      </c>
      <c r="H36" s="9">
        <f>G36-$R$28</f>
        <v>2.4150000000000157E-2</v>
      </c>
      <c r="V36" s="63"/>
      <c r="BG36" s="64"/>
    </row>
    <row r="37" spans="1:59" x14ac:dyDescent="0.2">
      <c r="A37" s="63"/>
      <c r="B37" s="12" t="str">
        <f>D28&amp;2</f>
        <v>Long pales2</v>
      </c>
      <c r="C37" s="9">
        <f>AVERAGE(J22,J23,J26,J27)</f>
        <v>1.976</v>
      </c>
      <c r="D37" s="118">
        <f>C37-$J$28</f>
        <v>0.12925000000000009</v>
      </c>
      <c r="E37" s="9">
        <f>AVERAGE(Q22,Q23,Q26,Q27)</f>
        <v>23.082314209280881</v>
      </c>
      <c r="F37" s="9">
        <f>E37-$Q$28</f>
        <v>1.7378142236625571</v>
      </c>
      <c r="G37" s="9">
        <f>AVERAGE(R22,R23,R26,R27)</f>
        <v>2.4504999999999905E-2</v>
      </c>
      <c r="H37" s="9">
        <f>G37-$R$28</f>
        <v>-2.4150000000000168E-2</v>
      </c>
      <c r="V37" s="63"/>
      <c r="BG37" s="64"/>
    </row>
    <row r="38" spans="1:59" x14ac:dyDescent="0.2">
      <c r="A38" s="63"/>
      <c r="B38" s="11"/>
      <c r="C38" s="13"/>
      <c r="D38" s="119"/>
      <c r="E38" s="13"/>
      <c r="F38" s="14"/>
      <c r="G38" s="13"/>
      <c r="H38" s="14"/>
      <c r="V38" s="63"/>
      <c r="BG38" s="64"/>
    </row>
    <row r="39" spans="1:59" x14ac:dyDescent="0.2">
      <c r="A39" s="63"/>
      <c r="B39" s="12" t="str">
        <f>E28&amp;1</f>
        <v>Larg fuselage1</v>
      </c>
      <c r="C39" s="9">
        <f>AVERAGE(J20,J21,J26,J27)</f>
        <v>2.0045000000000002</v>
      </c>
      <c r="D39" s="118">
        <f>C39-$J$28</f>
        <v>0.15775000000000028</v>
      </c>
      <c r="E39" s="9">
        <f>AVERAGE(Q20,Q21,Q26,Q27)</f>
        <v>21.062743871413844</v>
      </c>
      <c r="F39" s="9">
        <f>E39-$Q$28</f>
        <v>-0.28175611420448021</v>
      </c>
      <c r="G39" s="9">
        <f>AVERAGE(R20,R21,R26,R27)</f>
        <v>7.2075000000000222E-2</v>
      </c>
      <c r="H39" s="9">
        <f>G39-$R$28</f>
        <v>2.3420000000000149E-2</v>
      </c>
      <c r="V39" s="63"/>
      <c r="BG39" s="64"/>
    </row>
    <row r="40" spans="1:59" x14ac:dyDescent="0.2">
      <c r="A40" s="63"/>
      <c r="B40" s="12" t="str">
        <f>E28&amp;2</f>
        <v>Larg fuselage2</v>
      </c>
      <c r="C40" s="9">
        <f>AVERAGE(J22:J25)</f>
        <v>1.6890000000000001</v>
      </c>
      <c r="D40" s="118">
        <f>C40-$J$28</f>
        <v>-0.15774999999999983</v>
      </c>
      <c r="E40" s="9">
        <f>AVERAGE(Q22:Q25)</f>
        <v>21.626256099822804</v>
      </c>
      <c r="F40" s="9">
        <f>E40-$Q$28</f>
        <v>0.28175611420448021</v>
      </c>
      <c r="G40" s="9">
        <f>AVERAGE(R22:R25)</f>
        <v>2.523499999999991E-2</v>
      </c>
      <c r="H40" s="9">
        <f>G40-$R$28</f>
        <v>-2.3420000000000163E-2</v>
      </c>
      <c r="V40" s="63"/>
      <c r="BG40" s="64"/>
    </row>
    <row r="41" spans="1:59" x14ac:dyDescent="0.2">
      <c r="A41" s="63"/>
      <c r="B41" s="11"/>
      <c r="C41" s="13"/>
      <c r="D41" s="119"/>
      <c r="E41" s="13"/>
      <c r="F41" s="14"/>
      <c r="G41" s="13"/>
      <c r="H41" s="14"/>
      <c r="V41" s="63"/>
      <c r="BG41" s="64"/>
    </row>
    <row r="42" spans="1:59" x14ac:dyDescent="0.2">
      <c r="A42" s="63"/>
      <c r="B42" s="12" t="str">
        <f>F28&amp;1</f>
        <v>Long fuselage1</v>
      </c>
      <c r="C42" s="9">
        <f>AVERAGE(J20,J22,J24,J26)</f>
        <v>1.843</v>
      </c>
      <c r="D42" s="118">
        <f>C42-$J$28</f>
        <v>-3.7499999999999201E-3</v>
      </c>
      <c r="E42" s="9">
        <f>AVERAGE(Q20,Q22,Q24,Q26)</f>
        <v>18.967530820142173</v>
      </c>
      <c r="F42" s="9">
        <f>E42-$Q$28</f>
        <v>-2.3769691654761509</v>
      </c>
      <c r="G42" s="9">
        <f>AVERAGE(R20,R22,R24,R26)</f>
        <v>8.3240000000000133E-2</v>
      </c>
      <c r="H42" s="9">
        <f>G42-$R$28</f>
        <v>3.458500000000006E-2</v>
      </c>
      <c r="V42" s="63"/>
      <c r="BG42" s="64"/>
    </row>
    <row r="43" spans="1:59" x14ac:dyDescent="0.2">
      <c r="A43" s="63"/>
      <c r="B43" s="12" t="str">
        <f>F28&amp;2</f>
        <v>Long fuselage2</v>
      </c>
      <c r="C43" s="9">
        <f>AVERAGE(J21,J23,J25,J27)</f>
        <v>1.8504999999999998</v>
      </c>
      <c r="D43" s="118">
        <f>C43-$J$28</f>
        <v>3.7499999999999201E-3</v>
      </c>
      <c r="E43" s="9">
        <f>AVERAGE(Q21,Q23,Q25,Q27)</f>
        <v>23.721469151094475</v>
      </c>
      <c r="F43" s="9">
        <f>E43-$Q$28</f>
        <v>2.3769691654761509</v>
      </c>
      <c r="G43" s="9">
        <f>AVERAGE(R21,R23,R25,R27)</f>
        <v>1.4069999999999999E-2</v>
      </c>
      <c r="H43" s="9">
        <f>G43-$R$28</f>
        <v>-3.4585000000000074E-2</v>
      </c>
      <c r="V43" s="63"/>
      <c r="BG43" s="64"/>
    </row>
    <row r="44" spans="1:59" x14ac:dyDescent="0.2">
      <c r="A44" s="63"/>
      <c r="B44" s="11"/>
      <c r="C44" s="13"/>
      <c r="D44" s="119"/>
      <c r="E44" s="13"/>
      <c r="F44" s="14"/>
      <c r="G44" s="13"/>
      <c r="H44" s="14"/>
      <c r="V44" s="63"/>
      <c r="BG44" s="64"/>
    </row>
    <row r="45" spans="1:59" x14ac:dyDescent="0.2">
      <c r="A45" s="63"/>
      <c r="B45" s="12" t="str">
        <f>G28&amp;1</f>
        <v>inclinaison pales1</v>
      </c>
      <c r="C45" s="9">
        <f>AVERAGE(J20,J22,J25,J27)</f>
        <v>2.0590000000000002</v>
      </c>
      <c r="D45" s="118">
        <f>C45-$J$28</f>
        <v>0.21225000000000027</v>
      </c>
      <c r="E45" s="9">
        <f>AVERAGE(Q20,Q22,Q25,Q27)</f>
        <v>19.794516605100888</v>
      </c>
      <c r="F45" s="9">
        <f>E45-$Q$28</f>
        <v>-1.5499833805174354</v>
      </c>
      <c r="G45" s="9">
        <f>AVERAGE(R20,R22,R25,R27)</f>
        <v>8.3465000000000122E-2</v>
      </c>
      <c r="H45" s="9">
        <f>G45-$R$28</f>
        <v>3.4810000000000049E-2</v>
      </c>
      <c r="V45" s="63"/>
      <c r="BG45" s="64"/>
    </row>
    <row r="46" spans="1:59" x14ac:dyDescent="0.2">
      <c r="A46" s="63"/>
      <c r="B46" s="12" t="str">
        <f>G28&amp;2</f>
        <v>inclinaison pales2</v>
      </c>
      <c r="C46" s="9">
        <f>+AVERAGE(J21,J23,J24,J26)</f>
        <v>1.6345000000000001</v>
      </c>
      <c r="D46" s="118">
        <f>C46-$J$28</f>
        <v>-0.21224999999999983</v>
      </c>
      <c r="E46" s="9">
        <f>+AVERAGE(Q21,Q23,Q24,Q26)</f>
        <v>22.894483366135763</v>
      </c>
      <c r="F46" s="9">
        <f>E46-$Q$28</f>
        <v>1.549983380517439</v>
      </c>
      <c r="G46" s="9">
        <f>+AVERAGE(R21,R23,R24,R26)</f>
        <v>1.3845000000000003E-2</v>
      </c>
      <c r="H46" s="9">
        <f>G46-$R$28</f>
        <v>-3.481000000000007E-2</v>
      </c>
      <c r="V46" s="63"/>
      <c r="BG46" s="64"/>
    </row>
    <row r="47" spans="1:59" x14ac:dyDescent="0.2">
      <c r="A47" s="63"/>
      <c r="B47" s="11"/>
      <c r="C47" s="13"/>
      <c r="D47" s="119"/>
      <c r="E47" s="13"/>
      <c r="F47" s="14"/>
      <c r="G47" s="13"/>
      <c r="H47" s="14"/>
      <c r="V47" s="63"/>
      <c r="BG47" s="64"/>
    </row>
    <row r="48" spans="1:59" x14ac:dyDescent="0.2">
      <c r="A48" s="63"/>
      <c r="B48" s="12" t="str">
        <f>H28&amp;1</f>
        <v>Nbre trombones1</v>
      </c>
      <c r="C48" s="9">
        <f>AVERAGE(J20,J23,J24,J27)</f>
        <v>2.0529999999999999</v>
      </c>
      <c r="D48" s="118">
        <f>C48-$J$28</f>
        <v>0.20625000000000004</v>
      </c>
      <c r="E48" s="9">
        <f>AVERAGE(Q20,Q23,Q24,Q27)</f>
        <v>21.915097697015984</v>
      </c>
      <c r="F48" s="9">
        <f>E48-$Q$28</f>
        <v>0.57059771139766013</v>
      </c>
      <c r="G48" s="9">
        <f>AVERAGE(R20,R23,R24,R27)</f>
        <v>7.0345000000000227E-2</v>
      </c>
      <c r="H48" s="9">
        <f>G48-$R$28</f>
        <v>2.1690000000000154E-2</v>
      </c>
      <c r="V48" s="63"/>
      <c r="BG48" s="64"/>
    </row>
    <row r="49" spans="1:59" x14ac:dyDescent="0.2">
      <c r="A49" s="63"/>
      <c r="B49" s="12" t="str">
        <f>H28&amp;2</f>
        <v>Nbre trombones2</v>
      </c>
      <c r="C49" s="9">
        <f>AVERAGE(J21,J22,J25,J26)</f>
        <v>1.6404999999999998</v>
      </c>
      <c r="D49" s="118">
        <f>C49-$J$28</f>
        <v>-0.20625000000000004</v>
      </c>
      <c r="E49" s="9">
        <f>AVERAGE(Q21,Q22,Q25,Q26)</f>
        <v>20.773902274220667</v>
      </c>
      <c r="F49" s="9">
        <f>E49-$Q$28</f>
        <v>-0.57059771139765658</v>
      </c>
      <c r="G49" s="9">
        <f>AVERAGE(R21,R22,R25,R26)</f>
        <v>2.6964999999999913E-2</v>
      </c>
      <c r="H49" s="9">
        <f>G49-$R$28</f>
        <v>-2.1690000000000161E-2</v>
      </c>
      <c r="V49" s="63"/>
      <c r="BG49" s="64"/>
    </row>
    <row r="50" spans="1:59" x14ac:dyDescent="0.2">
      <c r="A50" s="63"/>
      <c r="B50" s="11"/>
      <c r="C50" s="13"/>
      <c r="D50" s="119"/>
      <c r="E50" s="13"/>
      <c r="F50" s="14"/>
      <c r="G50" s="13"/>
      <c r="H50" s="14"/>
      <c r="V50" s="63"/>
      <c r="BG50" s="64"/>
    </row>
    <row r="51" spans="1:59" x14ac:dyDescent="0.2">
      <c r="A51" s="63"/>
      <c r="B51" s="12" t="str">
        <f>I28&amp;1</f>
        <v>1</v>
      </c>
      <c r="C51" s="9">
        <f>AVERAGE(J20,J23,J25,J26)</f>
        <v>1.8319999999999999</v>
      </c>
      <c r="D51" s="118">
        <f>C51-$J$28</f>
        <v>-1.4750000000000041E-2</v>
      </c>
      <c r="E51" s="9">
        <f>AVERAGE(Q20,Q23,Q25,Q26)</f>
        <v>20.666406401529585</v>
      </c>
      <c r="F51" s="9">
        <f>E51-$Q$28</f>
        <v>-0.67809358408873877</v>
      </c>
      <c r="G51" s="9">
        <f>AVERAGE(R20,R23,R25,R26)</f>
        <v>7.154500000000022E-2</v>
      </c>
      <c r="H51" s="9">
        <f>G51-$R$28</f>
        <v>2.2890000000000146E-2</v>
      </c>
      <c r="V51" s="63"/>
      <c r="BG51" s="64"/>
    </row>
    <row r="52" spans="1:59" x14ac:dyDescent="0.2">
      <c r="A52" s="63"/>
      <c r="B52" s="12" t="str">
        <f>I28&amp;2</f>
        <v>2</v>
      </c>
      <c r="C52" s="9">
        <f>AVERAGE(J21,J22,J24,J27)</f>
        <v>1.8614999999999999</v>
      </c>
      <c r="D52" s="118">
        <f>C52-$J$28</f>
        <v>1.4750000000000041E-2</v>
      </c>
      <c r="E52" s="9">
        <f>AVERAGE(Q21,Q22,Q24,Q27)</f>
        <v>22.022593569707062</v>
      </c>
      <c r="F52" s="9">
        <f>E52-$Q$28</f>
        <v>0.67809358408873877</v>
      </c>
      <c r="G52" s="9">
        <f>AVERAGE(R21,R22,R24,R27)</f>
        <v>2.576499999999991E-2</v>
      </c>
      <c r="H52" s="9">
        <f>G52-$R$28</f>
        <v>-2.2890000000000164E-2</v>
      </c>
      <c r="V52" s="63"/>
      <c r="BG52" s="64"/>
    </row>
    <row r="53" spans="1:59" x14ac:dyDescent="0.2">
      <c r="A53" s="63"/>
      <c r="U53" s="64"/>
      <c r="V53" s="63"/>
      <c r="BG53" s="64"/>
    </row>
    <row r="54" spans="1:59" x14ac:dyDescent="0.2">
      <c r="A54" s="63"/>
      <c r="B54" s="15" t="s">
        <v>16</v>
      </c>
      <c r="C54" s="16"/>
      <c r="D54" s="17">
        <f>COUNT(K20:O27)</f>
        <v>40</v>
      </c>
      <c r="U54" s="64"/>
      <c r="V54" s="63"/>
      <c r="BG54" s="64"/>
    </row>
    <row r="55" spans="1:59" x14ac:dyDescent="0.2">
      <c r="A55" s="63"/>
      <c r="U55" s="64"/>
      <c r="V55" s="63"/>
      <c r="BG55" s="64"/>
    </row>
    <row r="56" spans="1:59" ht="15.75" x14ac:dyDescent="0.25">
      <c r="A56" s="63"/>
      <c r="B56" s="19" t="s">
        <v>17</v>
      </c>
      <c r="L56" s="115" t="s">
        <v>18</v>
      </c>
      <c r="M56" s="12" t="s">
        <v>19</v>
      </c>
      <c r="N56" s="12" t="str">
        <f t="shared" ref="N56:T56" si="6">IF(ISNONTEXT(N57),"Analogique","Discret")</f>
        <v>Analogique</v>
      </c>
      <c r="O56" s="12" t="str">
        <f t="shared" si="6"/>
        <v>Analogique</v>
      </c>
      <c r="P56" s="12" t="str">
        <f t="shared" si="6"/>
        <v>Analogique</v>
      </c>
      <c r="Q56" s="12" t="str">
        <f t="shared" si="6"/>
        <v>Analogique</v>
      </c>
      <c r="R56" s="12" t="str">
        <f t="shared" si="6"/>
        <v>Analogique</v>
      </c>
      <c r="S56" s="12" t="str">
        <f t="shared" si="6"/>
        <v>Analogique</v>
      </c>
      <c r="T56" s="12" t="str">
        <f t="shared" si="6"/>
        <v>Analogique</v>
      </c>
      <c r="U56" s="64"/>
      <c r="V56" s="63"/>
      <c r="BG56" s="64"/>
    </row>
    <row r="57" spans="1:59" ht="15.75" x14ac:dyDescent="0.25">
      <c r="A57" s="65"/>
      <c r="C57" s="20"/>
      <c r="D57" s="20"/>
      <c r="M57" s="12" t="s">
        <v>2</v>
      </c>
      <c r="N57" s="12">
        <f t="shared" ref="N57:T57" si="7">IF(C7="",1,IF(ISNONTEXT(C7),C7,C7&amp;"=1"))</f>
        <v>25</v>
      </c>
      <c r="O57" s="12">
        <f t="shared" si="7"/>
        <v>60</v>
      </c>
      <c r="P57" s="12">
        <f t="shared" si="7"/>
        <v>25</v>
      </c>
      <c r="Q57" s="12">
        <f t="shared" si="7"/>
        <v>50</v>
      </c>
      <c r="R57" s="12">
        <f t="shared" si="7"/>
        <v>0</v>
      </c>
      <c r="S57" s="12">
        <f t="shared" si="7"/>
        <v>1</v>
      </c>
      <c r="T57" s="12">
        <f t="shared" si="7"/>
        <v>1</v>
      </c>
      <c r="U57" s="64"/>
      <c r="V57" s="63"/>
      <c r="BG57" s="64"/>
    </row>
    <row r="58" spans="1:59" ht="13.5" thickBot="1" x14ac:dyDescent="0.25">
      <c r="A58" s="63"/>
      <c r="D58" s="3" t="s">
        <v>20</v>
      </c>
      <c r="E58" s="3" t="s">
        <v>21</v>
      </c>
      <c r="F58" s="3" t="s">
        <v>22</v>
      </c>
      <c r="G58" s="3" t="s">
        <v>23</v>
      </c>
      <c r="H58" s="3" t="s">
        <v>24</v>
      </c>
      <c r="I58" s="3" t="s">
        <v>25</v>
      </c>
      <c r="J58" s="3" t="s">
        <v>26</v>
      </c>
      <c r="K58" s="3" t="s">
        <v>27</v>
      </c>
      <c r="M58" s="12" t="s">
        <v>4</v>
      </c>
      <c r="N58" s="18">
        <f t="shared" ref="N58:T58" si="8">IF(C8="",2,IF(ISNONTEXT(C8),C8,C8&amp;"=2"))</f>
        <v>60</v>
      </c>
      <c r="O58" s="18">
        <f t="shared" si="8"/>
        <v>100</v>
      </c>
      <c r="P58" s="18">
        <f t="shared" si="8"/>
        <v>40</v>
      </c>
      <c r="Q58" s="18">
        <f t="shared" si="8"/>
        <v>100</v>
      </c>
      <c r="R58" s="18">
        <f t="shared" si="8"/>
        <v>10</v>
      </c>
      <c r="S58" s="18">
        <f t="shared" si="8"/>
        <v>2</v>
      </c>
      <c r="T58" s="18">
        <f t="shared" si="8"/>
        <v>2</v>
      </c>
      <c r="U58" s="64"/>
      <c r="V58" s="63"/>
      <c r="BG58" s="64"/>
    </row>
    <row r="59" spans="1:59" x14ac:dyDescent="0.2">
      <c r="A59" s="63"/>
      <c r="B59" s="3">
        <v>1</v>
      </c>
      <c r="C59" s="3" t="str">
        <f>C28</f>
        <v>Larg pales</v>
      </c>
      <c r="D59" s="40" t="s">
        <v>28</v>
      </c>
      <c r="E59" s="109">
        <f>IF(D59="o",$D$54*D33^2,"")</f>
        <v>3.9062500000000555E-2</v>
      </c>
      <c r="F59" s="110">
        <f t="shared" ref="F59:F65" si="9">IF(D59="o",1,"")</f>
        <v>1</v>
      </c>
      <c r="G59" s="109">
        <f t="shared" ref="G59:G65" si="10">IF(D59="o",E59/F59,"")</f>
        <v>3.9062500000000555E-2</v>
      </c>
      <c r="H59" s="109">
        <f>IF($F$66&lt;=0,"",IF(D59="o",G59/$G$66))</f>
        <v>0.80284657280851834</v>
      </c>
      <c r="I59" s="111">
        <f>IF($F$66&lt;=0,"",IF(D59="o",FDIST(H59,F59,$F$66),""))</f>
        <v>0.37693484868672233</v>
      </c>
      <c r="J59" s="110" t="str">
        <f>IF($F$66&lt;=0,"",IF(H59&gt;FINV(0.05,F59,$F$66),"oui","non"))</f>
        <v>non</v>
      </c>
      <c r="K59" s="112">
        <f>IF(D59="o",E59/$E$67,"")</f>
        <v>5.7678301625955965E-3</v>
      </c>
      <c r="M59" s="11"/>
      <c r="N59" s="3">
        <v>1</v>
      </c>
      <c r="O59" s="3">
        <v>2</v>
      </c>
      <c r="P59" s="3">
        <v>3</v>
      </c>
      <c r="Q59" s="3">
        <v>4</v>
      </c>
      <c r="R59" s="3">
        <v>5</v>
      </c>
      <c r="S59" s="3">
        <v>6</v>
      </c>
      <c r="T59" s="3">
        <v>7</v>
      </c>
      <c r="U59" s="64"/>
      <c r="V59" s="63"/>
      <c r="AB59" s="12" t="s">
        <v>29</v>
      </c>
      <c r="AC59" s="41">
        <f>IF($D$9="",0,MIN(X80:Y81))</f>
        <v>0</v>
      </c>
      <c r="AD59" s="41">
        <f>IF($E$9="",0,MIN(AA80:AB81))</f>
        <v>0</v>
      </c>
      <c r="AE59" s="41">
        <f>IF($F$9="",0,MIN(AD80:AE81))</f>
        <v>0</v>
      </c>
      <c r="AF59" s="41">
        <f>IF($G$9="",0,MIN(AG80:AH81))</f>
        <v>0</v>
      </c>
      <c r="AG59" s="41">
        <f>IF($H$9="",0,MIN(AJ80:AK81))</f>
        <v>0</v>
      </c>
      <c r="AH59" s="41">
        <f>IF($I$9="",0,MIN(AM80:AN81))</f>
        <v>0</v>
      </c>
      <c r="BG59" s="64"/>
    </row>
    <row r="60" spans="1:59" x14ac:dyDescent="0.2">
      <c r="A60" s="63"/>
      <c r="B60" s="3">
        <v>2</v>
      </c>
      <c r="C60" s="3" t="str">
        <f>D28</f>
        <v>Long pales</v>
      </c>
      <c r="D60" s="40" t="s">
        <v>28</v>
      </c>
      <c r="E60" s="109">
        <f>IF(D60="o",$D$54*D36^2,"")</f>
        <v>0.66822250000000094</v>
      </c>
      <c r="F60" s="110">
        <f t="shared" si="9"/>
        <v>1</v>
      </c>
      <c r="G60" s="109">
        <f t="shared" si="10"/>
        <v>0.66822250000000094</v>
      </c>
      <c r="H60" s="109">
        <f t="shared" ref="H60:H65" si="11">IF($F$66&lt;=0,"",IF(D60="o",G60/$G$66))</f>
        <v>13.733891686362451</v>
      </c>
      <c r="I60" s="111">
        <f t="shared" ref="I60:I65" si="12">IF($F$66&lt;=0,"",IF(D60="o",FDIST(H60,F60,$F$66),""))</f>
        <v>7.93880395069006E-4</v>
      </c>
      <c r="J60" s="110" t="str">
        <f t="shared" ref="J60:J65" si="13">IF($F$66&lt;=0,"",IF(H60&gt;FINV(0.05,F60,$F$66),"oui","non"))</f>
        <v>oui</v>
      </c>
      <c r="K60" s="112">
        <f t="shared" ref="K60:K65" si="14">IF(D60="o",E60/$E$67,"")</f>
        <v>9.8667363605119657E-2</v>
      </c>
      <c r="M60" s="11"/>
      <c r="N60" s="3" t="str">
        <f t="shared" ref="N60:T60" si="15">C28</f>
        <v>Larg pales</v>
      </c>
      <c r="O60" s="3" t="str">
        <f t="shared" si="15"/>
        <v>Long pales</v>
      </c>
      <c r="P60" s="3" t="str">
        <f t="shared" si="15"/>
        <v>Larg fuselage</v>
      </c>
      <c r="Q60" s="3" t="str">
        <f t="shared" si="15"/>
        <v>Long fuselage</v>
      </c>
      <c r="R60" s="3" t="str">
        <f t="shared" si="15"/>
        <v>inclinaison pales</v>
      </c>
      <c r="S60" s="3" t="str">
        <f t="shared" si="15"/>
        <v>Nbre trombones</v>
      </c>
      <c r="T60" s="3" t="str">
        <f t="shared" si="15"/>
        <v/>
      </c>
      <c r="U60" s="64"/>
      <c r="V60" s="63"/>
      <c r="AB60" s="12" t="s">
        <v>30</v>
      </c>
      <c r="AC60" s="41">
        <f>IF($D$9="",1,MAX(X80:Y81))</f>
        <v>1</v>
      </c>
      <c r="AD60" s="41">
        <f>IF($E$9="",1,MAX(AA80:AB81))</f>
        <v>1</v>
      </c>
      <c r="AE60" s="41">
        <f>IF($F$9="",1,MAX(AD80:AE81))</f>
        <v>1</v>
      </c>
      <c r="AF60" s="41">
        <f>IF($G$9="",1,MAX(AG80:AH81))</f>
        <v>1</v>
      </c>
      <c r="AG60" s="41">
        <f>IF($H$9="",1,MAX(AJ80:AK81))</f>
        <v>1</v>
      </c>
      <c r="AH60" s="41">
        <f>IF($I$9="",1,MAX(AM80:AN81))</f>
        <v>1</v>
      </c>
      <c r="BG60" s="64"/>
    </row>
    <row r="61" spans="1:59" x14ac:dyDescent="0.2">
      <c r="A61" s="63"/>
      <c r="B61" s="3">
        <v>3</v>
      </c>
      <c r="C61" s="3" t="str">
        <f>E28</f>
        <v>Larg fuselage</v>
      </c>
      <c r="D61" s="81" t="s">
        <v>28</v>
      </c>
      <c r="E61" s="109">
        <f>IF(D61="o",$D$54*D39^2,"")</f>
        <v>0.99540250000000352</v>
      </c>
      <c r="F61" s="110">
        <f t="shared" si="9"/>
        <v>1</v>
      </c>
      <c r="G61" s="109">
        <f t="shared" si="10"/>
        <v>0.99540250000000352</v>
      </c>
      <c r="H61" s="109">
        <f t="shared" si="11"/>
        <v>20.45838043366458</v>
      </c>
      <c r="I61" s="111">
        <f t="shared" si="12"/>
        <v>7.9000681045009717E-5</v>
      </c>
      <c r="J61" s="110" t="str">
        <f t="shared" si="13"/>
        <v>oui</v>
      </c>
      <c r="K61" s="112">
        <f t="shared" si="14"/>
        <v>0.14697760162362886</v>
      </c>
      <c r="M61" s="3" t="s">
        <v>2</v>
      </c>
      <c r="N61" s="12">
        <f t="shared" ref="N61:T61" si="16">IF(ISNONTEXT(N57),N57,1)</f>
        <v>25</v>
      </c>
      <c r="O61" s="12">
        <f t="shared" si="16"/>
        <v>60</v>
      </c>
      <c r="P61" s="12">
        <f t="shared" si="16"/>
        <v>25</v>
      </c>
      <c r="Q61" s="12">
        <f t="shared" si="16"/>
        <v>50</v>
      </c>
      <c r="R61" s="12">
        <f t="shared" si="16"/>
        <v>0</v>
      </c>
      <c r="S61" s="12">
        <f t="shared" si="16"/>
        <v>1</v>
      </c>
      <c r="T61" s="12">
        <f t="shared" si="16"/>
        <v>1</v>
      </c>
      <c r="U61" s="64"/>
      <c r="V61" s="63"/>
      <c r="BG61" s="64"/>
    </row>
    <row r="62" spans="1:59" x14ac:dyDescent="0.2">
      <c r="A62" s="63"/>
      <c r="B62" s="3">
        <v>4</v>
      </c>
      <c r="C62" s="3" t="str">
        <f>F28</f>
        <v>Long fuselage</v>
      </c>
      <c r="D62" s="40" t="s">
        <v>28</v>
      </c>
      <c r="E62" s="109">
        <f>IF(D62="o",$D$54*D42^2,"")</f>
        <v>5.62499999999976E-4</v>
      </c>
      <c r="F62" s="110">
        <f t="shared" si="9"/>
        <v>1</v>
      </c>
      <c r="G62" s="109">
        <f t="shared" si="10"/>
        <v>5.62499999999976E-4</v>
      </c>
      <c r="H62" s="109">
        <f t="shared" si="11"/>
        <v>1.1560990648442005E-2</v>
      </c>
      <c r="I62" s="111">
        <f t="shared" si="12"/>
        <v>0.91504615719785343</v>
      </c>
      <c r="J62" s="110" t="str">
        <f t="shared" si="13"/>
        <v>non</v>
      </c>
      <c r="K62" s="112">
        <f t="shared" si="14"/>
        <v>8.3056754341371864E-5</v>
      </c>
      <c r="M62" s="3" t="s">
        <v>4</v>
      </c>
      <c r="N62" s="12">
        <f t="shared" ref="N62:T62" si="17">IF(ISNONTEXT(N58),N58,2)</f>
        <v>60</v>
      </c>
      <c r="O62" s="12">
        <f t="shared" si="17"/>
        <v>100</v>
      </c>
      <c r="P62" s="12">
        <f t="shared" si="17"/>
        <v>40</v>
      </c>
      <c r="Q62" s="12">
        <f t="shared" si="17"/>
        <v>100</v>
      </c>
      <c r="R62" s="12">
        <f t="shared" si="17"/>
        <v>10</v>
      </c>
      <c r="S62" s="12">
        <f t="shared" si="17"/>
        <v>2</v>
      </c>
      <c r="T62" s="12">
        <f t="shared" si="17"/>
        <v>2</v>
      </c>
      <c r="U62" s="64"/>
      <c r="V62" s="63"/>
      <c r="AD62" s="41">
        <f>IF($E$10="",0,MIN(AA84:AB85))</f>
        <v>0</v>
      </c>
      <c r="AE62" s="41">
        <f>IF($F$10="",0,MIN(AD84:AE85))</f>
        <v>0</v>
      </c>
      <c r="AF62" s="41">
        <f>IF($G$10="",0,MIN(AG84:AH85))</f>
        <v>0</v>
      </c>
      <c r="AG62" s="41">
        <f>IF($H$10="",0,MIN(AJ84:AK85))</f>
        <v>0</v>
      </c>
      <c r="AH62" s="41">
        <f>IF($I$10="",0,MIN(AM84:AN85))</f>
        <v>0</v>
      </c>
      <c r="BG62" s="64"/>
    </row>
    <row r="63" spans="1:59" x14ac:dyDescent="0.2">
      <c r="A63" s="63"/>
      <c r="B63" s="3">
        <v>5</v>
      </c>
      <c r="C63" s="3" t="str">
        <f>G28</f>
        <v>inclinaison pales</v>
      </c>
      <c r="D63" s="40" t="s">
        <v>28</v>
      </c>
      <c r="E63" s="109">
        <f>IF(D63="o",$D$54*D45^2,"")</f>
        <v>1.8020025000000044</v>
      </c>
      <c r="F63" s="110">
        <f t="shared" si="9"/>
        <v>1</v>
      </c>
      <c r="G63" s="109">
        <f t="shared" si="10"/>
        <v>1.8020025000000044</v>
      </c>
      <c r="H63" s="109">
        <f t="shared" si="11"/>
        <v>37.036327201724539</v>
      </c>
      <c r="I63" s="111">
        <f t="shared" si="12"/>
        <v>8.4705037826138081E-7</v>
      </c>
      <c r="J63" s="110" t="str">
        <f t="shared" si="13"/>
        <v>oui</v>
      </c>
      <c r="K63" s="112">
        <f t="shared" si="14"/>
        <v>0.26607729593785723</v>
      </c>
      <c r="M63" s="3" t="s">
        <v>31</v>
      </c>
      <c r="N63" s="40"/>
      <c r="O63" s="40"/>
      <c r="P63" s="40"/>
      <c r="Q63" s="40"/>
      <c r="R63" s="40"/>
      <c r="S63" s="40"/>
      <c r="T63" s="40"/>
      <c r="U63" s="64"/>
      <c r="V63" s="63"/>
      <c r="AD63" s="41">
        <f>IF($E$10="",1,MAX(AA84:AB85))</f>
        <v>1</v>
      </c>
      <c r="AE63" s="41">
        <f>IF($F$10="",1,MAX(AD84:AE85))</f>
        <v>1</v>
      </c>
      <c r="AF63" s="41">
        <f>IF($G$10="",1,MAX(AG84:AH85))</f>
        <v>1</v>
      </c>
      <c r="AG63" s="41">
        <f>IF($H$10="",1,MAX(AJ84:AK85))</f>
        <v>1</v>
      </c>
      <c r="AH63" s="41">
        <f>IF($I$10="",1,MAX(AM84:AN85))</f>
        <v>1</v>
      </c>
      <c r="BG63" s="64"/>
    </row>
    <row r="64" spans="1:59" x14ac:dyDescent="0.2">
      <c r="A64" s="63"/>
      <c r="B64" s="3">
        <v>6</v>
      </c>
      <c r="C64" s="3" t="str">
        <f>H28</f>
        <v>Nbre trombones</v>
      </c>
      <c r="D64" s="40" t="s">
        <v>28</v>
      </c>
      <c r="E64" s="109">
        <f>IF(D64="o",$D$54*D48^2,"")</f>
        <v>1.7015625000000005</v>
      </c>
      <c r="F64" s="110">
        <f t="shared" si="9"/>
        <v>1</v>
      </c>
      <c r="G64" s="109">
        <f t="shared" si="10"/>
        <v>1.7015625000000005</v>
      </c>
      <c r="H64" s="109">
        <f t="shared" si="11"/>
        <v>34.971996711538573</v>
      </c>
      <c r="I64" s="111">
        <f t="shared" si="12"/>
        <v>1.3936009794042924E-6</v>
      </c>
      <c r="J64" s="110" t="str">
        <f t="shared" si="13"/>
        <v>oui</v>
      </c>
      <c r="K64" s="112">
        <f t="shared" si="14"/>
        <v>0.25124668188266069</v>
      </c>
      <c r="M64" s="3" t="s">
        <v>84</v>
      </c>
      <c r="N64" s="9" t="str">
        <f>IF(AND(N65="",N63=""),"",IF(N65="",2*((N63-(N61+N62)/2)/(N62-N61)),-N65))</f>
        <v/>
      </c>
      <c r="O64" s="9" t="str">
        <f t="shared" ref="O64:T64" si="18">IF(AND(O65="",O63=""),"",IF(O65="",2*((O63-(O61+O62)/2)/(O62-O61)),-O65))</f>
        <v/>
      </c>
      <c r="P64" s="9" t="str">
        <f t="shared" si="18"/>
        <v/>
      </c>
      <c r="Q64" s="9" t="str">
        <f t="shared" si="18"/>
        <v/>
      </c>
      <c r="R64" s="9" t="str">
        <f t="shared" si="18"/>
        <v/>
      </c>
      <c r="S64" s="9" t="str">
        <f t="shared" si="18"/>
        <v/>
      </c>
      <c r="T64" s="9" t="str">
        <f t="shared" si="18"/>
        <v/>
      </c>
      <c r="U64" s="64"/>
      <c r="V64" s="63"/>
      <c r="BG64" s="64"/>
    </row>
    <row r="65" spans="1:59" x14ac:dyDescent="0.2">
      <c r="A65" s="63"/>
      <c r="B65" s="3">
        <v>7</v>
      </c>
      <c r="C65" s="3" t="str">
        <f>I28</f>
        <v/>
      </c>
      <c r="D65" s="81" t="s">
        <v>28</v>
      </c>
      <c r="E65" s="109">
        <f>IF(D65="o",$D$54*D51^2,"")</f>
        <v>8.7025000000000487E-3</v>
      </c>
      <c r="F65" s="110">
        <f t="shared" si="9"/>
        <v>1</v>
      </c>
      <c r="G65" s="109">
        <f t="shared" si="10"/>
        <v>8.7025000000000487E-3</v>
      </c>
      <c r="H65" s="109">
        <f t="shared" si="11"/>
        <v>0.17886137087657139</v>
      </c>
      <c r="I65" s="111">
        <f t="shared" si="12"/>
        <v>0.67518226804913128</v>
      </c>
      <c r="J65" s="110" t="str">
        <f t="shared" si="13"/>
        <v>non</v>
      </c>
      <c r="K65" s="112">
        <f t="shared" si="14"/>
        <v>1.2849802749436863E-3</v>
      </c>
      <c r="M65" s="3" t="s">
        <v>32</v>
      </c>
      <c r="N65" s="12" t="str">
        <f>IF(E10="",IF(G12="",IF(I14="","",IF(AND(S63&lt;&gt;"",T63&lt;&gt;""),S64*T64,"")),IF(AND(Q63&lt;&gt;"",R63&lt;&gt;""),Q64*R64,"")),IF(AND(O63&lt;&gt;"",P63&lt;&gt;""),O64*P64,""))</f>
        <v/>
      </c>
      <c r="O65" s="12" t="str">
        <f>IF(E9="",IF(H12="",IF(I13="","",IF(AND(R63&lt;&gt;"",T63&lt;&gt;""),T64*R64,"")),IF(AND(Q63&lt;&gt;"",S63&lt;&gt;""),Q64*S64,"")),IF(AND(P63&lt;&gt;"",N63&lt;&gt;""),P64*N64,""))</f>
        <v/>
      </c>
      <c r="P65" s="12" t="str">
        <f>IF(D9="",IF(I12="",IF(H13="","",IF(AND(R63&lt;&gt;"",R63&lt;&gt;""),R64*S64,"")),IF(AND(Q63&lt;&gt;"",T63&lt;&gt;""),Q64*T64,"")),IF(AND(N63&lt;&gt;"",O63&lt;&gt;""),N64*O64,""))</f>
        <v/>
      </c>
      <c r="Q65" s="12" t="str">
        <f>IF(G9="",IF(H10="",IF(I11="","",IF(AND(P63&lt;&gt;"",T63&lt;&gt;""),P64*T64,"")),IF(AND(O63&lt;&gt;"",S63&lt;&gt;""),O64*S64,"")),IF(AND(R63&lt;&gt;"",N63&lt;&gt;""),R64*N64,""))</f>
        <v/>
      </c>
      <c r="R65" s="12" t="str">
        <f>IF(F9="",IF(I10="",IF(H11="","",IF(AND(P63&lt;&gt;"",S63&lt;&gt;""),P64*S64,"")),IF(AND(O63&lt;&gt;"",T63&lt;&gt;""),O64*T64,"")),IF(AND(N63&lt;&gt;"",Q63&lt;&gt;""),N64*Q64,""))</f>
        <v/>
      </c>
      <c r="S65" s="12" t="str">
        <f>IF(I9="",IF(F10="",IF(G11="","",IF(AND(P63&lt;&gt;"",R63&lt;&gt;""),P64*R64,"")),IF(AND(O63&lt;&gt;"",Q63&lt;&gt;""),O64*Q64,"")),IF(AND(N63&lt;&gt;"",T63&lt;&gt;""),N64*T64,""))</f>
        <v/>
      </c>
      <c r="T65" s="12" t="str">
        <f>IF(H9="",IF(G10="",IF(F11="","",IF(AND(P63&lt;&gt;"",Q63&lt;&gt;""),#REF!*Q64,"")),IF(AND(O63&lt;&gt;"",R63&lt;&gt;""),O64*R64,"")),IF(AND(N63&lt;&gt;"",S63&lt;&gt;""),N64*S64,""))</f>
        <v/>
      </c>
      <c r="U65" s="64"/>
      <c r="V65" s="63"/>
      <c r="AE65" s="41">
        <f>IF($F$11="",0,MIN(AD88:AE89))</f>
        <v>0</v>
      </c>
      <c r="AF65" s="41">
        <f>IF($G$11="",0,MIN(AG88:AH89))</f>
        <v>0</v>
      </c>
      <c r="AG65" s="41">
        <f>IF($H$11="",0,MIN(AJ88:AK89))</f>
        <v>0</v>
      </c>
      <c r="AH65" s="41">
        <f>IF($I$11="",0,MIN(AM88:AN89))</f>
        <v>0</v>
      </c>
      <c r="BG65" s="64"/>
    </row>
    <row r="66" spans="1:59" x14ac:dyDescent="0.2">
      <c r="A66" s="63"/>
      <c r="B66" s="56"/>
      <c r="C66" s="21" t="s">
        <v>33</v>
      </c>
      <c r="D66" s="22"/>
      <c r="E66" s="109">
        <f>E67-SUM(E59:E65)</f>
        <v>1.5569600000000836</v>
      </c>
      <c r="F66" s="110">
        <f>F67-SUM(F59:F65)</f>
        <v>32</v>
      </c>
      <c r="G66" s="109">
        <f>IF(F66=0,"",(E66/F66))</f>
        <v>4.8655000000002613E-2</v>
      </c>
      <c r="I66" s="11"/>
      <c r="J66" s="11"/>
      <c r="K66" s="112">
        <f>E66/E67</f>
        <v>0.22989518975885298</v>
      </c>
      <c r="M66" s="11"/>
      <c r="N66" s="117" t="str">
        <f>IF(AND(N63="",N65=""),"",$D34*N64)</f>
        <v/>
      </c>
      <c r="O66" s="117" t="str">
        <f>IF(AND(O63="",O65=""),"",$D37*O64)</f>
        <v/>
      </c>
      <c r="P66" s="117" t="str">
        <f>IF(AND(P63="",P65=""),"",$D40*P64)</f>
        <v/>
      </c>
      <c r="Q66" s="117" t="str">
        <f>IF(AND(Q63="",Q65=""),"",$D43*Q64)</f>
        <v/>
      </c>
      <c r="R66" s="117" t="str">
        <f>IF(AND(R63="",R65=""),"",$D46*R64)</f>
        <v/>
      </c>
      <c r="S66" s="117" t="str">
        <f>IF(AND(S63="",S65=""),"",$D49*S64)</f>
        <v/>
      </c>
      <c r="T66" s="117" t="str">
        <f>IF(AND(T63="",T65=""),"",$D52*T64)</f>
        <v/>
      </c>
      <c r="U66" s="64"/>
      <c r="V66" s="63"/>
      <c r="AE66" s="41">
        <f>IF($F$11="",1,MAX(AD88:AE89))</f>
        <v>1</v>
      </c>
      <c r="AF66" s="41">
        <f>IF($G$11="",1,MAX(AG88:AH89))</f>
        <v>1</v>
      </c>
      <c r="AG66" s="41">
        <f>IF($H$11="",1,MAX(AJ88:AK89))</f>
        <v>1</v>
      </c>
      <c r="AH66" s="41">
        <f>IF($I$11="",1,MAX(AM88:AN89))</f>
        <v>1</v>
      </c>
      <c r="BG66" s="64"/>
    </row>
    <row r="67" spans="1:59" x14ac:dyDescent="0.2">
      <c r="A67" s="63"/>
      <c r="B67" s="56"/>
      <c r="C67" s="21" t="s">
        <v>34</v>
      </c>
      <c r="D67" s="22"/>
      <c r="E67" s="109">
        <f>(D54-1)*_xlfn.VAR.S(K20:O27)</f>
        <v>6.7724775000000932</v>
      </c>
      <c r="F67" s="110">
        <f>D54-1</f>
        <v>39</v>
      </c>
      <c r="G67" s="14">
        <f>(E67/F67)</f>
        <v>0.17365326923077162</v>
      </c>
      <c r="I67" s="11"/>
      <c r="J67" s="11"/>
      <c r="M67" s="11"/>
      <c r="N67" s="11"/>
      <c r="O67" s="11"/>
      <c r="P67" s="11"/>
      <c r="Q67" s="11"/>
      <c r="R67" s="11"/>
      <c r="S67" s="11"/>
      <c r="T67" s="11"/>
      <c r="U67" s="64"/>
      <c r="V67" s="63"/>
      <c r="BG67" s="64"/>
    </row>
    <row r="68" spans="1:59" x14ac:dyDescent="0.2">
      <c r="A68" s="63"/>
      <c r="M68" s="15"/>
      <c r="N68" s="23" t="s">
        <v>35</v>
      </c>
      <c r="O68" s="24"/>
      <c r="P68" s="120">
        <f>SUM(N66:T66)+J28</f>
        <v>1.8467499999999999</v>
      </c>
      <c r="U68" s="64"/>
      <c r="AF68" s="41">
        <f>IF($G$12="",0,MIN(AG92:AH93))</f>
        <v>0</v>
      </c>
      <c r="AG68" s="41">
        <f>IF($H$12="",0,MIN(AJ92:AK93))</f>
        <v>0</v>
      </c>
      <c r="AH68" s="41">
        <f>IF($I$12="",0,MIN(AM92:AN93))</f>
        <v>0</v>
      </c>
      <c r="BG68" s="64"/>
    </row>
    <row r="69" spans="1:59" x14ac:dyDescent="0.2">
      <c r="A69" s="63"/>
      <c r="U69" s="64"/>
      <c r="AF69" s="41">
        <f>IF($G$12="",1,MAX(AG92:AH93))</f>
        <v>1</v>
      </c>
      <c r="AG69" s="41">
        <f>IF($H$12="",1,MAX(AJ92:AK93))</f>
        <v>1</v>
      </c>
      <c r="AH69" s="41">
        <f>IF($I$12="",1,MAX(AM92:AN93))</f>
        <v>1</v>
      </c>
      <c r="BG69" s="64"/>
    </row>
    <row r="70" spans="1:59" x14ac:dyDescent="0.2">
      <c r="A70" s="63"/>
      <c r="E70" s="25"/>
      <c r="F70" s="26"/>
      <c r="G70" s="26" t="s">
        <v>36</v>
      </c>
      <c r="H70" s="26"/>
      <c r="I70" s="26"/>
      <c r="J70" s="26"/>
      <c r="K70" s="26"/>
      <c r="L70" s="73"/>
      <c r="U70" s="64"/>
      <c r="BG70" s="64"/>
    </row>
    <row r="71" spans="1:59" x14ac:dyDescent="0.2">
      <c r="A71" s="63"/>
      <c r="E71" s="27"/>
      <c r="F71" s="28"/>
      <c r="G71" s="28"/>
      <c r="H71" s="28"/>
      <c r="I71" s="28"/>
      <c r="J71" s="28"/>
      <c r="K71" s="28"/>
      <c r="L71" s="74"/>
      <c r="N71" s="11"/>
      <c r="O71" s="11"/>
      <c r="P71" s="11"/>
      <c r="Q71" s="11"/>
      <c r="R71" s="11"/>
      <c r="S71" s="11"/>
      <c r="T71" s="11"/>
      <c r="U71" s="64"/>
      <c r="AG71" s="41">
        <f>IF($H$13="",0,MIN(AJ96:AK97))</f>
        <v>0</v>
      </c>
      <c r="AH71" s="41">
        <f>IF($I$13="",0,MIN(AM96:AN97))</f>
        <v>0</v>
      </c>
      <c r="BG71" s="64"/>
    </row>
    <row r="72" spans="1:59" x14ac:dyDescent="0.2">
      <c r="A72" s="63"/>
      <c r="E72" s="29" t="s">
        <v>37</v>
      </c>
      <c r="F72" s="29" t="s">
        <v>1</v>
      </c>
      <c r="G72" s="30" t="s">
        <v>38</v>
      </c>
      <c r="H72" s="31"/>
      <c r="I72" s="31"/>
      <c r="J72" s="31"/>
      <c r="K72" s="31"/>
      <c r="L72" s="31"/>
      <c r="M72" s="76"/>
      <c r="N72" s="77"/>
      <c r="O72" s="77"/>
      <c r="P72" s="77"/>
      <c r="Q72" s="77"/>
      <c r="R72" s="77"/>
      <c r="S72" s="77"/>
      <c r="T72" s="77"/>
      <c r="U72" s="64"/>
      <c r="AG72" s="41">
        <f>IF($H$13="",1,MAX(AJ96:AK97))</f>
        <v>1</v>
      </c>
      <c r="AH72" s="41">
        <f>IF($I$13="",1,MAX(AM96:AN97))</f>
        <v>1</v>
      </c>
      <c r="BG72" s="64"/>
    </row>
    <row r="73" spans="1:59" x14ac:dyDescent="0.2">
      <c r="A73" s="63"/>
      <c r="B73" s="32" t="s">
        <v>39</v>
      </c>
      <c r="C73" s="32" t="s">
        <v>40</v>
      </c>
      <c r="D73" s="32" t="s">
        <v>41</v>
      </c>
      <c r="E73" s="33">
        <v>1</v>
      </c>
      <c r="F73" s="34" t="str">
        <f>IF(C$6="","",C$6)</f>
        <v>Larg pales</v>
      </c>
      <c r="G73" s="35" t="str">
        <f>IF(OR(F74="",F75=""),"",CONCATENATE(F74,,"/",F75))</f>
        <v>Long pales/Larg fuselage</v>
      </c>
      <c r="H73" s="36"/>
      <c r="I73" s="35" t="str">
        <f>IF(OR($F76="",$F77=""),"",CONCATENATE($F76,,"/",$F77))</f>
        <v>Long fuselage/inclinaison pales</v>
      </c>
      <c r="J73" s="36"/>
      <c r="K73" s="35" t="str">
        <f>IF(OR($F78="",$F79=""),"",CONCATENATE($F78,,"/",$F79))</f>
        <v/>
      </c>
      <c r="L73" s="75"/>
      <c r="M73" s="76"/>
      <c r="N73" s="77"/>
      <c r="O73" s="77"/>
      <c r="P73" s="77"/>
      <c r="Q73" s="77"/>
      <c r="R73" s="77"/>
      <c r="S73" s="77"/>
      <c r="T73" s="77"/>
      <c r="U73" s="64"/>
      <c r="BG73" s="64"/>
    </row>
    <row r="74" spans="1:59" x14ac:dyDescent="0.2">
      <c r="A74" s="63"/>
      <c r="B74" s="32" t="s">
        <v>42</v>
      </c>
      <c r="C74" s="32" t="s">
        <v>43</v>
      </c>
      <c r="D74" s="32" t="s">
        <v>44</v>
      </c>
      <c r="E74" s="37">
        <v>2</v>
      </c>
      <c r="F74" s="34" t="str">
        <f>IF(D$6="","",D$6)</f>
        <v>Long pales</v>
      </c>
      <c r="G74" s="38" t="str">
        <f>IF(OR(F73="",F75=""),"",CONCATENATE(F73,,"/",F75))</f>
        <v>Larg pales/Larg fuselage</v>
      </c>
      <c r="H74" s="38"/>
      <c r="I74" s="35" t="str">
        <f>IF(OR($F76="",$F78=""),"",CONCATENATE($F76,,"/",$F78))</f>
        <v>Long fuselage/Nbre trombones</v>
      </c>
      <c r="J74" s="36"/>
      <c r="K74" s="35" t="str">
        <f>IF(OR($F77="",$F79=""),"",CONCATENATE($F77,,"/",$F79))</f>
        <v/>
      </c>
      <c r="L74" s="75"/>
      <c r="M74" s="76"/>
      <c r="N74" s="77"/>
      <c r="O74" s="77"/>
      <c r="P74" s="77"/>
      <c r="Q74" s="77"/>
      <c r="R74" s="77"/>
      <c r="S74" s="77"/>
      <c r="T74" s="77"/>
      <c r="U74" s="64"/>
      <c r="AH74" s="41">
        <f>IF($I$14="",0,MIN(AM100:AN101))</f>
        <v>0</v>
      </c>
      <c r="BG74" s="64"/>
    </row>
    <row r="75" spans="1:59" x14ac:dyDescent="0.2">
      <c r="A75" s="63"/>
      <c r="B75" s="32" t="s">
        <v>45</v>
      </c>
      <c r="C75" s="32" t="s">
        <v>46</v>
      </c>
      <c r="D75" s="32" t="s">
        <v>47</v>
      </c>
      <c r="E75" s="37">
        <v>3</v>
      </c>
      <c r="F75" s="34" t="str">
        <f>IF(E$6="","",E$6)</f>
        <v>Larg fuselage</v>
      </c>
      <c r="G75" s="35" t="str">
        <f>IF(OR(F73="",F74=""),"",CONCATENATE(F73,,"/",F74))</f>
        <v>Larg pales/Long pales</v>
      </c>
      <c r="H75" s="36"/>
      <c r="I75" s="35" t="str">
        <f>IF(OR($F76="",$F79=""),"",CONCATENATE($F76,,"/",$F79))</f>
        <v/>
      </c>
      <c r="J75" s="36"/>
      <c r="K75" s="35" t="str">
        <f>IF(OR($F77="",$F78=""),"",CONCATENATE($F77,,"/",$F78))</f>
        <v>inclinaison pales/Nbre trombones</v>
      </c>
      <c r="L75" s="75"/>
      <c r="M75" s="11"/>
      <c r="N75" s="11"/>
      <c r="O75" s="77"/>
      <c r="P75" s="77"/>
      <c r="Q75" s="77"/>
      <c r="R75" s="77"/>
      <c r="S75" s="77"/>
      <c r="T75" s="77"/>
      <c r="U75" s="64"/>
      <c r="AH75" s="41">
        <f>IF($I$14="",1,MAX(AM100:AN101))</f>
        <v>1</v>
      </c>
      <c r="BG75" s="64"/>
    </row>
    <row r="76" spans="1:59" x14ac:dyDescent="0.2">
      <c r="A76" s="63"/>
      <c r="B76" s="32" t="s">
        <v>48</v>
      </c>
      <c r="C76" s="32" t="s">
        <v>49</v>
      </c>
      <c r="D76" s="32" t="s">
        <v>50</v>
      </c>
      <c r="E76" s="37">
        <v>4</v>
      </c>
      <c r="F76" s="34" t="str">
        <f>IF(F$6="","",F$6)</f>
        <v>Long fuselage</v>
      </c>
      <c r="G76" s="35" t="str">
        <f>IF(OR(F74="",F78=""),"",CONCATENATE(F74,,"/",F78))</f>
        <v>Long pales/Nbre trombones</v>
      </c>
      <c r="H76" s="36"/>
      <c r="I76" s="35" t="str">
        <f>IF(OR($F73="",$F77=""),"",CONCATENATE($F73,,"/",$F77))</f>
        <v>Larg pales/inclinaison pales</v>
      </c>
      <c r="J76" s="36"/>
      <c r="K76" s="35" t="str">
        <f>IF(OR($F75="",$F79=""),"",CONCATENATE($F75,,"/",$F79))</f>
        <v/>
      </c>
      <c r="L76" s="75"/>
      <c r="M76" s="11"/>
      <c r="N76" s="11"/>
      <c r="O76" s="11"/>
      <c r="P76" s="77"/>
      <c r="Q76" s="77"/>
      <c r="R76" s="77"/>
      <c r="S76" s="77"/>
      <c r="T76" s="77"/>
      <c r="U76" s="64"/>
      <c r="BG76" s="64"/>
    </row>
    <row r="77" spans="1:59" ht="15.75" x14ac:dyDescent="0.25">
      <c r="A77" s="63"/>
      <c r="B77" s="32" t="s">
        <v>51</v>
      </c>
      <c r="C77" s="32" t="s">
        <v>52</v>
      </c>
      <c r="D77" s="32" t="s">
        <v>53</v>
      </c>
      <c r="E77" s="37">
        <v>5</v>
      </c>
      <c r="F77" s="34" t="str">
        <f>IF(G$6="","",G$6)</f>
        <v>inclinaison pales</v>
      </c>
      <c r="G77" s="35" t="str">
        <f>IF(OR(F74="",F79=""),"",CONCATENATE(F74,,"/",F79))</f>
        <v/>
      </c>
      <c r="H77" s="36"/>
      <c r="I77" s="35" t="str">
        <f>IF(OR($F73="",$F76=""),"",CONCATENATE($F73,,"/",$F76))</f>
        <v>Larg pales/Long fuselage</v>
      </c>
      <c r="J77" s="36"/>
      <c r="K77" s="35" t="str">
        <f>IF(OR($F75="",$F78=""),"",CONCATENATE($F75,,"/",$F78))</f>
        <v>Larg fuselage/Nbre trombones</v>
      </c>
      <c r="L77" s="75"/>
      <c r="M77" s="11"/>
      <c r="N77" s="11"/>
      <c r="O77" s="11"/>
      <c r="P77" s="11"/>
      <c r="Q77" s="77"/>
      <c r="R77" s="77"/>
      <c r="S77" s="77"/>
      <c r="T77" s="77"/>
      <c r="U77" s="64"/>
      <c r="W77" s="54" t="s">
        <v>54</v>
      </c>
      <c r="BG77" s="64"/>
    </row>
    <row r="78" spans="1:59" ht="15.75" x14ac:dyDescent="0.25">
      <c r="A78" s="63"/>
      <c r="B78" s="32" t="s">
        <v>55</v>
      </c>
      <c r="C78" s="32" t="s">
        <v>56</v>
      </c>
      <c r="D78" s="32" t="s">
        <v>57</v>
      </c>
      <c r="E78" s="37">
        <v>6</v>
      </c>
      <c r="F78" s="34" t="str">
        <f>IF(H$6="","",H$6)</f>
        <v>Nbre trombones</v>
      </c>
      <c r="G78" s="35" t="str">
        <f>IF(OR(F74="",F76=""),"",CONCATENATE(F74,,"/",F76))</f>
        <v>Long pales/Long fuselage</v>
      </c>
      <c r="H78" s="36"/>
      <c r="I78" s="35" t="str">
        <f>IF(OR($F73="",$F79=""),"",CONCATENATE($F73,,"/",$F79))</f>
        <v/>
      </c>
      <c r="J78" s="36"/>
      <c r="K78" s="35" t="str">
        <f>IF(OR($F75="",$F77=""),"",CONCATENATE($F75,,"/",$F77))</f>
        <v>Larg fuselage/inclinaison pales</v>
      </c>
      <c r="L78" s="75"/>
      <c r="M78" s="11"/>
      <c r="N78" s="78"/>
      <c r="O78" s="11"/>
      <c r="P78" s="11"/>
      <c r="Q78" s="11"/>
      <c r="R78" s="77"/>
      <c r="S78" s="77"/>
      <c r="T78" s="77"/>
      <c r="U78" s="64"/>
      <c r="BG78" s="64"/>
    </row>
    <row r="79" spans="1:59" x14ac:dyDescent="0.2">
      <c r="A79" s="63"/>
      <c r="B79" s="32" t="s">
        <v>58</v>
      </c>
      <c r="C79" s="32" t="s">
        <v>59</v>
      </c>
      <c r="D79" s="32" t="s">
        <v>60</v>
      </c>
      <c r="E79" s="39">
        <v>7</v>
      </c>
      <c r="F79" s="34" t="str">
        <f>IF(I$6="","",I$6)</f>
        <v/>
      </c>
      <c r="G79" s="35" t="str">
        <f>IF(OR(F74="",F77=""),"",CONCATENATE(F74,,"/",F77))</f>
        <v>Long pales/inclinaison pales</v>
      </c>
      <c r="H79" s="36"/>
      <c r="I79" s="35" t="str">
        <f>IF(OR($F73="",$F78=""),"",CONCATENATE($F73,,"/",$F78))</f>
        <v>Larg pales/Nbre trombones</v>
      </c>
      <c r="J79" s="36"/>
      <c r="K79" s="35" t="str">
        <f>IF(OR($F75="",$F76=""),"",CONCATENATE($F75,,"/",$F76))</f>
        <v>Larg fuselage/Long fuselage</v>
      </c>
      <c r="L79" s="75"/>
      <c r="M79" s="11"/>
      <c r="N79" s="11"/>
      <c r="O79" s="11"/>
      <c r="P79" s="11"/>
      <c r="Q79" s="11"/>
      <c r="R79" s="11"/>
      <c r="S79" s="77"/>
      <c r="T79" s="77"/>
      <c r="U79" s="64"/>
      <c r="W79" s="53" t="str">
        <f>IF($D$9="","",$W$77&amp;" "&amp;$B$9&amp;"/"&amp;$D$6)</f>
        <v/>
      </c>
      <c r="X79" s="12" t="str">
        <f>IF($D$9="","",$D$6&amp;"=1")</f>
        <v/>
      </c>
      <c r="Y79" s="12" t="str">
        <f>IF($D$9="","",$D$6&amp;"=2")</f>
        <v/>
      </c>
      <c r="Z79" s="53" t="str">
        <f>IF($E$9="","",$W$77&amp;" "&amp;$B$9&amp;"/"&amp;$E$6)</f>
        <v/>
      </c>
      <c r="AA79" s="12" t="str">
        <f>IF($E$9="","",$E$6&amp;"=1")</f>
        <v/>
      </c>
      <c r="AB79" s="12" t="str">
        <f>IF($E$9="","",$E$6&amp;"=2")</f>
        <v/>
      </c>
      <c r="AC79" s="53" t="str">
        <f>IF($F$9="","",$W$77&amp;" "&amp;$B$9&amp;"/"&amp;$F$6)</f>
        <v/>
      </c>
      <c r="AD79" s="12" t="str">
        <f>IF($F$9="","",$F$6&amp;"=1")</f>
        <v/>
      </c>
      <c r="AE79" s="12" t="str">
        <f>IF($F$9="","",$F$6&amp;"=2")</f>
        <v/>
      </c>
      <c r="AF79" s="53" t="str">
        <f>IF($G$9="","",$W$77&amp;" "&amp;$B$9&amp;"/"&amp;$G$6)</f>
        <v/>
      </c>
      <c r="AG79" s="12" t="str">
        <f>IF($G$9="","",$G$6&amp;"=1")</f>
        <v/>
      </c>
      <c r="AH79" s="12" t="str">
        <f>IF($G$9="","",$G$6&amp;"=2")</f>
        <v/>
      </c>
      <c r="AI79" s="53" t="str">
        <f>IF($H$9="","",$W$77&amp;" "&amp;$B$9&amp;"/"&amp;$H$6)</f>
        <v/>
      </c>
      <c r="AJ79" s="12" t="str">
        <f>IF($H$9="","",$H$6&amp;"=1")</f>
        <v/>
      </c>
      <c r="AK79" s="12" t="str">
        <f>IF($H$9="","",$H$6&amp;"=2")</f>
        <v/>
      </c>
      <c r="AL79" s="53" t="str">
        <f>IF($I$9="","",$W$77&amp;" "&amp;$B$9&amp;"/"&amp;$I$6)</f>
        <v/>
      </c>
      <c r="AM79" s="12" t="str">
        <f>IF($I$9="","",$I$6&amp;"=1")</f>
        <v/>
      </c>
      <c r="AN79" s="12" t="str">
        <f>IF($I$9="","",$I$6&amp;"=2")</f>
        <v/>
      </c>
      <c r="BG79" s="64"/>
    </row>
    <row r="80" spans="1:59" ht="13.5" thickBot="1" x14ac:dyDescent="0.25">
      <c r="A80" s="66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79"/>
      <c r="N80" s="79"/>
      <c r="O80" s="79"/>
      <c r="P80" s="79"/>
      <c r="Q80" s="79"/>
      <c r="R80" s="79"/>
      <c r="S80" s="79"/>
      <c r="T80" s="80"/>
      <c r="U80" s="68"/>
      <c r="W80" s="12" t="str">
        <f>IF($D$9="","",$B$9&amp;"=1")</f>
        <v/>
      </c>
      <c r="X80" s="9" t="str">
        <f>IF($D$9="","",AVERAGE(J20,J21))</f>
        <v/>
      </c>
      <c r="Y80" s="9" t="str">
        <f>IF($D$9="","",AVERAGE(J22,J23))</f>
        <v/>
      </c>
      <c r="Z80" s="12" t="str">
        <f>IF($E$9="","",$B$9&amp;"=1")</f>
        <v/>
      </c>
      <c r="AA80" s="9" t="str">
        <f>IF($E$9="","",AVERAGE(J20,J21))</f>
        <v/>
      </c>
      <c r="AB80" s="9" t="str">
        <f>IF($E$9="","",AVERAGE(J22,J23))</f>
        <v/>
      </c>
      <c r="AC80" s="12" t="str">
        <f>IF($F$9="","",$B$9&amp;"=1")</f>
        <v/>
      </c>
      <c r="AD80" s="9" t="str">
        <f>IF($F$9="","",AVERAGE(J20,J22))</f>
        <v/>
      </c>
      <c r="AE80" s="9" t="str">
        <f>IF($F$9="","",AVERAGE(J21,J23))</f>
        <v/>
      </c>
      <c r="AF80" s="12" t="str">
        <f>IF($G$9="","",$B$9&amp;"=1")</f>
        <v/>
      </c>
      <c r="AG80" s="9" t="str">
        <f>IF($G$9="","",AVERAGE(J20,J22))</f>
        <v/>
      </c>
      <c r="AH80" s="9" t="str">
        <f>IF($G$9="","",AVERAGE(J21,J23))</f>
        <v/>
      </c>
      <c r="AI80" s="12" t="str">
        <f>IF($H$9="","",$B$9&amp;"=1")</f>
        <v/>
      </c>
      <c r="AJ80" s="9" t="str">
        <f>IF($H$9="","",AVERAGE(J20,J23))</f>
        <v/>
      </c>
      <c r="AK80" s="9" t="str">
        <f>IF($H$9="","",AVERAGE(J21,J22))</f>
        <v/>
      </c>
      <c r="AL80" s="12" t="str">
        <f>IF($I$9="","",$B$9&amp;"=1")</f>
        <v/>
      </c>
      <c r="AM80" s="9" t="str">
        <f>IF($I$9="","",AVERAGE(J20,J23))</f>
        <v/>
      </c>
      <c r="AN80" s="9" t="str">
        <f>IF($I$9="","",AVERAGE(J21,J22))</f>
        <v/>
      </c>
      <c r="BG80" s="64"/>
    </row>
    <row r="81" spans="2:59" x14ac:dyDescent="0.2">
      <c r="M81" s="11" t="str">
        <f>IF(T72="","",T72)</f>
        <v/>
      </c>
      <c r="N81" s="11"/>
      <c r="O81" s="13"/>
      <c r="P81" s="13"/>
      <c r="Q81" s="11"/>
      <c r="R81" s="11"/>
      <c r="S81" s="11"/>
      <c r="T81" s="13"/>
      <c r="U81" s="64"/>
      <c r="W81" s="12" t="str">
        <f>IF($D$9="","",$B$9&amp;"=2")</f>
        <v/>
      </c>
      <c r="X81" s="9" t="str">
        <f>IF($D$9="","",AVERAGE(J24,J25))</f>
        <v/>
      </c>
      <c r="Y81" s="9" t="str">
        <f>IF($D$9="","",AVERAGE(J26,J27))</f>
        <v/>
      </c>
      <c r="Z81" s="12" t="str">
        <f>IF($E$9="","",$B$9&amp;"=2")</f>
        <v/>
      </c>
      <c r="AA81" s="9" t="str">
        <f>IF($E$9="","",AVERAGE(J26,J27))</f>
        <v/>
      </c>
      <c r="AB81" s="9" t="str">
        <f>IF($E$9="","",AVERAGE(J24,J25))</f>
        <v/>
      </c>
      <c r="AC81" s="12" t="str">
        <f>IF($F$9="","",$B$9&amp;"=2")</f>
        <v/>
      </c>
      <c r="AD81" s="9" t="str">
        <f>IF($F$9="","",AVERAGE(J24,J26))</f>
        <v/>
      </c>
      <c r="AE81" s="9" t="str">
        <f>IF($F$9="","",AVERAGE(J25,J27))</f>
        <v/>
      </c>
      <c r="AF81" s="12" t="str">
        <f>IF($G$9="","",$B$9&amp;"=2")</f>
        <v/>
      </c>
      <c r="AG81" s="9" t="str">
        <f>IF($G$9="","",AVERAGE(J25,J27))</f>
        <v/>
      </c>
      <c r="AH81" s="9" t="str">
        <f>IF($G$9="","",AVERAGE(J24,J26))</f>
        <v/>
      </c>
      <c r="AI81" s="12" t="str">
        <f>IF($H$9="","",$B$9&amp;"=2")</f>
        <v/>
      </c>
      <c r="AJ81" s="9" t="str">
        <f>IF($H$9="","",AVERAGE(J24,J27))</f>
        <v/>
      </c>
      <c r="AK81" s="9" t="str">
        <f>IF($H$9="","",AVERAGE(J25,J26))</f>
        <v/>
      </c>
      <c r="AL81" s="12" t="str">
        <f>IF($I$9="","",$B$9&amp;"=2")</f>
        <v/>
      </c>
      <c r="AM81" s="9" t="str">
        <f>IF($I$9="","",AVERAGE(J25,J26))</f>
        <v/>
      </c>
      <c r="AN81" s="9" t="str">
        <f>IF($I$9="","",AVERAGE(J24,J27))</f>
        <v/>
      </c>
      <c r="BG81" s="64"/>
    </row>
    <row r="82" spans="2:59" ht="15.75" x14ac:dyDescent="0.25">
      <c r="B82" s="19"/>
      <c r="U82" s="64"/>
      <c r="BG82" s="64"/>
    </row>
    <row r="83" spans="2:59" x14ac:dyDescent="0.2">
      <c r="U83" s="64"/>
      <c r="Z83" s="53" t="str">
        <f>IF($E$10="","",$W$77&amp;" "&amp;$B$10&amp;"/"&amp;$E$6)</f>
        <v/>
      </c>
      <c r="AA83" s="12" t="str">
        <f>IF($E$10="","",$E$6&amp;"=1")</f>
        <v/>
      </c>
      <c r="AB83" s="12" t="str">
        <f>IF($E$10="","",$E$6&amp;"=2")</f>
        <v/>
      </c>
      <c r="AC83" s="53" t="str">
        <f>IF($F$10="","",$W$77&amp;" "&amp;$B$10&amp;"/"&amp;$F$6)</f>
        <v/>
      </c>
      <c r="AD83" s="12" t="str">
        <f>IF($F$10="","",$F$6&amp;"=1")</f>
        <v/>
      </c>
      <c r="AE83" s="12" t="str">
        <f>IF($F$10="","",$F$6&amp;"=2")</f>
        <v/>
      </c>
      <c r="AF83" s="53" t="str">
        <f>IF($G$10="","",$W$77&amp;" "&amp;$B$10&amp;"/"&amp;$G$6)</f>
        <v/>
      </c>
      <c r="AG83" s="12" t="str">
        <f>IF($G$10="","",$G$6&amp;"=1")</f>
        <v/>
      </c>
      <c r="AH83" s="12" t="str">
        <f>IF($G$10="","",$G$6&amp;"=2")</f>
        <v/>
      </c>
      <c r="AI83" s="53" t="str">
        <f>IF($H$10="","",$W$77&amp;" "&amp;$B$10&amp;"/"&amp;$H$6)</f>
        <v/>
      </c>
      <c r="AJ83" s="12" t="str">
        <f>IF($H$10="","",$H$6&amp;"=1")</f>
        <v/>
      </c>
      <c r="AK83" s="12" t="str">
        <f>IF($H$10="","",$H$6&amp;"=2")</f>
        <v/>
      </c>
      <c r="AL83" s="53" t="str">
        <f>IF($I$10="","",$W$77&amp;" "&amp;$B$10&amp;"/"&amp;$I$6)</f>
        <v/>
      </c>
      <c r="AM83" s="12" t="str">
        <f>IF($I$10="","",$I$6&amp;"=1")</f>
        <v/>
      </c>
      <c r="AN83" s="12" t="str">
        <f>IF($I$10="","",$I$6&amp;"=2")</f>
        <v/>
      </c>
      <c r="BG83" s="64"/>
    </row>
    <row r="84" spans="2:59" x14ac:dyDescent="0.2">
      <c r="V84" s="63"/>
      <c r="Z84" s="12" t="str">
        <f>IF($E$10="","",$B$10&amp;"=1")</f>
        <v/>
      </c>
      <c r="AA84" s="9" t="str">
        <f>IF($E$10="","",AVERAGE(J20,J21))</f>
        <v/>
      </c>
      <c r="AB84" s="9" t="str">
        <f>IF($E$10="","",AVERAGE(J24,J25))</f>
        <v/>
      </c>
      <c r="AC84" s="12" t="str">
        <f>IF($F$10="","",$B$10&amp;"=1")</f>
        <v/>
      </c>
      <c r="AD84" s="9" t="str">
        <f>IF($F$10="","",AVERAGE(J24,J20))</f>
        <v/>
      </c>
      <c r="AE84" s="9" t="str">
        <f>IF($F$10="","",AVERAGE(J21,J25))</f>
        <v/>
      </c>
      <c r="AF84" s="12" t="str">
        <f>IF($G$10="","",$B$10&amp;"=1")</f>
        <v/>
      </c>
      <c r="AG84" s="9" t="str">
        <f>IF($G$10="","",AVERAGE(J20,J25))</f>
        <v/>
      </c>
      <c r="AH84" s="9" t="str">
        <f>IF($G$10="","",AVERAGE(J21,J24))</f>
        <v/>
      </c>
      <c r="AI84" s="12" t="str">
        <f>IF($H$10="","",$B$10&amp;"=1")</f>
        <v/>
      </c>
      <c r="AJ84" s="9" t="str">
        <f>IF($H$10="","",AVERAGE(J20,J24))</f>
        <v/>
      </c>
      <c r="AK84" s="9" t="str">
        <f>IF($H$10="","",AVERAGE(J21,J25))</f>
        <v/>
      </c>
      <c r="AL84" s="12" t="str">
        <f>IF($I$10="","",$B$10&amp;"=1")</f>
        <v/>
      </c>
      <c r="AM84" s="9" t="str">
        <f>IF($I$10="","",AVERAGE(J20,J25))</f>
        <v/>
      </c>
      <c r="AN84" s="9" t="str">
        <f>IF($I$10="","",AVERAGE(J21,J24))</f>
        <v/>
      </c>
      <c r="BG84" s="64"/>
    </row>
    <row r="85" spans="2:59" x14ac:dyDescent="0.2">
      <c r="V85" s="63"/>
      <c r="Z85" s="12" t="str">
        <f>IF($E$10="","",$B$10&amp;"=2")</f>
        <v/>
      </c>
      <c r="AA85" s="9" t="str">
        <f>IF($E$10="","",AVERAGE(J26,J27))</f>
        <v/>
      </c>
      <c r="AB85" s="9" t="str">
        <f>IF($E$10="","",AVERAGE(J22,J23))</f>
        <v/>
      </c>
      <c r="AC85" s="12" t="str">
        <f>IF($F$10="","",$B$10&amp;"=2")</f>
        <v/>
      </c>
      <c r="AD85" s="9" t="str">
        <f>IF($F$10="","",AVERAGE(J22,J26))</f>
        <v/>
      </c>
      <c r="AE85" s="9" t="str">
        <f>IF($F$10="","",AVERAGE(J23,J27))</f>
        <v/>
      </c>
      <c r="AF85" s="12" t="str">
        <f>IF($G$10="","",$B$10&amp;"=2")</f>
        <v/>
      </c>
      <c r="AG85" s="9" t="str">
        <f>IF($G$10="","",AVERAGE(J22,J27))</f>
        <v/>
      </c>
      <c r="AH85" s="9" t="str">
        <f>IF($G$10="","",AVERAGE(J23,J26))</f>
        <v/>
      </c>
      <c r="AI85" s="12" t="str">
        <f>IF($H$10="","",$B$10&amp;"=2")</f>
        <v/>
      </c>
      <c r="AJ85" s="9" t="str">
        <f>IF($H$10="","",AVERAGE(J23,J27))</f>
        <v/>
      </c>
      <c r="AK85" s="9" t="str">
        <f>IF($H$10="","",AVERAGE(J22,J26))</f>
        <v/>
      </c>
      <c r="AL85" s="12" t="str">
        <f>IF($I$10="","",$B$10&amp;"=2")</f>
        <v/>
      </c>
      <c r="AM85" s="9" t="str">
        <f>IF($I$10="","",AVERAGE(J23,J26))</f>
        <v/>
      </c>
      <c r="AN85" s="9" t="str">
        <f>IF($I$10="","",AVERAGE(J22,J27))</f>
        <v/>
      </c>
      <c r="BG85" s="64"/>
    </row>
    <row r="86" spans="2:59" x14ac:dyDescent="0.2">
      <c r="V86" s="63"/>
      <c r="BG86" s="64"/>
    </row>
    <row r="87" spans="2:59" x14ac:dyDescent="0.2">
      <c r="V87" s="63"/>
      <c r="AC87" s="53" t="str">
        <f>IF($F$11="","",$W$77&amp;" "&amp;$B$11&amp;"/"&amp;$F$6)</f>
        <v/>
      </c>
      <c r="AD87" s="12" t="str">
        <f>IF($F$11="","",$F$6&amp;"=1")</f>
        <v/>
      </c>
      <c r="AE87" s="12" t="str">
        <f>IF($F$11="","",$F$6&amp;"=2")</f>
        <v/>
      </c>
      <c r="AF87" s="53" t="str">
        <f>IF($G$11="","",$W$77&amp;" "&amp;$B$11&amp;"/"&amp;$G$6)</f>
        <v/>
      </c>
      <c r="AG87" s="12" t="str">
        <f>IF($G$11="","",$G$6&amp;"=1")</f>
        <v/>
      </c>
      <c r="AH87" s="12" t="str">
        <f>IF($G$11="","",$G$6&amp;"=2")</f>
        <v/>
      </c>
      <c r="AI87" s="53" t="str">
        <f>IF($H$11="","",$W$77&amp;" "&amp;$B$11&amp;"/"&amp;$H$6)</f>
        <v/>
      </c>
      <c r="AJ87" s="12" t="str">
        <f>IF($H$11="","",$H$6&amp;"=1")</f>
        <v/>
      </c>
      <c r="AK87" s="12" t="str">
        <f>IF($H$11="","",$H$6&amp;"=2")</f>
        <v/>
      </c>
      <c r="AL87" s="53" t="str">
        <f>IF($I$11="","",$W$77&amp;" "&amp;$B$11&amp;"/"&amp;$I$6)</f>
        <v/>
      </c>
      <c r="AM87" s="12" t="str">
        <f>IF($I$11="","",$I$6&amp;"=1")</f>
        <v/>
      </c>
      <c r="AN87" s="12" t="str">
        <f>IF($I$11="","",$I$6&amp;"=2")</f>
        <v/>
      </c>
      <c r="BG87" s="64"/>
    </row>
    <row r="88" spans="2:59" x14ac:dyDescent="0.2">
      <c r="V88" s="63"/>
      <c r="AC88" s="12" t="str">
        <f>IF($F$11="","",$B$11&amp;"=1")</f>
        <v/>
      </c>
      <c r="AD88" s="9" t="str">
        <f>IF($F$11="","",AVERAGE(J20,J26))</f>
        <v/>
      </c>
      <c r="AE88" s="9" t="str">
        <f>IF($F$11="","",AVERAGE(J21,J27))</f>
        <v/>
      </c>
      <c r="AF88" s="12" t="str">
        <f>IF($G$11="","",$B$11&amp;"=1")</f>
        <v/>
      </c>
      <c r="AG88" s="9" t="str">
        <f>IF($G$11="","",AVERAGE(J20,J27))</f>
        <v/>
      </c>
      <c r="AH88" s="9" t="str">
        <f>IF($G$11="","",AVERAGE(J21,J26))</f>
        <v/>
      </c>
      <c r="AI88" s="12" t="str">
        <f>IF($H$11="","",$B$11&amp;"=1")</f>
        <v/>
      </c>
      <c r="AJ88" s="9" t="str">
        <f>IF($H$11="","",AVERAGE(J20,J27))</f>
        <v/>
      </c>
      <c r="AK88" s="9" t="str">
        <f>IF($H$11="","",AVERAGE(J21,J26))</f>
        <v/>
      </c>
      <c r="AL88" s="12" t="str">
        <f>IF($I$11="","",$B$11&amp;"=1")</f>
        <v/>
      </c>
      <c r="AM88" s="9" t="str">
        <f>IF($I$11="","",AVERAGE(J20,J26))</f>
        <v/>
      </c>
      <c r="AN88" s="9" t="str">
        <f>IF($I$11="","",AVERAGE(J21,J27))</f>
        <v/>
      </c>
      <c r="BG88" s="64"/>
    </row>
    <row r="89" spans="2:59" x14ac:dyDescent="0.2">
      <c r="V89" s="63"/>
      <c r="AC89" s="12" t="str">
        <f>IF($F$11="","",$B$11&amp;"=2")</f>
        <v/>
      </c>
      <c r="AD89" s="9" t="str">
        <f>IF($F$11="","",AVERAGE(J22,J24))</f>
        <v/>
      </c>
      <c r="AE89" s="9" t="str">
        <f>IF($F$11="","",AVERAGE(J23,J25))</f>
        <v/>
      </c>
      <c r="AF89" s="12" t="str">
        <f>IF($G$11="","",$B$11&amp;"=2")</f>
        <v/>
      </c>
      <c r="AG89" s="9" t="str">
        <f>IF($G$11="","",AVERAGE(J22,J25))</f>
        <v/>
      </c>
      <c r="AH89" s="9" t="str">
        <f>IF($G$11="","",AVERAGE(J23,J24))</f>
        <v/>
      </c>
      <c r="AI89" s="12" t="str">
        <f>IF($H$11="","",$B$11&amp;"=2")</f>
        <v/>
      </c>
      <c r="AJ89" s="9" t="str">
        <f>IF($H$11="","",AVERAGE(J23,J24))</f>
        <v/>
      </c>
      <c r="AK89" s="9" t="str">
        <f>IF($H$11="","",AVERAGE(J22,J25))</f>
        <v/>
      </c>
      <c r="AL89" s="12" t="str">
        <f>IF($I$11="","",$B$11&amp;"=2")</f>
        <v/>
      </c>
      <c r="AM89" s="9" t="str">
        <f>IF($I$11="","",AVERAGE(J23,J25))</f>
        <v/>
      </c>
      <c r="AN89" s="9" t="str">
        <f>IF($I$11="","",AVERAGE(J22,J24))</f>
        <v/>
      </c>
      <c r="BG89" s="64"/>
    </row>
    <row r="90" spans="2:59" x14ac:dyDescent="0.2">
      <c r="V90" s="63"/>
      <c r="BG90" s="64"/>
    </row>
    <row r="91" spans="2:59" x14ac:dyDescent="0.2">
      <c r="V91" s="63"/>
      <c r="AF91" s="53" t="str">
        <f>IF($G$12="","",$W$77&amp;" "&amp;$B$12&amp;"/"&amp;$G$6)</f>
        <v/>
      </c>
      <c r="AG91" s="12" t="str">
        <f>IF($G$12="","",$G$6&amp;"=1")</f>
        <v/>
      </c>
      <c r="AH91" s="12" t="str">
        <f>IF($G$12="","",$G$6&amp;"=2")</f>
        <v/>
      </c>
      <c r="AI91" s="53" t="str">
        <f>IF($H$12="","",$W$77&amp;" "&amp;$B$12&amp;"/"&amp;$H$6)</f>
        <v/>
      </c>
      <c r="AJ91" s="12" t="str">
        <f>IF($H$12="","",$H$6&amp;"=1")</f>
        <v/>
      </c>
      <c r="AK91" s="12" t="str">
        <f>IF($H$12="","",$H$6&amp;"=2")</f>
        <v/>
      </c>
      <c r="AL91" s="53" t="str">
        <f>IF($I$12="","",$W$77&amp;" "&amp;$B$12&amp;"/"&amp;$I$6)</f>
        <v/>
      </c>
      <c r="AM91" s="12" t="str">
        <f>IF($I$12="","",$I$6&amp;"=1")</f>
        <v/>
      </c>
      <c r="AN91" s="12" t="str">
        <f>IF($I$12="","",$I$6&amp;"=2")</f>
        <v/>
      </c>
      <c r="BG91" s="64"/>
    </row>
    <row r="92" spans="2:59" x14ac:dyDescent="0.2">
      <c r="V92" s="63"/>
      <c r="AF92" s="12" t="str">
        <f>IF($G$12="","",$B$12&amp;"=1")</f>
        <v/>
      </c>
      <c r="AG92" s="9" t="str">
        <f>IF($G$12="","",AVERAGE(J20,J22))</f>
        <v/>
      </c>
      <c r="AH92" s="9" t="str">
        <f>IF($G$12="","",AVERAGE(J24,J26))</f>
        <v/>
      </c>
      <c r="AI92" s="12" t="str">
        <f>IF($H$12="","",$B$12&amp;"=1")</f>
        <v/>
      </c>
      <c r="AJ92" s="9" t="str">
        <f>IF($H$12="","",AVERAGE(J20,J24))</f>
        <v/>
      </c>
      <c r="AK92" s="9" t="str">
        <f>IF($H$12="","",AVERAGE(J22,J26))</f>
        <v/>
      </c>
      <c r="AL92" s="12" t="str">
        <f>IF($I$12="","",$B$12&amp;"=1")</f>
        <v/>
      </c>
      <c r="AM92" s="9" t="str">
        <f>IF($I$12="","",AVERAGE(J20,J26))</f>
        <v/>
      </c>
      <c r="AN92" s="9" t="str">
        <f>IF($I$12="","",AVERAGE(J22,J24))</f>
        <v/>
      </c>
      <c r="BG92" s="64"/>
    </row>
    <row r="93" spans="2:59" x14ac:dyDescent="0.2">
      <c r="V93" s="63"/>
      <c r="AF93" s="12" t="str">
        <f>IF($G$12="","",$B$12&amp;"=2")</f>
        <v/>
      </c>
      <c r="AG93" s="9" t="str">
        <f>IF($G$12="","",AVERAGE(J25,J27))</f>
        <v/>
      </c>
      <c r="AH93" s="9" t="str">
        <f>IF($G$12="","",AVERAGE(J21,J23))</f>
        <v/>
      </c>
      <c r="AI93" s="12" t="str">
        <f>IF($H$12="","",$B$12&amp;"=2")</f>
        <v/>
      </c>
      <c r="AJ93" s="9" t="str">
        <f>IF($H$12="","",AVERAGE(J23,J27))</f>
        <v/>
      </c>
      <c r="AK93" s="9" t="str">
        <f>IF($H$12="","",AVERAGE(J21,J25))</f>
        <v/>
      </c>
      <c r="AL93" s="12" t="str">
        <f>IF($I$12="","",$B$12&amp;"=2")</f>
        <v/>
      </c>
      <c r="AM93" s="9" t="str">
        <f>IF($I$12="","",AVERAGE(J23,J25))</f>
        <v/>
      </c>
      <c r="AN93" s="9" t="str">
        <f>IF($I$12="","",AVERAGE(J21,J27))</f>
        <v/>
      </c>
      <c r="BG93" s="64"/>
    </row>
    <row r="94" spans="2:59" x14ac:dyDescent="0.2">
      <c r="V94" s="63"/>
      <c r="BG94" s="64"/>
    </row>
    <row r="95" spans="2:59" x14ac:dyDescent="0.2">
      <c r="V95" s="63"/>
      <c r="AI95" s="53" t="str">
        <f>IF($H$13="","",$W$77&amp;" "&amp;$B$13&amp;"/"&amp;$H$6)</f>
        <v/>
      </c>
      <c r="AJ95" s="12" t="str">
        <f>IF($H$13="","",$H$6&amp;"=1")</f>
        <v/>
      </c>
      <c r="AK95" s="12" t="str">
        <f>IF($H$13="","",$H$6&amp;"=2")</f>
        <v/>
      </c>
      <c r="AL95" s="53" t="str">
        <f>IF($I$13="","",$W$77&amp;" "&amp;$B$13&amp;"/"&amp;$I$6)</f>
        <v/>
      </c>
      <c r="AM95" s="12" t="str">
        <f>IF($I$13="","",$I$6&amp;"=1")</f>
        <v/>
      </c>
      <c r="AN95" s="12" t="str">
        <f>IF($I$13="","",$I$6&amp;"=2")</f>
        <v/>
      </c>
      <c r="BG95" s="64"/>
    </row>
    <row r="96" spans="2:59" x14ac:dyDescent="0.2">
      <c r="V96" s="63"/>
      <c r="AI96" s="12" t="str">
        <f>IF($H$13="","",$B$13&amp;"=1")</f>
        <v/>
      </c>
      <c r="AJ96" s="9" t="str">
        <f>IF($H$13="","",AVERAGE(J20,J27))</f>
        <v/>
      </c>
      <c r="AK96" s="9" t="str">
        <f>IF($H$13="","",AVERAGE(J22,J25))</f>
        <v/>
      </c>
      <c r="AL96" s="12" t="str">
        <f>IF($I$13="","",$B$13&amp;"=1")</f>
        <v/>
      </c>
      <c r="AM96" s="9" t="str">
        <f>IF($I$13="","",AVERAGE(J20,J25))</f>
        <v/>
      </c>
      <c r="AN96" s="9" t="str">
        <f>IF($I$13="","",AVERAGE(J22,J27))</f>
        <v/>
      </c>
      <c r="BG96" s="64"/>
    </row>
    <row r="97" spans="22:59" x14ac:dyDescent="0.2">
      <c r="V97" s="63"/>
      <c r="AI97" s="12" t="str">
        <f>IF($H$13="","",$B$13&amp;"=2")</f>
        <v/>
      </c>
      <c r="AJ97" s="9" t="str">
        <f>IF($H$13="","",AVERAGE(J23,J24))</f>
        <v/>
      </c>
      <c r="AK97" s="9" t="str">
        <f>IF($H$13="","",AVERAGE(J21,J26))</f>
        <v/>
      </c>
      <c r="AL97" s="12" t="str">
        <f>IF($I$13="","",$B$13&amp;"=2")</f>
        <v/>
      </c>
      <c r="AM97" s="9" t="str">
        <f>IF($I$13="","",AVERAGE(J23,J26))</f>
        <v/>
      </c>
      <c r="AN97" s="9" t="str">
        <f>IF($I$13="","",AVERAGE(J21,J24))</f>
        <v/>
      </c>
      <c r="BG97" s="64"/>
    </row>
    <row r="98" spans="22:59" x14ac:dyDescent="0.2">
      <c r="V98" s="63"/>
      <c r="BG98" s="64"/>
    </row>
    <row r="99" spans="22:59" x14ac:dyDescent="0.2">
      <c r="V99" s="63"/>
      <c r="AL99" s="53" t="str">
        <f>IF($I$14="","",$W$77&amp;" "&amp;$B$14&amp;"/"&amp;$I$6)</f>
        <v/>
      </c>
      <c r="AM99" s="12" t="str">
        <f>IF($I$14="","",$I$6&amp;"=1")</f>
        <v/>
      </c>
      <c r="AN99" s="12" t="str">
        <f>IF($I$14="","",$I$6&amp;"=2")</f>
        <v/>
      </c>
      <c r="BG99" s="64"/>
    </row>
    <row r="100" spans="22:59" x14ac:dyDescent="0.2">
      <c r="V100" s="63"/>
      <c r="AL100" s="12" t="str">
        <f>IF($I$14="","",$B$14&amp;"=1")</f>
        <v/>
      </c>
      <c r="AM100" s="9" t="str">
        <f>IF($I$14="","",AVERAGE(J20,J23))</f>
        <v/>
      </c>
      <c r="AN100" s="9" t="str">
        <f>IF($I$14="","",AVERAGE(J24,J27))</f>
        <v/>
      </c>
      <c r="BG100" s="64"/>
    </row>
    <row r="101" spans="22:59" x14ac:dyDescent="0.2">
      <c r="V101" s="63"/>
      <c r="AL101" s="12" t="str">
        <f>IF($I$14="","",$B$14&amp;"=2")</f>
        <v/>
      </c>
      <c r="AM101" s="9" t="str">
        <f>IF($I$14="","",AVERAGE(J25,J26))</f>
        <v/>
      </c>
      <c r="AN101" s="9" t="str">
        <f>IF($I$14="","",AVERAGE(J21,J22))</f>
        <v/>
      </c>
      <c r="BG101" s="64"/>
    </row>
    <row r="102" spans="22:59" x14ac:dyDescent="0.2">
      <c r="V102" s="63"/>
      <c r="BG102" s="64"/>
    </row>
    <row r="103" spans="22:59" x14ac:dyDescent="0.2">
      <c r="V103" s="63"/>
      <c r="BG103" s="64"/>
    </row>
    <row r="104" spans="22:59" x14ac:dyDescent="0.2">
      <c r="V104" s="63"/>
      <c r="BG104" s="64"/>
    </row>
    <row r="105" spans="22:59" x14ac:dyDescent="0.2">
      <c r="V105" s="63"/>
      <c r="BG105" s="64"/>
    </row>
    <row r="106" spans="22:59" x14ac:dyDescent="0.2">
      <c r="V106" s="63"/>
      <c r="BG106" s="64"/>
    </row>
    <row r="107" spans="22:59" x14ac:dyDescent="0.2">
      <c r="V107" s="63"/>
      <c r="BG107" s="64"/>
    </row>
    <row r="108" spans="22:59" x14ac:dyDescent="0.2">
      <c r="V108" s="63"/>
      <c r="BG108" s="64"/>
    </row>
    <row r="109" spans="22:59" x14ac:dyDescent="0.2">
      <c r="V109" s="63"/>
      <c r="BG109" s="64"/>
    </row>
    <row r="110" spans="22:59" x14ac:dyDescent="0.2">
      <c r="V110" s="63"/>
      <c r="BG110" s="64"/>
    </row>
    <row r="111" spans="22:59" x14ac:dyDescent="0.2">
      <c r="V111" s="63"/>
      <c r="BG111" s="64"/>
    </row>
    <row r="112" spans="22:59" x14ac:dyDescent="0.2">
      <c r="V112" s="63"/>
      <c r="BG112" s="64"/>
    </row>
    <row r="113" spans="22:59" x14ac:dyDescent="0.2">
      <c r="V113" s="63"/>
      <c r="BG113" s="64"/>
    </row>
    <row r="114" spans="22:59" x14ac:dyDescent="0.2">
      <c r="V114" s="63"/>
      <c r="BG114" s="64"/>
    </row>
    <row r="115" spans="22:59" x14ac:dyDescent="0.2">
      <c r="V115" s="63"/>
      <c r="BG115" s="64"/>
    </row>
    <row r="116" spans="22:59" x14ac:dyDescent="0.2">
      <c r="V116" s="63"/>
      <c r="BG116" s="64"/>
    </row>
    <row r="117" spans="22:59" x14ac:dyDescent="0.2">
      <c r="V117" s="63"/>
      <c r="BG117" s="64"/>
    </row>
    <row r="118" spans="22:59" x14ac:dyDescent="0.2">
      <c r="V118" s="63"/>
      <c r="BG118" s="64"/>
    </row>
    <row r="119" spans="22:59" ht="13.5" thickBot="1" x14ac:dyDescent="0.25">
      <c r="V119" s="66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8"/>
    </row>
    <row r="177" spans="2:13" ht="20.25" x14ac:dyDescent="0.3">
      <c r="B177" s="116" t="s">
        <v>83</v>
      </c>
    </row>
    <row r="180" spans="2:13" x14ac:dyDescent="0.2">
      <c r="B180" s="2" t="s">
        <v>1</v>
      </c>
      <c r="C180" s="12" t="str">
        <f t="shared" ref="C180:I180" si="19">C18</f>
        <v>Larg pales</v>
      </c>
      <c r="D180" s="12" t="str">
        <f t="shared" si="19"/>
        <v>Long pales</v>
      </c>
      <c r="E180" s="83" t="str">
        <f t="shared" si="19"/>
        <v>Larg fuselage</v>
      </c>
      <c r="F180" s="12" t="str">
        <f t="shared" si="19"/>
        <v>Long fuselage</v>
      </c>
      <c r="G180" s="12" t="str">
        <f t="shared" si="19"/>
        <v>inclinaison pales</v>
      </c>
      <c r="H180" s="12" t="str">
        <f t="shared" si="19"/>
        <v>Nbre trombones</v>
      </c>
      <c r="I180" s="12" t="str">
        <f t="shared" si="19"/>
        <v/>
      </c>
      <c r="J180" s="104" t="s">
        <v>61</v>
      </c>
      <c r="K180" s="102" t="s">
        <v>63</v>
      </c>
      <c r="L180" s="96" t="s">
        <v>71</v>
      </c>
      <c r="M180" s="106" t="s">
        <v>72</v>
      </c>
    </row>
    <row r="181" spans="2:13" ht="13.5" thickBot="1" x14ac:dyDescent="0.25">
      <c r="B181" s="6" t="s">
        <v>7</v>
      </c>
      <c r="C181" s="3">
        <v>1</v>
      </c>
      <c r="D181" s="3">
        <v>2</v>
      </c>
      <c r="E181" s="3">
        <v>3</v>
      </c>
      <c r="F181" s="3">
        <v>4</v>
      </c>
      <c r="G181" s="3">
        <v>5</v>
      </c>
      <c r="H181" s="3">
        <v>6</v>
      </c>
      <c r="I181" s="3">
        <v>7</v>
      </c>
      <c r="J181" s="105" t="s">
        <v>62</v>
      </c>
      <c r="K181" s="103" t="s">
        <v>70</v>
      </c>
      <c r="L181" s="96" t="s">
        <v>70</v>
      </c>
      <c r="M181" s="106" t="s">
        <v>62</v>
      </c>
    </row>
    <row r="182" spans="2:13" ht="13.5" thickTop="1" x14ac:dyDescent="0.2">
      <c r="B182" s="3">
        <v>1</v>
      </c>
      <c r="C182" s="95">
        <v>1</v>
      </c>
      <c r="D182" s="95">
        <v>1</v>
      </c>
      <c r="E182" s="95">
        <v>1</v>
      </c>
      <c r="F182" s="95">
        <v>1</v>
      </c>
      <c r="G182" s="95">
        <v>1</v>
      </c>
      <c r="H182" s="95">
        <v>1</v>
      </c>
      <c r="I182" s="95">
        <v>1</v>
      </c>
      <c r="J182" s="100">
        <f t="shared" ref="J182:J213" si="20">$J$28+IF(C182=1,$D$33,$D$34)+IF(D182=1,$D$36,$D$37)+IF(E182=1,$D$39,$D$40)+IF(F182=1,$D$42,$D$43)+IF(G182=1,$D$45,$D$46)+IF(H182=1,$D$48,$D$49)+IF(I182=1,$D$51,$D$52)</f>
        <v>2.2439999999999998</v>
      </c>
      <c r="K182" s="101">
        <f t="shared" ref="K182:K213" si="21">$Q$28+IF(D182=1,$F$33,$F$34)+IF(E182=1,$F$36,$F$37)+IF(F182=1,$F$39,$F$40)+IF(G182=1,$F$42,$F$43)+IF(H182=1,$F$45,$F$46)+IF(I182=1,$F$48,$F$49)+IF(J182=1,$F$51,$F$52)</f>
        <v>14.463509162900205</v>
      </c>
      <c r="L182" s="97">
        <f t="shared" ref="L182:L213" si="22">SQRT((J182^2)/(10^(K182/10)+0.2))</f>
        <v>0.42295970179254716</v>
      </c>
      <c r="M182" s="107">
        <f t="shared" ref="M182:M213" si="23">6*L182</f>
        <v>2.5377582107552827</v>
      </c>
    </row>
    <row r="183" spans="2:13" x14ac:dyDescent="0.2">
      <c r="B183" s="3">
        <v>2</v>
      </c>
      <c r="C183" s="95">
        <v>1</v>
      </c>
      <c r="D183" s="95">
        <v>1</v>
      </c>
      <c r="E183" s="95">
        <v>1</v>
      </c>
      <c r="F183" s="95">
        <v>1</v>
      </c>
      <c r="G183" s="95">
        <v>1</v>
      </c>
      <c r="H183" s="95">
        <v>1</v>
      </c>
      <c r="I183" s="95">
        <v>2</v>
      </c>
      <c r="J183" s="100">
        <f t="shared" si="20"/>
        <v>2.2735000000000003</v>
      </c>
      <c r="K183" s="101">
        <f t="shared" si="21"/>
        <v>13.322313740104889</v>
      </c>
      <c r="L183" s="97">
        <f t="shared" si="22"/>
        <v>0.48816617066291185</v>
      </c>
      <c r="M183" s="107">
        <f t="shared" si="23"/>
        <v>2.928997023977471</v>
      </c>
    </row>
    <row r="184" spans="2:13" x14ac:dyDescent="0.2">
      <c r="B184" s="3">
        <v>3</v>
      </c>
      <c r="C184" s="95">
        <v>1</v>
      </c>
      <c r="D184" s="95">
        <v>1</v>
      </c>
      <c r="E184" s="95">
        <v>1</v>
      </c>
      <c r="F184" s="95">
        <v>1</v>
      </c>
      <c r="G184" s="95">
        <v>1</v>
      </c>
      <c r="H184" s="95">
        <v>2</v>
      </c>
      <c r="I184" s="95">
        <v>1</v>
      </c>
      <c r="J184" s="100">
        <f t="shared" si="20"/>
        <v>1.8315000000000001</v>
      </c>
      <c r="K184" s="101">
        <f t="shared" si="21"/>
        <v>17.56347592393508</v>
      </c>
      <c r="L184" s="97">
        <f t="shared" si="22"/>
        <v>0.24203232139740516</v>
      </c>
      <c r="M184" s="107">
        <f t="shared" si="23"/>
        <v>1.452193928384431</v>
      </c>
    </row>
    <row r="185" spans="2:13" x14ac:dyDescent="0.2">
      <c r="B185" s="3">
        <v>4</v>
      </c>
      <c r="C185" s="95">
        <v>1</v>
      </c>
      <c r="D185" s="95">
        <v>1</v>
      </c>
      <c r="E185" s="95">
        <v>1</v>
      </c>
      <c r="F185" s="95">
        <v>1</v>
      </c>
      <c r="G185" s="95">
        <v>1</v>
      </c>
      <c r="H185" s="95">
        <v>2</v>
      </c>
      <c r="I185" s="95">
        <v>2</v>
      </c>
      <c r="J185" s="100">
        <f t="shared" si="20"/>
        <v>1.8610000000000002</v>
      </c>
      <c r="K185" s="101">
        <f t="shared" si="21"/>
        <v>16.422280501139763</v>
      </c>
      <c r="L185" s="97">
        <f t="shared" si="22"/>
        <v>0.28031399251301925</v>
      </c>
      <c r="M185" s="107">
        <f t="shared" si="23"/>
        <v>1.6818839550781155</v>
      </c>
    </row>
    <row r="186" spans="2:13" x14ac:dyDescent="0.2">
      <c r="B186" s="3">
        <v>5</v>
      </c>
      <c r="C186" s="95">
        <v>1</v>
      </c>
      <c r="D186" s="95">
        <v>1</v>
      </c>
      <c r="E186" s="95">
        <v>1</v>
      </c>
      <c r="F186" s="95">
        <v>1</v>
      </c>
      <c r="G186" s="95">
        <v>2</v>
      </c>
      <c r="H186" s="95">
        <v>1</v>
      </c>
      <c r="I186" s="95">
        <v>1</v>
      </c>
      <c r="J186" s="100">
        <f t="shared" si="20"/>
        <v>1.8195000000000001</v>
      </c>
      <c r="K186" s="101">
        <f t="shared" si="21"/>
        <v>19.217447493852507</v>
      </c>
      <c r="L186" s="97">
        <f t="shared" si="22"/>
        <v>0.19886587416150647</v>
      </c>
      <c r="M186" s="107">
        <f t="shared" si="23"/>
        <v>1.1931952449690388</v>
      </c>
    </row>
    <row r="187" spans="2:13" x14ac:dyDescent="0.2">
      <c r="B187" s="3">
        <v>6</v>
      </c>
      <c r="C187" s="95">
        <v>1</v>
      </c>
      <c r="D187" s="95">
        <v>1</v>
      </c>
      <c r="E187" s="95">
        <v>1</v>
      </c>
      <c r="F187" s="95">
        <v>1</v>
      </c>
      <c r="G187" s="95">
        <v>2</v>
      </c>
      <c r="H187" s="95">
        <v>1</v>
      </c>
      <c r="I187" s="95">
        <v>2</v>
      </c>
      <c r="J187" s="100">
        <f t="shared" si="20"/>
        <v>1.8490000000000002</v>
      </c>
      <c r="K187" s="101">
        <f t="shared" si="21"/>
        <v>18.076252071057191</v>
      </c>
      <c r="L187" s="97">
        <f t="shared" si="22"/>
        <v>0.23038225664701942</v>
      </c>
      <c r="M187" s="107">
        <f t="shared" si="23"/>
        <v>1.3822935398821166</v>
      </c>
    </row>
    <row r="188" spans="2:13" x14ac:dyDescent="0.2">
      <c r="B188" s="3">
        <v>7</v>
      </c>
      <c r="C188" s="95">
        <v>1</v>
      </c>
      <c r="D188" s="95">
        <v>1</v>
      </c>
      <c r="E188" s="95">
        <v>1</v>
      </c>
      <c r="F188" s="95">
        <v>1</v>
      </c>
      <c r="G188" s="95">
        <v>2</v>
      </c>
      <c r="H188" s="95">
        <v>2</v>
      </c>
      <c r="I188" s="95">
        <v>1</v>
      </c>
      <c r="J188" s="100">
        <f t="shared" si="20"/>
        <v>1.407</v>
      </c>
      <c r="K188" s="101">
        <f t="shared" si="21"/>
        <v>22.317414254887382</v>
      </c>
      <c r="L188" s="97">
        <f t="shared" si="22"/>
        <v>0.10768837554620858</v>
      </c>
      <c r="M188" s="107">
        <f t="shared" si="23"/>
        <v>0.64613025327725149</v>
      </c>
    </row>
    <row r="189" spans="2:13" x14ac:dyDescent="0.2">
      <c r="B189" s="3">
        <v>8</v>
      </c>
      <c r="C189" s="95">
        <v>1</v>
      </c>
      <c r="D189" s="95">
        <v>1</v>
      </c>
      <c r="E189" s="95">
        <v>1</v>
      </c>
      <c r="F189" s="95">
        <v>1</v>
      </c>
      <c r="G189" s="95">
        <v>2</v>
      </c>
      <c r="H189" s="95">
        <v>2</v>
      </c>
      <c r="I189" s="95">
        <v>2</v>
      </c>
      <c r="J189" s="100">
        <f t="shared" si="20"/>
        <v>1.4365000000000001</v>
      </c>
      <c r="K189" s="101">
        <f t="shared" si="21"/>
        <v>21.176218832092065</v>
      </c>
      <c r="L189" s="97">
        <f t="shared" si="22"/>
        <v>0.1253613574454657</v>
      </c>
      <c r="M189" s="107">
        <f t="shared" si="23"/>
        <v>0.75216814467279414</v>
      </c>
    </row>
    <row r="190" spans="2:13" x14ac:dyDescent="0.2">
      <c r="B190" s="3">
        <v>9</v>
      </c>
      <c r="C190" s="95">
        <v>1</v>
      </c>
      <c r="D190" s="95">
        <v>1</v>
      </c>
      <c r="E190" s="95">
        <v>1</v>
      </c>
      <c r="F190" s="95">
        <v>2</v>
      </c>
      <c r="G190" s="95">
        <v>1</v>
      </c>
      <c r="H190" s="95">
        <v>1</v>
      </c>
      <c r="I190" s="95">
        <v>1</v>
      </c>
      <c r="J190" s="100">
        <f t="shared" si="20"/>
        <v>2.2515000000000001</v>
      </c>
      <c r="K190" s="101">
        <f t="shared" si="21"/>
        <v>15.027021391309166</v>
      </c>
      <c r="L190" s="97">
        <f t="shared" si="22"/>
        <v>0.39788751477615791</v>
      </c>
      <c r="M190" s="107">
        <f t="shared" si="23"/>
        <v>2.3873250886569473</v>
      </c>
    </row>
    <row r="191" spans="2:13" x14ac:dyDescent="0.2">
      <c r="B191" s="3">
        <v>10</v>
      </c>
      <c r="C191" s="95">
        <v>1</v>
      </c>
      <c r="D191" s="95">
        <v>1</v>
      </c>
      <c r="E191" s="95">
        <v>1</v>
      </c>
      <c r="F191" s="95">
        <v>2</v>
      </c>
      <c r="G191" s="95">
        <v>1</v>
      </c>
      <c r="H191" s="95">
        <v>1</v>
      </c>
      <c r="I191" s="95">
        <v>2</v>
      </c>
      <c r="J191" s="100">
        <f t="shared" si="20"/>
        <v>2.2810000000000006</v>
      </c>
      <c r="K191" s="101">
        <f t="shared" si="21"/>
        <v>13.885825968513849</v>
      </c>
      <c r="L191" s="97">
        <f t="shared" si="22"/>
        <v>0.4592680021168738</v>
      </c>
      <c r="M191" s="107">
        <f t="shared" si="23"/>
        <v>2.7556080127012428</v>
      </c>
    </row>
    <row r="192" spans="2:13" x14ac:dyDescent="0.2">
      <c r="B192" s="3">
        <v>11</v>
      </c>
      <c r="C192" s="95">
        <v>1</v>
      </c>
      <c r="D192" s="95">
        <v>1</v>
      </c>
      <c r="E192" s="95">
        <v>1</v>
      </c>
      <c r="F192" s="95">
        <v>2</v>
      </c>
      <c r="G192" s="95">
        <v>1</v>
      </c>
      <c r="H192" s="95">
        <v>2</v>
      </c>
      <c r="I192" s="95">
        <v>1</v>
      </c>
      <c r="J192" s="100">
        <f t="shared" si="20"/>
        <v>1.839</v>
      </c>
      <c r="K192" s="101">
        <f t="shared" si="21"/>
        <v>18.12698815234404</v>
      </c>
      <c r="L192" s="97">
        <f t="shared" si="22"/>
        <v>0.22780585025118649</v>
      </c>
      <c r="M192" s="107">
        <f t="shared" si="23"/>
        <v>1.366835101507119</v>
      </c>
    </row>
    <row r="193" spans="2:13" x14ac:dyDescent="0.2">
      <c r="B193" s="3">
        <v>12</v>
      </c>
      <c r="C193" s="95">
        <v>1</v>
      </c>
      <c r="D193" s="95">
        <v>1</v>
      </c>
      <c r="E193" s="95">
        <v>1</v>
      </c>
      <c r="F193" s="95">
        <v>2</v>
      </c>
      <c r="G193" s="95">
        <v>1</v>
      </c>
      <c r="H193" s="95">
        <v>2</v>
      </c>
      <c r="I193" s="95">
        <v>2</v>
      </c>
      <c r="J193" s="100">
        <f t="shared" si="20"/>
        <v>1.8685</v>
      </c>
      <c r="K193" s="101">
        <f t="shared" si="21"/>
        <v>16.985792729548724</v>
      </c>
      <c r="L193" s="97">
        <f t="shared" si="22"/>
        <v>0.26383707927394096</v>
      </c>
      <c r="M193" s="107">
        <f t="shared" si="23"/>
        <v>1.5830224756436457</v>
      </c>
    </row>
    <row r="194" spans="2:13" x14ac:dyDescent="0.2">
      <c r="B194" s="3">
        <v>13</v>
      </c>
      <c r="C194" s="95">
        <v>1</v>
      </c>
      <c r="D194" s="95">
        <v>1</v>
      </c>
      <c r="E194" s="95">
        <v>1</v>
      </c>
      <c r="F194" s="95">
        <v>2</v>
      </c>
      <c r="G194" s="95">
        <v>2</v>
      </c>
      <c r="H194" s="95">
        <v>1</v>
      </c>
      <c r="I194" s="95">
        <v>1</v>
      </c>
      <c r="J194" s="100">
        <f t="shared" si="20"/>
        <v>1.827</v>
      </c>
      <c r="K194" s="101">
        <f t="shared" si="21"/>
        <v>19.780959722261468</v>
      </c>
      <c r="L194" s="97">
        <f t="shared" si="22"/>
        <v>0.18716915542741938</v>
      </c>
      <c r="M194" s="107">
        <f t="shared" si="23"/>
        <v>1.1230149325645162</v>
      </c>
    </row>
    <row r="195" spans="2:13" x14ac:dyDescent="0.2">
      <c r="B195" s="3">
        <v>14</v>
      </c>
      <c r="C195" s="95">
        <v>1</v>
      </c>
      <c r="D195" s="95">
        <v>1</v>
      </c>
      <c r="E195" s="95">
        <v>1</v>
      </c>
      <c r="F195" s="95">
        <v>2</v>
      </c>
      <c r="G195" s="95">
        <v>2</v>
      </c>
      <c r="H195" s="95">
        <v>1</v>
      </c>
      <c r="I195" s="95">
        <v>2</v>
      </c>
      <c r="J195" s="100">
        <f t="shared" si="20"/>
        <v>1.8565</v>
      </c>
      <c r="K195" s="101">
        <f t="shared" si="21"/>
        <v>18.639764299466151</v>
      </c>
      <c r="L195" s="97">
        <f t="shared" si="22"/>
        <v>0.21682707954083477</v>
      </c>
      <c r="M195" s="107">
        <f t="shared" si="23"/>
        <v>1.3009624772450086</v>
      </c>
    </row>
    <row r="196" spans="2:13" x14ac:dyDescent="0.2">
      <c r="B196" s="3">
        <v>15</v>
      </c>
      <c r="C196" s="95">
        <v>1</v>
      </c>
      <c r="D196" s="95">
        <v>1</v>
      </c>
      <c r="E196" s="95">
        <v>1</v>
      </c>
      <c r="F196" s="95">
        <v>2</v>
      </c>
      <c r="G196" s="95">
        <v>2</v>
      </c>
      <c r="H196" s="95">
        <v>2</v>
      </c>
      <c r="I196" s="95">
        <v>1</v>
      </c>
      <c r="J196" s="100">
        <f t="shared" si="20"/>
        <v>1.4144999999999999</v>
      </c>
      <c r="K196" s="101">
        <f t="shared" si="21"/>
        <v>22.880926483296342</v>
      </c>
      <c r="L196" s="97">
        <f t="shared" si="22"/>
        <v>0.10146891804709562</v>
      </c>
      <c r="M196" s="107">
        <f t="shared" si="23"/>
        <v>0.60881350828257375</v>
      </c>
    </row>
    <row r="197" spans="2:13" x14ac:dyDescent="0.2">
      <c r="B197" s="3">
        <v>16</v>
      </c>
      <c r="C197" s="95">
        <v>1</v>
      </c>
      <c r="D197" s="95">
        <v>1</v>
      </c>
      <c r="E197" s="95">
        <v>1</v>
      </c>
      <c r="F197" s="95">
        <v>2</v>
      </c>
      <c r="G197" s="95">
        <v>2</v>
      </c>
      <c r="H197" s="95">
        <v>2</v>
      </c>
      <c r="I197" s="95">
        <v>2</v>
      </c>
      <c r="J197" s="100">
        <f t="shared" si="20"/>
        <v>1.444</v>
      </c>
      <c r="K197" s="101">
        <f t="shared" si="21"/>
        <v>21.739731060501025</v>
      </c>
      <c r="L197" s="97">
        <f t="shared" si="22"/>
        <v>0.11811087577180948</v>
      </c>
      <c r="M197" s="107">
        <f t="shared" si="23"/>
        <v>0.70866525463085694</v>
      </c>
    </row>
    <row r="198" spans="2:13" x14ac:dyDescent="0.2">
      <c r="B198" s="3">
        <v>17</v>
      </c>
      <c r="C198" s="95">
        <v>1</v>
      </c>
      <c r="D198" s="95">
        <v>1</v>
      </c>
      <c r="E198" s="95">
        <v>2</v>
      </c>
      <c r="F198" s="95">
        <v>1</v>
      </c>
      <c r="G198" s="95">
        <v>1</v>
      </c>
      <c r="H198" s="95">
        <v>1</v>
      </c>
      <c r="I198" s="95">
        <v>1</v>
      </c>
      <c r="J198" s="100">
        <f t="shared" si="20"/>
        <v>1.9285000000000001</v>
      </c>
      <c r="K198" s="101">
        <f t="shared" si="21"/>
        <v>17.939137610225316</v>
      </c>
      <c r="L198" s="97">
        <f t="shared" si="22"/>
        <v>0.24409891998431532</v>
      </c>
      <c r="M198" s="107">
        <f t="shared" si="23"/>
        <v>1.4645935199058919</v>
      </c>
    </row>
    <row r="199" spans="2:13" x14ac:dyDescent="0.2">
      <c r="B199" s="3">
        <v>18</v>
      </c>
      <c r="C199" s="95">
        <v>1</v>
      </c>
      <c r="D199" s="95">
        <v>1</v>
      </c>
      <c r="E199" s="95">
        <v>2</v>
      </c>
      <c r="F199" s="95">
        <v>1</v>
      </c>
      <c r="G199" s="95">
        <v>1</v>
      </c>
      <c r="H199" s="95">
        <v>1</v>
      </c>
      <c r="I199" s="95">
        <v>2</v>
      </c>
      <c r="J199" s="100">
        <f t="shared" si="20"/>
        <v>1.9580000000000002</v>
      </c>
      <c r="K199" s="101">
        <f t="shared" si="21"/>
        <v>16.797942187429999</v>
      </c>
      <c r="L199" s="97">
        <f t="shared" si="22"/>
        <v>0.2824942878059678</v>
      </c>
      <c r="M199" s="107">
        <f t="shared" si="23"/>
        <v>1.6949657268358069</v>
      </c>
    </row>
    <row r="200" spans="2:13" x14ac:dyDescent="0.2">
      <c r="B200" s="3">
        <v>19</v>
      </c>
      <c r="C200" s="95">
        <v>1</v>
      </c>
      <c r="D200" s="95">
        <v>1</v>
      </c>
      <c r="E200" s="95">
        <v>2</v>
      </c>
      <c r="F200" s="95">
        <v>1</v>
      </c>
      <c r="G200" s="95">
        <v>1</v>
      </c>
      <c r="H200" s="95">
        <v>2</v>
      </c>
      <c r="I200" s="95">
        <v>1</v>
      </c>
      <c r="J200" s="100">
        <f t="shared" si="20"/>
        <v>1.516</v>
      </c>
      <c r="K200" s="101">
        <f t="shared" si="21"/>
        <v>21.039104371260191</v>
      </c>
      <c r="L200" s="97">
        <f t="shared" si="22"/>
        <v>0.13440096019518433</v>
      </c>
      <c r="M200" s="107">
        <f t="shared" si="23"/>
        <v>0.80640576117110596</v>
      </c>
    </row>
    <row r="201" spans="2:13" x14ac:dyDescent="0.2">
      <c r="B201" s="3">
        <v>20</v>
      </c>
      <c r="C201" s="95">
        <v>1</v>
      </c>
      <c r="D201" s="95">
        <v>1</v>
      </c>
      <c r="E201" s="95">
        <v>2</v>
      </c>
      <c r="F201" s="95">
        <v>1</v>
      </c>
      <c r="G201" s="95">
        <v>1</v>
      </c>
      <c r="H201" s="95">
        <v>2</v>
      </c>
      <c r="I201" s="95">
        <v>2</v>
      </c>
      <c r="J201" s="100">
        <f t="shared" si="20"/>
        <v>1.5455000000000001</v>
      </c>
      <c r="K201" s="101">
        <f t="shared" si="21"/>
        <v>19.897908948464874</v>
      </c>
      <c r="L201" s="97">
        <f t="shared" si="22"/>
        <v>0.15621739520411659</v>
      </c>
      <c r="M201" s="107">
        <f t="shared" si="23"/>
        <v>0.93730437122469956</v>
      </c>
    </row>
    <row r="202" spans="2:13" x14ac:dyDescent="0.2">
      <c r="B202" s="84">
        <v>21</v>
      </c>
      <c r="C202" s="95">
        <v>1</v>
      </c>
      <c r="D202" s="95">
        <v>1</v>
      </c>
      <c r="E202" s="95">
        <v>2</v>
      </c>
      <c r="F202" s="95">
        <v>1</v>
      </c>
      <c r="G202" s="95">
        <v>2</v>
      </c>
      <c r="H202" s="95">
        <v>1</v>
      </c>
      <c r="I202" s="95">
        <v>1</v>
      </c>
      <c r="J202" s="100">
        <f t="shared" si="20"/>
        <v>1.504</v>
      </c>
      <c r="K202" s="101">
        <f t="shared" si="21"/>
        <v>22.693075941177618</v>
      </c>
      <c r="L202" s="97">
        <f t="shared" si="22"/>
        <v>0.11024542161114947</v>
      </c>
      <c r="M202" s="107">
        <f t="shared" si="23"/>
        <v>0.66147252966689685</v>
      </c>
    </row>
    <row r="203" spans="2:13" x14ac:dyDescent="0.2">
      <c r="B203" s="3">
        <v>22</v>
      </c>
      <c r="C203" s="95">
        <v>1</v>
      </c>
      <c r="D203" s="95">
        <v>1</v>
      </c>
      <c r="E203" s="95">
        <v>2</v>
      </c>
      <c r="F203" s="95">
        <v>1</v>
      </c>
      <c r="G203" s="95">
        <v>2</v>
      </c>
      <c r="H203" s="95">
        <v>1</v>
      </c>
      <c r="I203" s="95">
        <v>2</v>
      </c>
      <c r="J203" s="100">
        <f t="shared" si="20"/>
        <v>1.5335000000000001</v>
      </c>
      <c r="K203" s="101">
        <f t="shared" si="21"/>
        <v>21.551880518382301</v>
      </c>
      <c r="L203" s="97">
        <f t="shared" si="22"/>
        <v>0.12816993403148341</v>
      </c>
      <c r="M203" s="107">
        <f t="shared" si="23"/>
        <v>0.76901960418890047</v>
      </c>
    </row>
    <row r="204" spans="2:13" x14ac:dyDescent="0.2">
      <c r="B204" s="3">
        <v>23</v>
      </c>
      <c r="C204" s="95">
        <v>1</v>
      </c>
      <c r="D204" s="95">
        <v>1</v>
      </c>
      <c r="E204" s="95">
        <v>2</v>
      </c>
      <c r="F204" s="95">
        <v>1</v>
      </c>
      <c r="G204" s="95">
        <v>2</v>
      </c>
      <c r="H204" s="95">
        <v>2</v>
      </c>
      <c r="I204" s="95">
        <v>1</v>
      </c>
      <c r="J204" s="100">
        <f t="shared" si="20"/>
        <v>1.0914999999999999</v>
      </c>
      <c r="K204" s="101">
        <f t="shared" si="21"/>
        <v>25.793042702212492</v>
      </c>
      <c r="L204" s="97">
        <f t="shared" si="22"/>
        <v>5.6008922893000621E-2</v>
      </c>
      <c r="M204" s="107">
        <f t="shared" si="23"/>
        <v>0.3360535373580037</v>
      </c>
    </row>
    <row r="205" spans="2:13" x14ac:dyDescent="0.2">
      <c r="B205" s="3">
        <v>24</v>
      </c>
      <c r="C205" s="95">
        <v>1</v>
      </c>
      <c r="D205" s="95">
        <v>1</v>
      </c>
      <c r="E205" s="95">
        <v>2</v>
      </c>
      <c r="F205" s="95">
        <v>1</v>
      </c>
      <c r="G205" s="95">
        <v>2</v>
      </c>
      <c r="H205" s="95">
        <v>2</v>
      </c>
      <c r="I205" s="95">
        <v>2</v>
      </c>
      <c r="J205" s="100">
        <f t="shared" si="20"/>
        <v>1.121</v>
      </c>
      <c r="K205" s="101">
        <f t="shared" si="21"/>
        <v>24.651847279417176</v>
      </c>
      <c r="L205" s="97">
        <f t="shared" si="22"/>
        <v>6.5594058183070708E-2</v>
      </c>
      <c r="M205" s="107">
        <f t="shared" si="23"/>
        <v>0.39356434909842425</v>
      </c>
    </row>
    <row r="206" spans="2:13" x14ac:dyDescent="0.2">
      <c r="B206" s="3">
        <v>25</v>
      </c>
      <c r="C206" s="95">
        <v>1</v>
      </c>
      <c r="D206" s="95">
        <v>1</v>
      </c>
      <c r="E206" s="95">
        <v>2</v>
      </c>
      <c r="F206" s="95">
        <v>2</v>
      </c>
      <c r="G206" s="95">
        <v>1</v>
      </c>
      <c r="H206" s="95">
        <v>1</v>
      </c>
      <c r="I206" s="95">
        <v>1</v>
      </c>
      <c r="J206" s="100">
        <f t="shared" si="20"/>
        <v>1.9359999999999999</v>
      </c>
      <c r="K206" s="101">
        <f t="shared" si="21"/>
        <v>18.502649838634277</v>
      </c>
      <c r="L206" s="97">
        <f t="shared" si="22"/>
        <v>0.22969981309555709</v>
      </c>
      <c r="M206" s="107">
        <f t="shared" si="23"/>
        <v>1.3781988785733426</v>
      </c>
    </row>
    <row r="207" spans="2:13" x14ac:dyDescent="0.2">
      <c r="B207" s="3">
        <v>26</v>
      </c>
      <c r="C207" s="95">
        <v>1</v>
      </c>
      <c r="D207" s="95">
        <v>1</v>
      </c>
      <c r="E207" s="95">
        <v>2</v>
      </c>
      <c r="F207" s="95">
        <v>2</v>
      </c>
      <c r="G207" s="95">
        <v>1</v>
      </c>
      <c r="H207" s="95">
        <v>1</v>
      </c>
      <c r="I207" s="95">
        <v>2</v>
      </c>
      <c r="J207" s="100">
        <f t="shared" si="20"/>
        <v>1.9655</v>
      </c>
      <c r="K207" s="101">
        <f t="shared" si="21"/>
        <v>17.36145441583896</v>
      </c>
      <c r="L207" s="97">
        <f t="shared" si="22"/>
        <v>0.26583028459395958</v>
      </c>
      <c r="M207" s="107">
        <f t="shared" si="23"/>
        <v>1.5949817075637576</v>
      </c>
    </row>
    <row r="208" spans="2:13" x14ac:dyDescent="0.2">
      <c r="B208" s="3">
        <v>27</v>
      </c>
      <c r="C208" s="95">
        <v>1</v>
      </c>
      <c r="D208" s="95">
        <v>1</v>
      </c>
      <c r="E208" s="95">
        <v>2</v>
      </c>
      <c r="F208" s="95">
        <v>2</v>
      </c>
      <c r="G208" s="95">
        <v>1</v>
      </c>
      <c r="H208" s="95">
        <v>2</v>
      </c>
      <c r="I208" s="95">
        <v>1</v>
      </c>
      <c r="J208" s="100">
        <f t="shared" si="20"/>
        <v>1.5234999999999999</v>
      </c>
      <c r="K208" s="101">
        <f t="shared" si="21"/>
        <v>21.602616599669151</v>
      </c>
      <c r="L208" s="97">
        <f t="shared" si="22"/>
        <v>0.12659354412845228</v>
      </c>
      <c r="M208" s="107">
        <f t="shared" si="23"/>
        <v>0.75956126477071373</v>
      </c>
    </row>
    <row r="209" spans="2:13" x14ac:dyDescent="0.2">
      <c r="B209" s="3">
        <v>28</v>
      </c>
      <c r="C209" s="95">
        <v>1</v>
      </c>
      <c r="D209" s="95">
        <v>1</v>
      </c>
      <c r="E209" s="95">
        <v>2</v>
      </c>
      <c r="F209" s="95">
        <v>2</v>
      </c>
      <c r="G209" s="95">
        <v>1</v>
      </c>
      <c r="H209" s="95">
        <v>2</v>
      </c>
      <c r="I209" s="95">
        <v>2</v>
      </c>
      <c r="J209" s="100">
        <f t="shared" si="20"/>
        <v>1.5529999999999999</v>
      </c>
      <c r="K209" s="101">
        <f t="shared" si="21"/>
        <v>20.461421176873834</v>
      </c>
      <c r="L209" s="97">
        <f t="shared" si="22"/>
        <v>0.14713304688643922</v>
      </c>
      <c r="M209" s="107">
        <f t="shared" si="23"/>
        <v>0.88279828131863525</v>
      </c>
    </row>
    <row r="210" spans="2:13" x14ac:dyDescent="0.2">
      <c r="B210" s="3">
        <v>29</v>
      </c>
      <c r="C210" s="95">
        <v>1</v>
      </c>
      <c r="D210" s="95">
        <v>1</v>
      </c>
      <c r="E210" s="95">
        <v>2</v>
      </c>
      <c r="F210" s="95">
        <v>2</v>
      </c>
      <c r="G210" s="95">
        <v>2</v>
      </c>
      <c r="H210" s="95">
        <v>1</v>
      </c>
      <c r="I210" s="95">
        <v>1</v>
      </c>
      <c r="J210" s="100">
        <f t="shared" si="20"/>
        <v>1.5114999999999998</v>
      </c>
      <c r="K210" s="101">
        <f t="shared" si="21"/>
        <v>23.256588169586578</v>
      </c>
      <c r="L210" s="97">
        <f t="shared" si="22"/>
        <v>0.10384214832815693</v>
      </c>
      <c r="M210" s="107">
        <f t="shared" si="23"/>
        <v>0.62305288996894159</v>
      </c>
    </row>
    <row r="211" spans="2:13" x14ac:dyDescent="0.2">
      <c r="B211" s="3">
        <v>30</v>
      </c>
      <c r="C211" s="95">
        <v>1</v>
      </c>
      <c r="D211" s="95">
        <v>1</v>
      </c>
      <c r="E211" s="95">
        <v>2</v>
      </c>
      <c r="F211" s="95">
        <v>2</v>
      </c>
      <c r="G211" s="95">
        <v>2</v>
      </c>
      <c r="H211" s="95">
        <v>1</v>
      </c>
      <c r="I211" s="95">
        <v>2</v>
      </c>
      <c r="J211" s="100">
        <f t="shared" si="20"/>
        <v>1.5409999999999999</v>
      </c>
      <c r="K211" s="101">
        <f t="shared" si="21"/>
        <v>22.115392746791262</v>
      </c>
      <c r="L211" s="97">
        <f t="shared" si="22"/>
        <v>0.12071641483416327</v>
      </c>
      <c r="M211" s="107">
        <f t="shared" si="23"/>
        <v>0.72429848900497962</v>
      </c>
    </row>
    <row r="212" spans="2:13" x14ac:dyDescent="0.2">
      <c r="B212" s="3">
        <v>31</v>
      </c>
      <c r="C212" s="95">
        <v>1</v>
      </c>
      <c r="D212" s="95">
        <v>1</v>
      </c>
      <c r="E212" s="95">
        <v>2</v>
      </c>
      <c r="F212" s="95">
        <v>2</v>
      </c>
      <c r="G212" s="95">
        <v>2</v>
      </c>
      <c r="H212" s="95">
        <v>2</v>
      </c>
      <c r="I212" s="95">
        <v>1</v>
      </c>
      <c r="J212" s="100">
        <f t="shared" si="20"/>
        <v>1.0989999999999998</v>
      </c>
      <c r="K212" s="101">
        <f t="shared" si="21"/>
        <v>26.356554930621453</v>
      </c>
      <c r="L212" s="97">
        <f t="shared" si="22"/>
        <v>5.2852979838770971E-2</v>
      </c>
      <c r="M212" s="107">
        <f t="shared" si="23"/>
        <v>0.31711787903262584</v>
      </c>
    </row>
    <row r="213" spans="2:13" x14ac:dyDescent="0.2">
      <c r="B213" s="84">
        <v>32</v>
      </c>
      <c r="C213" s="95">
        <v>1</v>
      </c>
      <c r="D213" s="95">
        <v>1</v>
      </c>
      <c r="E213" s="95">
        <v>2</v>
      </c>
      <c r="F213" s="95">
        <v>2</v>
      </c>
      <c r="G213" s="95">
        <v>2</v>
      </c>
      <c r="H213" s="95">
        <v>2</v>
      </c>
      <c r="I213" s="95">
        <v>2</v>
      </c>
      <c r="J213" s="100">
        <f t="shared" si="20"/>
        <v>1.1284999999999998</v>
      </c>
      <c r="K213" s="101">
        <f t="shared" si="21"/>
        <v>25.215359507826136</v>
      </c>
      <c r="L213" s="97">
        <f t="shared" si="22"/>
        <v>6.1887499457039676E-2</v>
      </c>
      <c r="M213" s="107">
        <f t="shared" si="23"/>
        <v>0.37132499674223807</v>
      </c>
    </row>
    <row r="214" spans="2:13" x14ac:dyDescent="0.2">
      <c r="B214" s="3">
        <v>33</v>
      </c>
      <c r="C214" s="95">
        <v>1</v>
      </c>
      <c r="D214" s="95">
        <v>2</v>
      </c>
      <c r="E214" s="95">
        <v>1</v>
      </c>
      <c r="F214" s="95">
        <v>1</v>
      </c>
      <c r="G214" s="95">
        <v>1</v>
      </c>
      <c r="H214" s="95">
        <v>1</v>
      </c>
      <c r="I214" s="95">
        <v>1</v>
      </c>
      <c r="J214" s="100">
        <f t="shared" ref="J214:J245" si="24">$J$28+IF(C214=1,$D$33,$D$34)+IF(D214=1,$D$36,$D$37)+IF(E214=1,$D$39,$D$40)+IF(F214=1,$D$42,$D$43)+IF(G214=1,$D$45,$D$46)+IF(H214=1,$D$48,$D$49)+IF(I214=1,$D$51,$D$52)</f>
        <v>2.5024999999999995</v>
      </c>
      <c r="K214" s="101">
        <f t="shared" ref="K214:K245" si="25">$Q$28+IF(D214=1,$F$33,$F$34)+IF(E214=1,$F$36,$F$37)+IF(F214=1,$F$39,$F$40)+IF(G214=1,$F$42,$F$43)+IF(H214=1,$F$45,$F$46)+IF(I214=1,$F$48,$F$49)+IF(J214=1,$F$51,$F$52)</f>
        <v>18.829827631588003</v>
      </c>
      <c r="L214" s="97">
        <f t="shared" ref="L214:L245" si="26">SQRT((J214^2)/(10^(K214/10)+0.2))</f>
        <v>0.28596629894064007</v>
      </c>
      <c r="M214" s="107">
        <f t="shared" ref="M214:M245" si="27">6*L214</f>
        <v>1.7157977936438404</v>
      </c>
    </row>
    <row r="215" spans="2:13" x14ac:dyDescent="0.2">
      <c r="B215" s="3">
        <v>34</v>
      </c>
      <c r="C215" s="95">
        <v>1</v>
      </c>
      <c r="D215" s="95">
        <v>2</v>
      </c>
      <c r="E215" s="95">
        <v>1</v>
      </c>
      <c r="F215" s="95">
        <v>1</v>
      </c>
      <c r="G215" s="95">
        <v>1</v>
      </c>
      <c r="H215" s="95">
        <v>1</v>
      </c>
      <c r="I215" s="95">
        <v>2</v>
      </c>
      <c r="J215" s="100">
        <f t="shared" si="24"/>
        <v>2.532</v>
      </c>
      <c r="K215" s="101">
        <f t="shared" si="25"/>
        <v>17.688632208792686</v>
      </c>
      <c r="L215" s="97">
        <f t="shared" si="26"/>
        <v>0.32983282632794531</v>
      </c>
      <c r="M215" s="107">
        <f t="shared" si="27"/>
        <v>1.9789969579676718</v>
      </c>
    </row>
    <row r="216" spans="2:13" x14ac:dyDescent="0.2">
      <c r="B216" s="3">
        <v>35</v>
      </c>
      <c r="C216" s="95">
        <v>1</v>
      </c>
      <c r="D216" s="95">
        <v>2</v>
      </c>
      <c r="E216" s="95">
        <v>1</v>
      </c>
      <c r="F216" s="95">
        <v>1</v>
      </c>
      <c r="G216" s="95">
        <v>1</v>
      </c>
      <c r="H216" s="95">
        <v>2</v>
      </c>
      <c r="I216" s="95">
        <v>1</v>
      </c>
      <c r="J216" s="100">
        <f t="shared" si="24"/>
        <v>2.09</v>
      </c>
      <c r="K216" s="101">
        <f t="shared" si="25"/>
        <v>21.929794392622878</v>
      </c>
      <c r="L216" s="97">
        <f t="shared" si="26"/>
        <v>0.16725467199498631</v>
      </c>
      <c r="M216" s="107">
        <f t="shared" si="27"/>
        <v>1.0035280319699178</v>
      </c>
    </row>
    <row r="217" spans="2:13" x14ac:dyDescent="0.2">
      <c r="B217" s="3">
        <v>36</v>
      </c>
      <c r="C217" s="95">
        <v>1</v>
      </c>
      <c r="D217" s="95">
        <v>2</v>
      </c>
      <c r="E217" s="95">
        <v>1</v>
      </c>
      <c r="F217" s="95">
        <v>1</v>
      </c>
      <c r="G217" s="95">
        <v>1</v>
      </c>
      <c r="H217" s="95">
        <v>2</v>
      </c>
      <c r="I217" s="95">
        <v>2</v>
      </c>
      <c r="J217" s="100">
        <f t="shared" si="24"/>
        <v>2.1195000000000004</v>
      </c>
      <c r="K217" s="101">
        <f t="shared" si="25"/>
        <v>20.788598969827561</v>
      </c>
      <c r="L217" s="97">
        <f t="shared" si="26"/>
        <v>0.19339337571735241</v>
      </c>
      <c r="M217" s="107">
        <f t="shared" si="27"/>
        <v>1.1603602543041145</v>
      </c>
    </row>
    <row r="218" spans="2:13" x14ac:dyDescent="0.2">
      <c r="B218" s="3">
        <v>37</v>
      </c>
      <c r="C218" s="95">
        <v>1</v>
      </c>
      <c r="D218" s="95">
        <v>2</v>
      </c>
      <c r="E218" s="95">
        <v>1</v>
      </c>
      <c r="F218" s="95">
        <v>1</v>
      </c>
      <c r="G218" s="95">
        <v>2</v>
      </c>
      <c r="H218" s="95">
        <v>1</v>
      </c>
      <c r="I218" s="95">
        <v>1</v>
      </c>
      <c r="J218" s="100">
        <f t="shared" si="24"/>
        <v>2.0780000000000003</v>
      </c>
      <c r="K218" s="101">
        <f t="shared" si="25"/>
        <v>23.583765962540305</v>
      </c>
      <c r="L218" s="97">
        <f t="shared" si="26"/>
        <v>0.13748871153784376</v>
      </c>
      <c r="M218" s="107">
        <f t="shared" si="27"/>
        <v>0.82493226922706253</v>
      </c>
    </row>
    <row r="219" spans="2:13" x14ac:dyDescent="0.2">
      <c r="B219" s="3">
        <v>38</v>
      </c>
      <c r="C219" s="95">
        <v>1</v>
      </c>
      <c r="D219" s="95">
        <v>2</v>
      </c>
      <c r="E219" s="95">
        <v>1</v>
      </c>
      <c r="F219" s="95">
        <v>1</v>
      </c>
      <c r="G219" s="95">
        <v>2</v>
      </c>
      <c r="H219" s="95">
        <v>1</v>
      </c>
      <c r="I219" s="95">
        <v>2</v>
      </c>
      <c r="J219" s="100">
        <f t="shared" si="24"/>
        <v>2.1074999999999999</v>
      </c>
      <c r="K219" s="101">
        <f t="shared" si="25"/>
        <v>22.442570539744988</v>
      </c>
      <c r="L219" s="97">
        <f t="shared" si="26"/>
        <v>0.15899802309364516</v>
      </c>
      <c r="M219" s="107">
        <f t="shared" si="27"/>
        <v>0.95398813856187092</v>
      </c>
    </row>
    <row r="220" spans="2:13" x14ac:dyDescent="0.2">
      <c r="B220" s="3">
        <v>39</v>
      </c>
      <c r="C220" s="95">
        <v>1</v>
      </c>
      <c r="D220" s="95">
        <v>2</v>
      </c>
      <c r="E220" s="95">
        <v>1</v>
      </c>
      <c r="F220" s="95">
        <v>1</v>
      </c>
      <c r="G220" s="95">
        <v>2</v>
      </c>
      <c r="H220" s="95">
        <v>2</v>
      </c>
      <c r="I220" s="95">
        <v>1</v>
      </c>
      <c r="J220" s="100">
        <f t="shared" si="24"/>
        <v>1.6655</v>
      </c>
      <c r="K220" s="101">
        <f t="shared" si="25"/>
        <v>26.683732723575179</v>
      </c>
      <c r="L220" s="97">
        <f t="shared" si="26"/>
        <v>7.7137369002607134E-2</v>
      </c>
      <c r="M220" s="107">
        <f t="shared" si="27"/>
        <v>0.46282421401564278</v>
      </c>
    </row>
    <row r="221" spans="2:13" x14ac:dyDescent="0.2">
      <c r="B221" s="3">
        <v>40</v>
      </c>
      <c r="C221" s="95">
        <v>1</v>
      </c>
      <c r="D221" s="95">
        <v>2</v>
      </c>
      <c r="E221" s="95">
        <v>1</v>
      </c>
      <c r="F221" s="95">
        <v>1</v>
      </c>
      <c r="G221" s="95">
        <v>2</v>
      </c>
      <c r="H221" s="95">
        <v>2</v>
      </c>
      <c r="I221" s="95">
        <v>2</v>
      </c>
      <c r="J221" s="100">
        <f t="shared" si="24"/>
        <v>1.6950000000000001</v>
      </c>
      <c r="K221" s="101">
        <f t="shared" si="25"/>
        <v>25.542537300779863</v>
      </c>
      <c r="L221" s="97">
        <f t="shared" si="26"/>
        <v>8.9520327741491795E-2</v>
      </c>
      <c r="M221" s="107">
        <f t="shared" si="27"/>
        <v>0.53712196644895083</v>
      </c>
    </row>
    <row r="222" spans="2:13" x14ac:dyDescent="0.2">
      <c r="B222" s="3">
        <v>41</v>
      </c>
      <c r="C222" s="95">
        <v>1</v>
      </c>
      <c r="D222" s="95">
        <v>2</v>
      </c>
      <c r="E222" s="95">
        <v>1</v>
      </c>
      <c r="F222" s="95">
        <v>2</v>
      </c>
      <c r="G222" s="95">
        <v>1</v>
      </c>
      <c r="H222" s="95">
        <v>1</v>
      </c>
      <c r="I222" s="95">
        <v>1</v>
      </c>
      <c r="J222" s="100">
        <f t="shared" si="24"/>
        <v>2.5099999999999998</v>
      </c>
      <c r="K222" s="101">
        <f t="shared" si="25"/>
        <v>19.393339859996964</v>
      </c>
      <c r="L222" s="97">
        <f t="shared" si="26"/>
        <v>0.26884867461977424</v>
      </c>
      <c r="M222" s="107">
        <f t="shared" si="27"/>
        <v>1.6130920477186454</v>
      </c>
    </row>
    <row r="223" spans="2:13" x14ac:dyDescent="0.2">
      <c r="B223" s="3">
        <v>42</v>
      </c>
      <c r="C223" s="95">
        <v>1</v>
      </c>
      <c r="D223" s="95">
        <v>2</v>
      </c>
      <c r="E223" s="95">
        <v>1</v>
      </c>
      <c r="F223" s="95">
        <v>2</v>
      </c>
      <c r="G223" s="95">
        <v>1</v>
      </c>
      <c r="H223" s="95">
        <v>1</v>
      </c>
      <c r="I223" s="95">
        <v>2</v>
      </c>
      <c r="J223" s="100">
        <f t="shared" si="24"/>
        <v>2.5395000000000003</v>
      </c>
      <c r="K223" s="101">
        <f t="shared" si="25"/>
        <v>18.252144437201647</v>
      </c>
      <c r="L223" s="97">
        <f t="shared" si="26"/>
        <v>0.31009336838025464</v>
      </c>
      <c r="M223" s="107">
        <f t="shared" si="27"/>
        <v>1.8605602102815277</v>
      </c>
    </row>
    <row r="224" spans="2:13" x14ac:dyDescent="0.2">
      <c r="B224" s="3">
        <v>43</v>
      </c>
      <c r="C224" s="95">
        <v>1</v>
      </c>
      <c r="D224" s="95">
        <v>2</v>
      </c>
      <c r="E224" s="95">
        <v>1</v>
      </c>
      <c r="F224" s="95">
        <v>2</v>
      </c>
      <c r="G224" s="95">
        <v>1</v>
      </c>
      <c r="H224" s="95">
        <v>2</v>
      </c>
      <c r="I224" s="95">
        <v>1</v>
      </c>
      <c r="J224" s="100">
        <f t="shared" si="24"/>
        <v>2.0975000000000001</v>
      </c>
      <c r="K224" s="101">
        <f t="shared" si="25"/>
        <v>22.493306621031838</v>
      </c>
      <c r="L224" s="97">
        <f t="shared" si="26"/>
        <v>0.15732298488885316</v>
      </c>
      <c r="M224" s="107">
        <f t="shared" si="27"/>
        <v>0.94393790933311894</v>
      </c>
    </row>
    <row r="225" spans="2:13" x14ac:dyDescent="0.2">
      <c r="B225" s="3">
        <v>44</v>
      </c>
      <c r="C225" s="95">
        <v>1</v>
      </c>
      <c r="D225" s="95">
        <v>2</v>
      </c>
      <c r="E225" s="95">
        <v>1</v>
      </c>
      <c r="F225" s="95">
        <v>2</v>
      </c>
      <c r="G225" s="95">
        <v>1</v>
      </c>
      <c r="H225" s="95">
        <v>2</v>
      </c>
      <c r="I225" s="95">
        <v>2</v>
      </c>
      <c r="J225" s="100">
        <f t="shared" si="24"/>
        <v>2.1270000000000007</v>
      </c>
      <c r="K225" s="101">
        <f t="shared" si="25"/>
        <v>21.352111198236521</v>
      </c>
      <c r="L225" s="97">
        <f t="shared" si="26"/>
        <v>0.18190475671701695</v>
      </c>
      <c r="M225" s="107">
        <f t="shared" si="27"/>
        <v>1.0914285403021018</v>
      </c>
    </row>
    <row r="226" spans="2:13" x14ac:dyDescent="0.2">
      <c r="B226" s="3">
        <v>45</v>
      </c>
      <c r="C226" s="95">
        <v>1</v>
      </c>
      <c r="D226" s="95">
        <v>2</v>
      </c>
      <c r="E226" s="95">
        <v>1</v>
      </c>
      <c r="F226" s="95">
        <v>2</v>
      </c>
      <c r="G226" s="95">
        <v>2</v>
      </c>
      <c r="H226" s="95">
        <v>1</v>
      </c>
      <c r="I226" s="95">
        <v>1</v>
      </c>
      <c r="J226" s="100">
        <f t="shared" si="24"/>
        <v>2.0855000000000006</v>
      </c>
      <c r="K226" s="101">
        <f t="shared" si="25"/>
        <v>24.147278190949265</v>
      </c>
      <c r="L226" s="97">
        <f t="shared" si="26"/>
        <v>0.12932402656611075</v>
      </c>
      <c r="M226" s="107">
        <f t="shared" si="27"/>
        <v>0.7759441593966645</v>
      </c>
    </row>
    <row r="227" spans="2:13" x14ac:dyDescent="0.2">
      <c r="B227" s="3">
        <v>46</v>
      </c>
      <c r="C227" s="95">
        <v>1</v>
      </c>
      <c r="D227" s="95">
        <v>2</v>
      </c>
      <c r="E227" s="95">
        <v>1</v>
      </c>
      <c r="F227" s="95">
        <v>2</v>
      </c>
      <c r="G227" s="95">
        <v>2</v>
      </c>
      <c r="H227" s="95">
        <v>1</v>
      </c>
      <c r="I227" s="95">
        <v>2</v>
      </c>
      <c r="J227" s="100">
        <f t="shared" si="24"/>
        <v>2.1150000000000002</v>
      </c>
      <c r="K227" s="101">
        <f t="shared" si="25"/>
        <v>23.006082768153949</v>
      </c>
      <c r="L227" s="97">
        <f t="shared" si="26"/>
        <v>0.14955088376218809</v>
      </c>
      <c r="M227" s="107">
        <f t="shared" si="27"/>
        <v>0.89730530257312857</v>
      </c>
    </row>
    <row r="228" spans="2:13" x14ac:dyDescent="0.2">
      <c r="B228" s="3">
        <v>47</v>
      </c>
      <c r="C228" s="95">
        <v>1</v>
      </c>
      <c r="D228" s="95">
        <v>2</v>
      </c>
      <c r="E228" s="95">
        <v>1</v>
      </c>
      <c r="F228" s="95">
        <v>2</v>
      </c>
      <c r="G228" s="95">
        <v>2</v>
      </c>
      <c r="H228" s="95">
        <v>2</v>
      </c>
      <c r="I228" s="95">
        <v>1</v>
      </c>
      <c r="J228" s="100">
        <f t="shared" si="24"/>
        <v>1.6730000000000003</v>
      </c>
      <c r="K228" s="101">
        <f t="shared" si="25"/>
        <v>27.24724495198414</v>
      </c>
      <c r="L228" s="97">
        <f t="shared" si="26"/>
        <v>7.261926534332469E-2</v>
      </c>
      <c r="M228" s="107">
        <f t="shared" si="27"/>
        <v>0.43571559205994814</v>
      </c>
    </row>
    <row r="229" spans="2:13" x14ac:dyDescent="0.2">
      <c r="B229" s="3">
        <v>48</v>
      </c>
      <c r="C229" s="95">
        <v>1</v>
      </c>
      <c r="D229" s="95">
        <v>2</v>
      </c>
      <c r="E229" s="95">
        <v>1</v>
      </c>
      <c r="F229" s="95">
        <v>2</v>
      </c>
      <c r="G229" s="95">
        <v>2</v>
      </c>
      <c r="H229" s="95">
        <v>2</v>
      </c>
      <c r="I229" s="95">
        <v>2</v>
      </c>
      <c r="J229" s="100">
        <f t="shared" si="24"/>
        <v>1.7025000000000003</v>
      </c>
      <c r="K229" s="101">
        <f t="shared" si="25"/>
        <v>26.106049529188823</v>
      </c>
      <c r="L229" s="97">
        <f t="shared" si="26"/>
        <v>8.4271012507167911E-2</v>
      </c>
      <c r="M229" s="107">
        <f t="shared" si="27"/>
        <v>0.50562607504300749</v>
      </c>
    </row>
    <row r="230" spans="2:13" x14ac:dyDescent="0.2">
      <c r="B230" s="3">
        <v>49</v>
      </c>
      <c r="C230" s="95">
        <v>1</v>
      </c>
      <c r="D230" s="95">
        <v>2</v>
      </c>
      <c r="E230" s="95">
        <v>2</v>
      </c>
      <c r="F230" s="95">
        <v>1</v>
      </c>
      <c r="G230" s="95">
        <v>1</v>
      </c>
      <c r="H230" s="95">
        <v>1</v>
      </c>
      <c r="I230" s="95">
        <v>1</v>
      </c>
      <c r="J230" s="100">
        <f t="shared" si="24"/>
        <v>2.1870000000000003</v>
      </c>
      <c r="K230" s="101">
        <f t="shared" si="25"/>
        <v>22.305456078913114</v>
      </c>
      <c r="L230" s="97">
        <f t="shared" si="26"/>
        <v>0.16761802482186364</v>
      </c>
      <c r="M230" s="107">
        <f t="shared" si="27"/>
        <v>1.0057081489311819</v>
      </c>
    </row>
    <row r="231" spans="2:13" x14ac:dyDescent="0.2">
      <c r="B231" s="3">
        <v>50</v>
      </c>
      <c r="C231" s="95">
        <v>1</v>
      </c>
      <c r="D231" s="95">
        <v>2</v>
      </c>
      <c r="E231" s="95">
        <v>2</v>
      </c>
      <c r="F231" s="95">
        <v>1</v>
      </c>
      <c r="G231" s="95">
        <v>1</v>
      </c>
      <c r="H231" s="95">
        <v>1</v>
      </c>
      <c r="I231" s="95">
        <v>2</v>
      </c>
      <c r="J231" s="100">
        <f t="shared" si="24"/>
        <v>2.2165000000000008</v>
      </c>
      <c r="K231" s="101">
        <f t="shared" si="25"/>
        <v>21.164260656117797</v>
      </c>
      <c r="L231" s="97">
        <f t="shared" si="26"/>
        <v>0.19369695268322359</v>
      </c>
      <c r="M231" s="107">
        <f t="shared" si="27"/>
        <v>1.1621817160993415</v>
      </c>
    </row>
    <row r="232" spans="2:13" x14ac:dyDescent="0.2">
      <c r="B232" s="3">
        <v>51</v>
      </c>
      <c r="C232" s="95">
        <v>1</v>
      </c>
      <c r="D232" s="95">
        <v>2</v>
      </c>
      <c r="E232" s="95">
        <v>2</v>
      </c>
      <c r="F232" s="95">
        <v>1</v>
      </c>
      <c r="G232" s="95">
        <v>1</v>
      </c>
      <c r="H232" s="95">
        <v>2</v>
      </c>
      <c r="I232" s="95">
        <v>1</v>
      </c>
      <c r="J232" s="100">
        <f t="shared" si="24"/>
        <v>1.7745000000000002</v>
      </c>
      <c r="K232" s="101">
        <f t="shared" si="25"/>
        <v>25.405422839947988</v>
      </c>
      <c r="L232" s="97">
        <f t="shared" si="26"/>
        <v>9.5209394260985861E-2</v>
      </c>
      <c r="M232" s="107">
        <f t="shared" si="27"/>
        <v>0.57125636556591519</v>
      </c>
    </row>
    <row r="233" spans="2:13" x14ac:dyDescent="0.2">
      <c r="B233" s="3">
        <v>52</v>
      </c>
      <c r="C233" s="95">
        <v>1</v>
      </c>
      <c r="D233" s="95">
        <v>2</v>
      </c>
      <c r="E233" s="95">
        <v>2</v>
      </c>
      <c r="F233" s="95">
        <v>1</v>
      </c>
      <c r="G233" s="95">
        <v>1</v>
      </c>
      <c r="H233" s="95">
        <v>2</v>
      </c>
      <c r="I233" s="95">
        <v>2</v>
      </c>
      <c r="J233" s="100">
        <f t="shared" si="24"/>
        <v>1.8040000000000003</v>
      </c>
      <c r="K233" s="101">
        <f t="shared" si="25"/>
        <v>24.264227417152672</v>
      </c>
      <c r="L233" s="97">
        <f t="shared" si="26"/>
        <v>0.1103729201782666</v>
      </c>
      <c r="M233" s="107">
        <f t="shared" si="27"/>
        <v>0.66223752106959954</v>
      </c>
    </row>
    <row r="234" spans="2:13" x14ac:dyDescent="0.2">
      <c r="B234" s="3">
        <v>53</v>
      </c>
      <c r="C234" s="95">
        <v>1</v>
      </c>
      <c r="D234" s="95">
        <v>2</v>
      </c>
      <c r="E234" s="95">
        <v>2</v>
      </c>
      <c r="F234" s="95">
        <v>1</v>
      </c>
      <c r="G234" s="95">
        <v>2</v>
      </c>
      <c r="H234" s="95">
        <v>1</v>
      </c>
      <c r="I234" s="95">
        <v>1</v>
      </c>
      <c r="J234" s="100">
        <f t="shared" si="24"/>
        <v>1.7625000000000002</v>
      </c>
      <c r="K234" s="101">
        <f t="shared" si="25"/>
        <v>27.059394409865416</v>
      </c>
      <c r="L234" s="97">
        <f t="shared" si="26"/>
        <v>7.8176090104601928E-2</v>
      </c>
      <c r="M234" s="107">
        <f t="shared" si="27"/>
        <v>0.4690565406276116</v>
      </c>
    </row>
    <row r="235" spans="2:13" x14ac:dyDescent="0.2">
      <c r="B235" s="3">
        <v>54</v>
      </c>
      <c r="C235" s="95">
        <v>1</v>
      </c>
      <c r="D235" s="95">
        <v>2</v>
      </c>
      <c r="E235" s="95">
        <v>2</v>
      </c>
      <c r="F235" s="95">
        <v>1</v>
      </c>
      <c r="G235" s="95">
        <v>2</v>
      </c>
      <c r="H235" s="95">
        <v>1</v>
      </c>
      <c r="I235" s="95">
        <v>2</v>
      </c>
      <c r="J235" s="100">
        <f t="shared" si="24"/>
        <v>1.7920000000000003</v>
      </c>
      <c r="K235" s="101">
        <f t="shared" si="25"/>
        <v>25.918198987070099</v>
      </c>
      <c r="L235" s="97">
        <f t="shared" si="26"/>
        <v>9.0639378787453997E-2</v>
      </c>
      <c r="M235" s="107">
        <f t="shared" si="27"/>
        <v>0.54383627272472401</v>
      </c>
    </row>
    <row r="236" spans="2:13" x14ac:dyDescent="0.2">
      <c r="B236" s="3">
        <v>55</v>
      </c>
      <c r="C236" s="95">
        <v>1</v>
      </c>
      <c r="D236" s="95">
        <v>2</v>
      </c>
      <c r="E236" s="95">
        <v>2</v>
      </c>
      <c r="F236" s="95">
        <v>1</v>
      </c>
      <c r="G236" s="95">
        <v>2</v>
      </c>
      <c r="H236" s="95">
        <v>2</v>
      </c>
      <c r="I236" s="95">
        <v>1</v>
      </c>
      <c r="J236" s="100">
        <f t="shared" si="24"/>
        <v>1.35</v>
      </c>
      <c r="K236" s="101">
        <f t="shared" si="25"/>
        <v>30.15936117090029</v>
      </c>
      <c r="L236" s="97">
        <f t="shared" si="26"/>
        <v>4.1910597196141375E-2</v>
      </c>
      <c r="M236" s="107">
        <f t="shared" si="27"/>
        <v>0.25146358317684825</v>
      </c>
    </row>
    <row r="237" spans="2:13" x14ac:dyDescent="0.2">
      <c r="B237" s="3">
        <v>56</v>
      </c>
      <c r="C237" s="95">
        <v>1</v>
      </c>
      <c r="D237" s="95">
        <v>2</v>
      </c>
      <c r="E237" s="95">
        <v>2</v>
      </c>
      <c r="F237" s="95">
        <v>1</v>
      </c>
      <c r="G237" s="95">
        <v>2</v>
      </c>
      <c r="H237" s="95">
        <v>2</v>
      </c>
      <c r="I237" s="95">
        <v>2</v>
      </c>
      <c r="J237" s="100">
        <f t="shared" si="24"/>
        <v>1.3795000000000002</v>
      </c>
      <c r="K237" s="101">
        <f t="shared" si="25"/>
        <v>29.018165748104973</v>
      </c>
      <c r="L237" s="97">
        <f t="shared" si="26"/>
        <v>4.8838124540591457E-2</v>
      </c>
      <c r="M237" s="107">
        <f t="shared" si="27"/>
        <v>0.29302874724354877</v>
      </c>
    </row>
    <row r="238" spans="2:13" x14ac:dyDescent="0.2">
      <c r="B238" s="3">
        <v>57</v>
      </c>
      <c r="C238" s="95">
        <v>1</v>
      </c>
      <c r="D238" s="95">
        <v>2</v>
      </c>
      <c r="E238" s="95">
        <v>2</v>
      </c>
      <c r="F238" s="95">
        <v>2</v>
      </c>
      <c r="G238" s="95">
        <v>1</v>
      </c>
      <c r="H238" s="95">
        <v>1</v>
      </c>
      <c r="I238" s="95">
        <v>1</v>
      </c>
      <c r="J238" s="100">
        <f t="shared" si="24"/>
        <v>2.1944999999999997</v>
      </c>
      <c r="K238" s="101">
        <f t="shared" si="25"/>
        <v>22.868968307322074</v>
      </c>
      <c r="L238" s="97">
        <f t="shared" si="26"/>
        <v>0.15763874023114624</v>
      </c>
      <c r="M238" s="107">
        <f t="shared" si="27"/>
        <v>0.9458324413868775</v>
      </c>
    </row>
    <row r="239" spans="2:13" x14ac:dyDescent="0.2">
      <c r="B239" s="3">
        <v>58</v>
      </c>
      <c r="C239" s="95">
        <v>1</v>
      </c>
      <c r="D239" s="95">
        <v>2</v>
      </c>
      <c r="E239" s="95">
        <v>2</v>
      </c>
      <c r="F239" s="95">
        <v>2</v>
      </c>
      <c r="G239" s="95">
        <v>1</v>
      </c>
      <c r="H239" s="95">
        <v>1</v>
      </c>
      <c r="I239" s="95">
        <v>2</v>
      </c>
      <c r="J239" s="100">
        <f t="shared" si="24"/>
        <v>2.2240000000000002</v>
      </c>
      <c r="K239" s="101">
        <f t="shared" si="25"/>
        <v>21.727772884526757</v>
      </c>
      <c r="L239" s="97">
        <f t="shared" si="26"/>
        <v>0.18216065829805178</v>
      </c>
      <c r="M239" s="107">
        <f t="shared" si="27"/>
        <v>1.0929639497883108</v>
      </c>
    </row>
    <row r="240" spans="2:13" x14ac:dyDescent="0.2">
      <c r="B240" s="3">
        <v>59</v>
      </c>
      <c r="C240" s="95">
        <v>1</v>
      </c>
      <c r="D240" s="95">
        <v>2</v>
      </c>
      <c r="E240" s="95">
        <v>2</v>
      </c>
      <c r="F240" s="95">
        <v>2</v>
      </c>
      <c r="G240" s="95">
        <v>1</v>
      </c>
      <c r="H240" s="95">
        <v>2</v>
      </c>
      <c r="I240" s="95">
        <v>1</v>
      </c>
      <c r="J240" s="100">
        <f t="shared" si="24"/>
        <v>1.782</v>
      </c>
      <c r="K240" s="101">
        <f t="shared" si="25"/>
        <v>25.968935068356949</v>
      </c>
      <c r="L240" s="97">
        <f t="shared" si="26"/>
        <v>8.9608890708851016E-2</v>
      </c>
      <c r="M240" s="107">
        <f t="shared" si="27"/>
        <v>0.53765334425310607</v>
      </c>
    </row>
    <row r="241" spans="1:59" x14ac:dyDescent="0.2">
      <c r="B241" s="3">
        <v>60</v>
      </c>
      <c r="C241" s="95">
        <v>1</v>
      </c>
      <c r="D241" s="95">
        <v>2</v>
      </c>
      <c r="E241" s="95">
        <v>2</v>
      </c>
      <c r="F241" s="95">
        <v>2</v>
      </c>
      <c r="G241" s="95">
        <v>1</v>
      </c>
      <c r="H241" s="95">
        <v>2</v>
      </c>
      <c r="I241" s="95">
        <v>2</v>
      </c>
      <c r="J241" s="100">
        <f t="shared" si="24"/>
        <v>1.8115000000000001</v>
      </c>
      <c r="K241" s="101">
        <f t="shared" si="25"/>
        <v>24.827739645561632</v>
      </c>
      <c r="L241" s="97">
        <f t="shared" si="26"/>
        <v>0.10387439570959289</v>
      </c>
      <c r="M241" s="107">
        <f t="shared" si="27"/>
        <v>0.62324637425755736</v>
      </c>
    </row>
    <row r="242" spans="1:59" x14ac:dyDescent="0.2">
      <c r="B242" s="3">
        <v>61</v>
      </c>
      <c r="C242" s="95">
        <v>1</v>
      </c>
      <c r="D242" s="95">
        <v>2</v>
      </c>
      <c r="E242" s="95">
        <v>2</v>
      </c>
      <c r="F242" s="95">
        <v>2</v>
      </c>
      <c r="G242" s="95">
        <v>2</v>
      </c>
      <c r="H242" s="95">
        <v>1</v>
      </c>
      <c r="I242" s="95">
        <v>1</v>
      </c>
      <c r="J242" s="100">
        <f t="shared" si="24"/>
        <v>1.77</v>
      </c>
      <c r="K242" s="101">
        <f t="shared" si="25"/>
        <v>27.622906638274376</v>
      </c>
      <c r="L242" s="97">
        <f t="shared" si="26"/>
        <v>7.3578829155963574E-2</v>
      </c>
      <c r="M242" s="107">
        <f t="shared" si="27"/>
        <v>0.44147297493578141</v>
      </c>
    </row>
    <row r="243" spans="1:59" x14ac:dyDescent="0.2">
      <c r="B243" s="3">
        <v>62</v>
      </c>
      <c r="C243" s="95">
        <v>1</v>
      </c>
      <c r="D243" s="95">
        <v>2</v>
      </c>
      <c r="E243" s="95">
        <v>2</v>
      </c>
      <c r="F243" s="95">
        <v>2</v>
      </c>
      <c r="G243" s="95">
        <v>2</v>
      </c>
      <c r="H243" s="95">
        <v>1</v>
      </c>
      <c r="I243" s="95">
        <v>2</v>
      </c>
      <c r="J243" s="100">
        <f t="shared" si="24"/>
        <v>1.7995000000000001</v>
      </c>
      <c r="K243" s="101">
        <f t="shared" si="25"/>
        <v>26.481711215479059</v>
      </c>
      <c r="L243" s="97">
        <f t="shared" si="26"/>
        <v>8.5303858428196613E-2</v>
      </c>
      <c r="M243" s="107">
        <f t="shared" si="27"/>
        <v>0.51182315056917971</v>
      </c>
    </row>
    <row r="244" spans="1:59" x14ac:dyDescent="0.2">
      <c r="B244" s="3">
        <v>63</v>
      </c>
      <c r="C244" s="95">
        <v>1</v>
      </c>
      <c r="D244" s="95">
        <v>2</v>
      </c>
      <c r="E244" s="95">
        <v>2</v>
      </c>
      <c r="F244" s="95">
        <v>2</v>
      </c>
      <c r="G244" s="95">
        <v>2</v>
      </c>
      <c r="H244" s="95">
        <v>2</v>
      </c>
      <c r="I244" s="95">
        <v>1</v>
      </c>
      <c r="J244" s="100">
        <f t="shared" si="24"/>
        <v>1.3574999999999999</v>
      </c>
      <c r="K244" s="101">
        <f t="shared" si="25"/>
        <v>30.72287339930925</v>
      </c>
      <c r="L244" s="97">
        <f t="shared" si="26"/>
        <v>3.9496571754325908E-2</v>
      </c>
      <c r="M244" s="107">
        <f t="shared" si="27"/>
        <v>0.23697943052595544</v>
      </c>
    </row>
    <row r="245" spans="1:59" x14ac:dyDescent="0.2">
      <c r="B245" s="3">
        <v>64</v>
      </c>
      <c r="C245" s="95">
        <v>1</v>
      </c>
      <c r="D245" s="95">
        <v>2</v>
      </c>
      <c r="E245" s="95">
        <v>2</v>
      </c>
      <c r="F245" s="95">
        <v>2</v>
      </c>
      <c r="G245" s="95">
        <v>2</v>
      </c>
      <c r="H245" s="95">
        <v>2</v>
      </c>
      <c r="I245" s="95">
        <v>2</v>
      </c>
      <c r="J245" s="100">
        <f t="shared" si="24"/>
        <v>1.387</v>
      </c>
      <c r="K245" s="101">
        <f t="shared" si="25"/>
        <v>29.581677976513934</v>
      </c>
      <c r="L245" s="97">
        <f t="shared" si="26"/>
        <v>4.6019802101889877E-2</v>
      </c>
      <c r="M245" s="107">
        <f t="shared" si="27"/>
        <v>0.27611881261133925</v>
      </c>
    </row>
    <row r="246" spans="1:59" x14ac:dyDescent="0.2">
      <c r="B246" s="3">
        <v>65</v>
      </c>
      <c r="C246" s="95">
        <v>2</v>
      </c>
      <c r="D246" s="95">
        <v>1</v>
      </c>
      <c r="E246" s="95">
        <v>1</v>
      </c>
      <c r="F246" s="95">
        <v>1</v>
      </c>
      <c r="G246" s="95">
        <v>1</v>
      </c>
      <c r="H246" s="95">
        <v>1</v>
      </c>
      <c r="I246" s="95">
        <v>1</v>
      </c>
      <c r="J246" s="100">
        <f t="shared" ref="J246:J277" si="28">$J$28+IF(C246=1,$D$33,$D$34)+IF(D246=1,$D$36,$D$37)+IF(E246=1,$D$39,$D$40)+IF(F246=1,$D$42,$D$43)+IF(G246=1,$D$45,$D$46)+IF(H246=1,$D$48,$D$49)+IF(I246=1,$D$51,$D$52)</f>
        <v>2.3065000000000007</v>
      </c>
      <c r="K246" s="101">
        <f t="shared" ref="K246:K277" si="29">$Q$28+IF(D246=1,$F$33,$F$34)+IF(E246=1,$F$36,$F$37)+IF(F246=1,$F$39,$F$40)+IF(G246=1,$F$42,$F$43)+IF(H246=1,$F$45,$F$46)+IF(I246=1,$F$48,$F$49)+IF(J246=1,$F$51,$F$52)</f>
        <v>14.463509162900205</v>
      </c>
      <c r="L246" s="97">
        <f t="shared" ref="L246:L277" si="30">SQRT((J246^2)/(10^(K246/10)+0.2))</f>
        <v>0.43473999651716155</v>
      </c>
      <c r="M246" s="107">
        <f t="shared" ref="M246:M277" si="31">6*L246</f>
        <v>2.6084399791029691</v>
      </c>
    </row>
    <row r="247" spans="1:59" x14ac:dyDescent="0.2">
      <c r="B247" s="3">
        <v>66</v>
      </c>
      <c r="C247" s="95">
        <v>2</v>
      </c>
      <c r="D247" s="95">
        <v>1</v>
      </c>
      <c r="E247" s="95">
        <v>1</v>
      </c>
      <c r="F247" s="95">
        <v>1</v>
      </c>
      <c r="G247" s="95">
        <v>1</v>
      </c>
      <c r="H247" s="95">
        <v>1</v>
      </c>
      <c r="I247" s="95">
        <v>2</v>
      </c>
      <c r="J247" s="100">
        <f t="shared" si="28"/>
        <v>2.3360000000000012</v>
      </c>
      <c r="K247" s="101">
        <f t="shared" si="29"/>
        <v>13.322313740104889</v>
      </c>
      <c r="L247" s="97">
        <f t="shared" si="30"/>
        <v>0.5015861775537992</v>
      </c>
      <c r="M247" s="107">
        <f t="shared" si="31"/>
        <v>3.0095170653227949</v>
      </c>
    </row>
    <row r="248" spans="1:59" x14ac:dyDescent="0.2">
      <c r="B248" s="3">
        <v>67</v>
      </c>
      <c r="C248" s="95">
        <v>2</v>
      </c>
      <c r="D248" s="95">
        <v>1</v>
      </c>
      <c r="E248" s="95">
        <v>1</v>
      </c>
      <c r="F248" s="95">
        <v>1</v>
      </c>
      <c r="G248" s="95">
        <v>1</v>
      </c>
      <c r="H248" s="95">
        <v>2</v>
      </c>
      <c r="I248" s="95">
        <v>1</v>
      </c>
      <c r="J248" s="100">
        <f t="shared" si="28"/>
        <v>1.8940000000000006</v>
      </c>
      <c r="K248" s="101">
        <f t="shared" si="29"/>
        <v>17.56347592393508</v>
      </c>
      <c r="L248" s="97">
        <f t="shared" si="30"/>
        <v>0.25029168262445289</v>
      </c>
      <c r="M248" s="107">
        <f t="shared" si="31"/>
        <v>1.5017500957467174</v>
      </c>
    </row>
    <row r="249" spans="1:59" x14ac:dyDescent="0.2">
      <c r="B249" s="3">
        <v>68</v>
      </c>
      <c r="C249" s="95">
        <v>2</v>
      </c>
      <c r="D249" s="95">
        <v>1</v>
      </c>
      <c r="E249" s="95">
        <v>1</v>
      </c>
      <c r="F249" s="95">
        <v>1</v>
      </c>
      <c r="G249" s="95">
        <v>1</v>
      </c>
      <c r="H249" s="95">
        <v>2</v>
      </c>
      <c r="I249" s="95">
        <v>2</v>
      </c>
      <c r="J249" s="100">
        <f t="shared" si="28"/>
        <v>1.9235000000000007</v>
      </c>
      <c r="K249" s="101">
        <f t="shared" si="29"/>
        <v>16.422280501139763</v>
      </c>
      <c r="L249" s="97">
        <f t="shared" si="30"/>
        <v>0.2897280841476586</v>
      </c>
      <c r="M249" s="107">
        <f t="shared" si="31"/>
        <v>1.7383685048859516</v>
      </c>
    </row>
    <row r="250" spans="1:59" x14ac:dyDescent="0.2">
      <c r="B250" s="3">
        <v>69</v>
      </c>
      <c r="C250" s="95">
        <v>2</v>
      </c>
      <c r="D250" s="95">
        <v>1</v>
      </c>
      <c r="E250" s="95">
        <v>1</v>
      </c>
      <c r="F250" s="95">
        <v>1</v>
      </c>
      <c r="G250" s="95">
        <v>2</v>
      </c>
      <c r="H250" s="95">
        <v>1</v>
      </c>
      <c r="I250" s="95">
        <v>1</v>
      </c>
      <c r="J250" s="100">
        <f t="shared" si="28"/>
        <v>1.8820000000000006</v>
      </c>
      <c r="K250" s="101">
        <f t="shared" si="29"/>
        <v>19.217447493852507</v>
      </c>
      <c r="L250" s="97">
        <f t="shared" si="30"/>
        <v>0.20569693606592762</v>
      </c>
      <c r="M250" s="107">
        <f t="shared" si="31"/>
        <v>1.2341816163955657</v>
      </c>
    </row>
    <row r="251" spans="1:59" x14ac:dyDescent="0.2">
      <c r="B251" s="3">
        <v>70</v>
      </c>
      <c r="C251" s="95">
        <v>2</v>
      </c>
      <c r="D251" s="95">
        <v>1</v>
      </c>
      <c r="E251" s="95">
        <v>1</v>
      </c>
      <c r="F251" s="95">
        <v>1</v>
      </c>
      <c r="G251" s="95">
        <v>2</v>
      </c>
      <c r="H251" s="95">
        <v>1</v>
      </c>
      <c r="I251" s="95">
        <v>2</v>
      </c>
      <c r="J251" s="100">
        <f t="shared" si="28"/>
        <v>1.9115000000000006</v>
      </c>
      <c r="K251" s="101">
        <f t="shared" si="29"/>
        <v>18.076252071057191</v>
      </c>
      <c r="L251" s="97">
        <f t="shared" si="30"/>
        <v>0.23816965039522864</v>
      </c>
      <c r="M251" s="107">
        <f t="shared" si="31"/>
        <v>1.4290179023713718</v>
      </c>
    </row>
    <row r="252" spans="1:59" s="113" customFormat="1" x14ac:dyDescent="0.2">
      <c r="A252"/>
      <c r="B252" s="84">
        <v>71</v>
      </c>
      <c r="C252" s="95">
        <v>2</v>
      </c>
      <c r="D252" s="95">
        <v>1</v>
      </c>
      <c r="E252" s="95">
        <v>1</v>
      </c>
      <c r="F252" s="95">
        <v>1</v>
      </c>
      <c r="G252" s="95">
        <v>2</v>
      </c>
      <c r="H252" s="95">
        <v>2</v>
      </c>
      <c r="I252" s="95">
        <v>1</v>
      </c>
      <c r="J252" s="100">
        <f t="shared" si="28"/>
        <v>1.4695000000000005</v>
      </c>
      <c r="K252" s="101">
        <f t="shared" si="29"/>
        <v>22.317414254887382</v>
      </c>
      <c r="L252" s="97">
        <f t="shared" si="30"/>
        <v>0.11247197431780637</v>
      </c>
      <c r="M252" s="107">
        <f t="shared" si="31"/>
        <v>0.6748318459068382</v>
      </c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</row>
    <row r="253" spans="1:59" x14ac:dyDescent="0.2">
      <c r="B253" s="3">
        <v>72</v>
      </c>
      <c r="C253" s="95">
        <v>2</v>
      </c>
      <c r="D253" s="95">
        <v>1</v>
      </c>
      <c r="E253" s="95">
        <v>1</v>
      </c>
      <c r="F253" s="95">
        <v>1</v>
      </c>
      <c r="G253" s="95">
        <v>2</v>
      </c>
      <c r="H253" s="95">
        <v>2</v>
      </c>
      <c r="I253" s="95">
        <v>2</v>
      </c>
      <c r="J253" s="100">
        <f t="shared" si="28"/>
        <v>1.4990000000000006</v>
      </c>
      <c r="K253" s="101">
        <f t="shared" si="29"/>
        <v>21.176218832092065</v>
      </c>
      <c r="L253" s="97">
        <f t="shared" si="30"/>
        <v>0.13081564553480901</v>
      </c>
      <c r="M253" s="107">
        <f t="shared" si="31"/>
        <v>0.78489387320885406</v>
      </c>
    </row>
    <row r="254" spans="1:59" x14ac:dyDescent="0.2">
      <c r="B254" s="3">
        <v>73</v>
      </c>
      <c r="C254" s="95">
        <v>2</v>
      </c>
      <c r="D254" s="95">
        <v>1</v>
      </c>
      <c r="E254" s="95">
        <v>1</v>
      </c>
      <c r="F254" s="95">
        <v>2</v>
      </c>
      <c r="G254" s="95">
        <v>1</v>
      </c>
      <c r="H254" s="95">
        <v>1</v>
      </c>
      <c r="I254" s="95">
        <v>1</v>
      </c>
      <c r="J254" s="100">
        <f t="shared" si="28"/>
        <v>2.3140000000000001</v>
      </c>
      <c r="K254" s="101">
        <f t="shared" si="29"/>
        <v>15.027021391309166</v>
      </c>
      <c r="L254" s="97">
        <f t="shared" si="30"/>
        <v>0.40893258236377056</v>
      </c>
      <c r="M254" s="107">
        <f t="shared" si="31"/>
        <v>2.4535954941826232</v>
      </c>
    </row>
    <row r="255" spans="1:59" x14ac:dyDescent="0.2">
      <c r="B255" s="3">
        <v>74</v>
      </c>
      <c r="C255" s="95">
        <v>2</v>
      </c>
      <c r="D255" s="95">
        <v>1</v>
      </c>
      <c r="E255" s="95">
        <v>1</v>
      </c>
      <c r="F255" s="95">
        <v>2</v>
      </c>
      <c r="G255" s="95">
        <v>1</v>
      </c>
      <c r="H255" s="95">
        <v>1</v>
      </c>
      <c r="I255" s="95">
        <v>2</v>
      </c>
      <c r="J255" s="100">
        <f t="shared" si="28"/>
        <v>2.3435000000000006</v>
      </c>
      <c r="K255" s="101">
        <f t="shared" si="29"/>
        <v>13.885825968513849</v>
      </c>
      <c r="L255" s="97">
        <f t="shared" si="30"/>
        <v>0.47185206618189113</v>
      </c>
      <c r="M255" s="107">
        <f t="shared" si="31"/>
        <v>2.8311123970913465</v>
      </c>
    </row>
    <row r="256" spans="1:59" x14ac:dyDescent="0.2">
      <c r="B256" s="3">
        <v>75</v>
      </c>
      <c r="C256" s="95">
        <v>2</v>
      </c>
      <c r="D256" s="95">
        <v>1</v>
      </c>
      <c r="E256" s="95">
        <v>1</v>
      </c>
      <c r="F256" s="95">
        <v>2</v>
      </c>
      <c r="G256" s="95">
        <v>1</v>
      </c>
      <c r="H256" s="95">
        <v>2</v>
      </c>
      <c r="I256" s="95">
        <v>1</v>
      </c>
      <c r="J256" s="100">
        <f t="shared" si="28"/>
        <v>1.9015000000000004</v>
      </c>
      <c r="K256" s="101">
        <f t="shared" si="29"/>
        <v>18.12698815234404</v>
      </c>
      <c r="L256" s="97">
        <f t="shared" si="30"/>
        <v>0.23554802841361133</v>
      </c>
      <c r="M256" s="107">
        <f t="shared" si="31"/>
        <v>1.413288170481668</v>
      </c>
    </row>
    <row r="257" spans="2:13" x14ac:dyDescent="0.2">
      <c r="B257" s="3">
        <v>76</v>
      </c>
      <c r="C257" s="95">
        <v>2</v>
      </c>
      <c r="D257" s="95">
        <v>1</v>
      </c>
      <c r="E257" s="95">
        <v>1</v>
      </c>
      <c r="F257" s="95">
        <v>2</v>
      </c>
      <c r="G257" s="95">
        <v>1</v>
      </c>
      <c r="H257" s="95">
        <v>2</v>
      </c>
      <c r="I257" s="95">
        <v>2</v>
      </c>
      <c r="J257" s="100">
        <f t="shared" si="28"/>
        <v>1.9310000000000005</v>
      </c>
      <c r="K257" s="101">
        <f t="shared" si="29"/>
        <v>16.985792729548724</v>
      </c>
      <c r="L257" s="97">
        <f t="shared" si="30"/>
        <v>0.27266224248219428</v>
      </c>
      <c r="M257" s="107">
        <f t="shared" si="31"/>
        <v>1.6359734548931657</v>
      </c>
    </row>
    <row r="258" spans="2:13" x14ac:dyDescent="0.2">
      <c r="B258" s="3">
        <v>77</v>
      </c>
      <c r="C258" s="95">
        <v>2</v>
      </c>
      <c r="D258" s="95">
        <v>1</v>
      </c>
      <c r="E258" s="95">
        <v>1</v>
      </c>
      <c r="F258" s="95">
        <v>2</v>
      </c>
      <c r="G258" s="95">
        <v>2</v>
      </c>
      <c r="H258" s="95">
        <v>1</v>
      </c>
      <c r="I258" s="95">
        <v>1</v>
      </c>
      <c r="J258" s="100">
        <f t="shared" si="28"/>
        <v>1.8895000000000004</v>
      </c>
      <c r="K258" s="101">
        <f t="shared" si="29"/>
        <v>19.780959722261468</v>
      </c>
      <c r="L258" s="97">
        <f t="shared" si="30"/>
        <v>0.19357204114948495</v>
      </c>
      <c r="M258" s="107">
        <f t="shared" si="31"/>
        <v>1.1614322468969096</v>
      </c>
    </row>
    <row r="259" spans="2:13" x14ac:dyDescent="0.2">
      <c r="B259" s="3">
        <v>78</v>
      </c>
      <c r="C259" s="95">
        <v>2</v>
      </c>
      <c r="D259" s="95">
        <v>1</v>
      </c>
      <c r="E259" s="95">
        <v>1</v>
      </c>
      <c r="F259" s="95">
        <v>2</v>
      </c>
      <c r="G259" s="95">
        <v>2</v>
      </c>
      <c r="H259" s="95">
        <v>1</v>
      </c>
      <c r="I259" s="95">
        <v>2</v>
      </c>
      <c r="J259" s="100">
        <f t="shared" si="28"/>
        <v>1.9190000000000005</v>
      </c>
      <c r="K259" s="101">
        <f t="shared" si="29"/>
        <v>18.639764299466151</v>
      </c>
      <c r="L259" s="97">
        <f t="shared" si="30"/>
        <v>0.2241266714995217</v>
      </c>
      <c r="M259" s="107">
        <f t="shared" si="31"/>
        <v>1.3447600289971302</v>
      </c>
    </row>
    <row r="260" spans="2:13" x14ac:dyDescent="0.2">
      <c r="B260" s="3">
        <v>79</v>
      </c>
      <c r="C260" s="95">
        <v>2</v>
      </c>
      <c r="D260" s="95">
        <v>1</v>
      </c>
      <c r="E260" s="95">
        <v>1</v>
      </c>
      <c r="F260" s="95">
        <v>2</v>
      </c>
      <c r="G260" s="95">
        <v>2</v>
      </c>
      <c r="H260" s="95">
        <v>2</v>
      </c>
      <c r="I260" s="95">
        <v>1</v>
      </c>
      <c r="J260" s="100">
        <f t="shared" si="28"/>
        <v>1.4770000000000003</v>
      </c>
      <c r="K260" s="101">
        <f t="shared" si="29"/>
        <v>22.880926483296342</v>
      </c>
      <c r="L260" s="97">
        <f t="shared" si="30"/>
        <v>0.10595234496681531</v>
      </c>
      <c r="M260" s="107">
        <f t="shared" si="31"/>
        <v>0.63571406980089185</v>
      </c>
    </row>
    <row r="261" spans="2:13" x14ac:dyDescent="0.2">
      <c r="B261" s="3">
        <v>80</v>
      </c>
      <c r="C261" s="95">
        <v>2</v>
      </c>
      <c r="D261" s="95">
        <v>1</v>
      </c>
      <c r="E261" s="95">
        <v>1</v>
      </c>
      <c r="F261" s="95">
        <v>2</v>
      </c>
      <c r="G261" s="95">
        <v>2</v>
      </c>
      <c r="H261" s="95">
        <v>2</v>
      </c>
      <c r="I261" s="95">
        <v>2</v>
      </c>
      <c r="J261" s="100">
        <f t="shared" si="28"/>
        <v>1.5065000000000004</v>
      </c>
      <c r="K261" s="101">
        <f t="shared" si="29"/>
        <v>21.739731060501025</v>
      </c>
      <c r="L261" s="97">
        <f t="shared" si="30"/>
        <v>0.12322301547799934</v>
      </c>
      <c r="M261" s="107">
        <f t="shared" si="31"/>
        <v>0.73933809286799601</v>
      </c>
    </row>
    <row r="262" spans="2:13" x14ac:dyDescent="0.2">
      <c r="B262" s="3">
        <v>81</v>
      </c>
      <c r="C262" s="95">
        <v>2</v>
      </c>
      <c r="D262" s="95">
        <v>1</v>
      </c>
      <c r="E262" s="95">
        <v>2</v>
      </c>
      <c r="F262" s="95">
        <v>1</v>
      </c>
      <c r="G262" s="95">
        <v>1</v>
      </c>
      <c r="H262" s="95">
        <v>1</v>
      </c>
      <c r="I262" s="95">
        <v>1</v>
      </c>
      <c r="J262" s="100">
        <f t="shared" si="28"/>
        <v>1.9910000000000008</v>
      </c>
      <c r="K262" s="101">
        <f t="shared" si="29"/>
        <v>17.939137610225316</v>
      </c>
      <c r="L262" s="97">
        <f t="shared" si="30"/>
        <v>0.25200982612847911</v>
      </c>
      <c r="M262" s="107">
        <f t="shared" si="31"/>
        <v>1.5120589567708747</v>
      </c>
    </row>
    <row r="263" spans="2:13" x14ac:dyDescent="0.2">
      <c r="B263" s="3">
        <v>82</v>
      </c>
      <c r="C263" s="95">
        <v>2</v>
      </c>
      <c r="D263" s="95">
        <v>1</v>
      </c>
      <c r="E263" s="95">
        <v>2</v>
      </c>
      <c r="F263" s="95">
        <v>1</v>
      </c>
      <c r="G263" s="95">
        <v>1</v>
      </c>
      <c r="H263" s="95">
        <v>1</v>
      </c>
      <c r="I263" s="95">
        <v>2</v>
      </c>
      <c r="J263" s="100">
        <f t="shared" si="28"/>
        <v>2.0205000000000011</v>
      </c>
      <c r="K263" s="101">
        <f t="shared" si="29"/>
        <v>16.797942187429999</v>
      </c>
      <c r="L263" s="97">
        <f t="shared" si="30"/>
        <v>0.29151159780998886</v>
      </c>
      <c r="M263" s="107">
        <f t="shared" si="31"/>
        <v>1.7490695868599331</v>
      </c>
    </row>
    <row r="264" spans="2:13" x14ac:dyDescent="0.2">
      <c r="B264" s="3">
        <v>83</v>
      </c>
      <c r="C264" s="95">
        <v>2</v>
      </c>
      <c r="D264" s="95">
        <v>1</v>
      </c>
      <c r="E264" s="95">
        <v>2</v>
      </c>
      <c r="F264" s="95">
        <v>1</v>
      </c>
      <c r="G264" s="95">
        <v>1</v>
      </c>
      <c r="H264" s="95">
        <v>2</v>
      </c>
      <c r="I264" s="95">
        <v>1</v>
      </c>
      <c r="J264" s="100">
        <f t="shared" si="28"/>
        <v>1.5785000000000005</v>
      </c>
      <c r="K264" s="101">
        <f t="shared" si="29"/>
        <v>21.039104371260191</v>
      </c>
      <c r="L264" s="97">
        <f t="shared" si="30"/>
        <v>0.13994189687869293</v>
      </c>
      <c r="M264" s="107">
        <f t="shared" si="31"/>
        <v>0.83965138127215755</v>
      </c>
    </row>
    <row r="265" spans="2:13" x14ac:dyDescent="0.2">
      <c r="B265" s="3">
        <v>84</v>
      </c>
      <c r="C265" s="95">
        <v>2</v>
      </c>
      <c r="D265" s="95">
        <v>1</v>
      </c>
      <c r="E265" s="95">
        <v>2</v>
      </c>
      <c r="F265" s="95">
        <v>1</v>
      </c>
      <c r="G265" s="95">
        <v>1</v>
      </c>
      <c r="H265" s="95">
        <v>2</v>
      </c>
      <c r="I265" s="95">
        <v>2</v>
      </c>
      <c r="J265" s="100">
        <f t="shared" si="28"/>
        <v>1.6080000000000005</v>
      </c>
      <c r="K265" s="101">
        <f t="shared" si="29"/>
        <v>19.897908948464874</v>
      </c>
      <c r="L265" s="97">
        <f t="shared" si="30"/>
        <v>0.16253482464459371</v>
      </c>
      <c r="M265" s="107">
        <f t="shared" si="31"/>
        <v>0.97520894786756229</v>
      </c>
    </row>
    <row r="266" spans="2:13" x14ac:dyDescent="0.2">
      <c r="B266" s="3">
        <v>85</v>
      </c>
      <c r="C266" s="95">
        <v>2</v>
      </c>
      <c r="D266" s="95">
        <v>1</v>
      </c>
      <c r="E266" s="95">
        <v>2</v>
      </c>
      <c r="F266" s="95">
        <v>1</v>
      </c>
      <c r="G266" s="95">
        <v>2</v>
      </c>
      <c r="H266" s="95">
        <v>1</v>
      </c>
      <c r="I266" s="95">
        <v>1</v>
      </c>
      <c r="J266" s="100">
        <f t="shared" si="28"/>
        <v>1.5665000000000004</v>
      </c>
      <c r="K266" s="101">
        <f t="shared" si="29"/>
        <v>22.693075941177618</v>
      </c>
      <c r="L266" s="97">
        <f t="shared" si="30"/>
        <v>0.11482676393209156</v>
      </c>
      <c r="M266" s="107">
        <f t="shared" si="31"/>
        <v>0.6889605835925493</v>
      </c>
    </row>
    <row r="267" spans="2:13" x14ac:dyDescent="0.2">
      <c r="B267" s="3">
        <v>86</v>
      </c>
      <c r="C267" s="95">
        <v>2</v>
      </c>
      <c r="D267" s="95">
        <v>1</v>
      </c>
      <c r="E267" s="95">
        <v>2</v>
      </c>
      <c r="F267" s="95">
        <v>1</v>
      </c>
      <c r="G267" s="95">
        <v>2</v>
      </c>
      <c r="H267" s="95">
        <v>1</v>
      </c>
      <c r="I267" s="95">
        <v>2</v>
      </c>
      <c r="J267" s="100">
        <f t="shared" si="28"/>
        <v>1.5960000000000005</v>
      </c>
      <c r="K267" s="101">
        <f t="shared" si="29"/>
        <v>21.551880518382301</v>
      </c>
      <c r="L267" s="97">
        <f t="shared" si="30"/>
        <v>0.13339368419579234</v>
      </c>
      <c r="M267" s="107">
        <f t="shared" si="31"/>
        <v>0.80036210517475403</v>
      </c>
    </row>
    <row r="268" spans="2:13" x14ac:dyDescent="0.2">
      <c r="B268" s="3">
        <v>87</v>
      </c>
      <c r="C268" s="95">
        <v>2</v>
      </c>
      <c r="D268" s="95">
        <v>1</v>
      </c>
      <c r="E268" s="95">
        <v>2</v>
      </c>
      <c r="F268" s="95">
        <v>1</v>
      </c>
      <c r="G268" s="95">
        <v>2</v>
      </c>
      <c r="H268" s="95">
        <v>2</v>
      </c>
      <c r="I268" s="95">
        <v>1</v>
      </c>
      <c r="J268" s="100">
        <f t="shared" si="28"/>
        <v>1.1540000000000004</v>
      </c>
      <c r="K268" s="101">
        <f t="shared" si="29"/>
        <v>25.793042702212492</v>
      </c>
      <c r="L268" s="97">
        <f t="shared" si="30"/>
        <v>5.9216030250593438E-2</v>
      </c>
      <c r="M268" s="107">
        <f t="shared" si="31"/>
        <v>0.35529618150356063</v>
      </c>
    </row>
    <row r="269" spans="2:13" x14ac:dyDescent="0.2">
      <c r="B269" s="3">
        <v>88</v>
      </c>
      <c r="C269" s="95">
        <v>2</v>
      </c>
      <c r="D269" s="95">
        <v>1</v>
      </c>
      <c r="E269" s="95">
        <v>2</v>
      </c>
      <c r="F269" s="95">
        <v>1</v>
      </c>
      <c r="G269" s="95">
        <v>2</v>
      </c>
      <c r="H269" s="95">
        <v>2</v>
      </c>
      <c r="I269" s="95">
        <v>2</v>
      </c>
      <c r="J269" s="100">
        <f t="shared" si="28"/>
        <v>1.1835000000000004</v>
      </c>
      <c r="K269" s="101">
        <f t="shared" si="29"/>
        <v>24.651847279417176</v>
      </c>
      <c r="L269" s="97">
        <f t="shared" si="30"/>
        <v>6.9251175610762022E-2</v>
      </c>
      <c r="M269" s="107">
        <f t="shared" si="31"/>
        <v>0.41550705366457213</v>
      </c>
    </row>
    <row r="270" spans="2:13" x14ac:dyDescent="0.2">
      <c r="B270" s="3">
        <v>89</v>
      </c>
      <c r="C270" s="95">
        <v>2</v>
      </c>
      <c r="D270" s="95">
        <v>1</v>
      </c>
      <c r="E270" s="95">
        <v>2</v>
      </c>
      <c r="F270" s="95">
        <v>2</v>
      </c>
      <c r="G270" s="95">
        <v>1</v>
      </c>
      <c r="H270" s="95">
        <v>1</v>
      </c>
      <c r="I270" s="95">
        <v>1</v>
      </c>
      <c r="J270" s="100">
        <f t="shared" si="28"/>
        <v>1.9985000000000002</v>
      </c>
      <c r="K270" s="101">
        <f t="shared" si="29"/>
        <v>18.502649838634277</v>
      </c>
      <c r="L270" s="97">
        <f t="shared" si="30"/>
        <v>0.23711522545013991</v>
      </c>
      <c r="M270" s="107">
        <f t="shared" si="31"/>
        <v>1.4226913527008396</v>
      </c>
    </row>
    <row r="271" spans="2:13" x14ac:dyDescent="0.2">
      <c r="B271" s="3">
        <v>90</v>
      </c>
      <c r="C271" s="95">
        <v>2</v>
      </c>
      <c r="D271" s="95">
        <v>1</v>
      </c>
      <c r="E271" s="95">
        <v>2</v>
      </c>
      <c r="F271" s="95">
        <v>2</v>
      </c>
      <c r="G271" s="95">
        <v>1</v>
      </c>
      <c r="H271" s="95">
        <v>1</v>
      </c>
      <c r="I271" s="95">
        <v>2</v>
      </c>
      <c r="J271" s="100">
        <f t="shared" si="28"/>
        <v>2.0280000000000005</v>
      </c>
      <c r="K271" s="101">
        <f t="shared" si="29"/>
        <v>17.36145441583896</v>
      </c>
      <c r="L271" s="97">
        <f t="shared" si="30"/>
        <v>0.27428329542434504</v>
      </c>
      <c r="M271" s="107">
        <f t="shared" si="31"/>
        <v>1.6456997725460702</v>
      </c>
    </row>
    <row r="272" spans="2:13" x14ac:dyDescent="0.2">
      <c r="B272" s="3">
        <v>91</v>
      </c>
      <c r="C272" s="95">
        <v>2</v>
      </c>
      <c r="D272" s="95">
        <v>1</v>
      </c>
      <c r="E272" s="95">
        <v>2</v>
      </c>
      <c r="F272" s="95">
        <v>2</v>
      </c>
      <c r="G272" s="95">
        <v>1</v>
      </c>
      <c r="H272" s="95">
        <v>2</v>
      </c>
      <c r="I272" s="95">
        <v>1</v>
      </c>
      <c r="J272" s="100">
        <f t="shared" si="28"/>
        <v>1.5860000000000003</v>
      </c>
      <c r="K272" s="101">
        <f t="shared" si="29"/>
        <v>21.602616599669151</v>
      </c>
      <c r="L272" s="97">
        <f t="shared" si="30"/>
        <v>0.13178691236476886</v>
      </c>
      <c r="M272" s="107">
        <f t="shared" si="31"/>
        <v>0.79072147418861316</v>
      </c>
    </row>
    <row r="273" spans="2:13" x14ac:dyDescent="0.2">
      <c r="B273" s="3">
        <v>92</v>
      </c>
      <c r="C273" s="95">
        <v>2</v>
      </c>
      <c r="D273" s="95">
        <v>1</v>
      </c>
      <c r="E273" s="95">
        <v>2</v>
      </c>
      <c r="F273" s="95">
        <v>2</v>
      </c>
      <c r="G273" s="95">
        <v>1</v>
      </c>
      <c r="H273" s="95">
        <v>2</v>
      </c>
      <c r="I273" s="95">
        <v>2</v>
      </c>
      <c r="J273" s="100">
        <f t="shared" si="28"/>
        <v>1.6155000000000004</v>
      </c>
      <c r="K273" s="101">
        <f t="shared" si="29"/>
        <v>20.461421176873834</v>
      </c>
      <c r="L273" s="97">
        <f t="shared" si="30"/>
        <v>0.15305437040891345</v>
      </c>
      <c r="M273" s="107">
        <f t="shared" si="31"/>
        <v>0.91832622245348072</v>
      </c>
    </row>
    <row r="274" spans="2:13" x14ac:dyDescent="0.2">
      <c r="B274" s="3">
        <v>93</v>
      </c>
      <c r="C274" s="95">
        <v>2</v>
      </c>
      <c r="D274" s="95">
        <v>1</v>
      </c>
      <c r="E274" s="95">
        <v>2</v>
      </c>
      <c r="F274" s="95">
        <v>2</v>
      </c>
      <c r="G274" s="95">
        <v>2</v>
      </c>
      <c r="H274" s="95">
        <v>1</v>
      </c>
      <c r="I274" s="95">
        <v>1</v>
      </c>
      <c r="J274" s="100">
        <f t="shared" si="28"/>
        <v>1.5740000000000003</v>
      </c>
      <c r="K274" s="101">
        <f t="shared" si="29"/>
        <v>23.256588169586578</v>
      </c>
      <c r="L274" s="97">
        <f t="shared" si="30"/>
        <v>0.10813598509329743</v>
      </c>
      <c r="M274" s="107">
        <f t="shared" si="31"/>
        <v>0.6488159105597846</v>
      </c>
    </row>
    <row r="275" spans="2:13" x14ac:dyDescent="0.2">
      <c r="B275" s="3">
        <v>94</v>
      </c>
      <c r="C275" s="95">
        <v>2</v>
      </c>
      <c r="D275" s="95">
        <v>1</v>
      </c>
      <c r="E275" s="95">
        <v>2</v>
      </c>
      <c r="F275" s="95">
        <v>2</v>
      </c>
      <c r="G275" s="95">
        <v>2</v>
      </c>
      <c r="H275" s="95">
        <v>1</v>
      </c>
      <c r="I275" s="95">
        <v>2</v>
      </c>
      <c r="J275" s="100">
        <f t="shared" si="28"/>
        <v>1.6035000000000004</v>
      </c>
      <c r="K275" s="101">
        <f t="shared" si="29"/>
        <v>22.115392746791262</v>
      </c>
      <c r="L275" s="97">
        <f t="shared" si="30"/>
        <v>0.12561244074404987</v>
      </c>
      <c r="M275" s="107">
        <f t="shared" si="31"/>
        <v>0.75367464446429921</v>
      </c>
    </row>
    <row r="276" spans="2:13" x14ac:dyDescent="0.2">
      <c r="B276" s="3">
        <v>95</v>
      </c>
      <c r="C276" s="95">
        <v>2</v>
      </c>
      <c r="D276" s="95">
        <v>1</v>
      </c>
      <c r="E276" s="95">
        <v>2</v>
      </c>
      <c r="F276" s="95">
        <v>2</v>
      </c>
      <c r="G276" s="95">
        <v>2</v>
      </c>
      <c r="H276" s="95">
        <v>2</v>
      </c>
      <c r="I276" s="95">
        <v>1</v>
      </c>
      <c r="J276" s="100">
        <f t="shared" si="28"/>
        <v>1.1615000000000002</v>
      </c>
      <c r="K276" s="101">
        <f t="shared" si="29"/>
        <v>26.356554930621453</v>
      </c>
      <c r="L276" s="97">
        <f t="shared" si="30"/>
        <v>5.5858722550257062E-2</v>
      </c>
      <c r="M276" s="107">
        <f t="shared" si="31"/>
        <v>0.33515233530154237</v>
      </c>
    </row>
    <row r="277" spans="2:13" x14ac:dyDescent="0.2">
      <c r="B277" s="3">
        <v>96</v>
      </c>
      <c r="C277" s="95">
        <v>2</v>
      </c>
      <c r="D277" s="95">
        <v>1</v>
      </c>
      <c r="E277" s="95">
        <v>2</v>
      </c>
      <c r="F277" s="95">
        <v>2</v>
      </c>
      <c r="G277" s="95">
        <v>2</v>
      </c>
      <c r="H277" s="95">
        <v>2</v>
      </c>
      <c r="I277" s="95">
        <v>2</v>
      </c>
      <c r="J277" s="100">
        <f t="shared" si="28"/>
        <v>1.1910000000000003</v>
      </c>
      <c r="K277" s="101">
        <f t="shared" si="29"/>
        <v>25.215359507826136</v>
      </c>
      <c r="L277" s="97">
        <f t="shared" si="30"/>
        <v>6.5315030441589969E-2</v>
      </c>
      <c r="M277" s="107">
        <f t="shared" si="31"/>
        <v>0.39189018264953979</v>
      </c>
    </row>
    <row r="278" spans="2:13" x14ac:dyDescent="0.2">
      <c r="B278" s="3">
        <v>97</v>
      </c>
      <c r="C278" s="95">
        <v>2</v>
      </c>
      <c r="D278" s="95">
        <v>2</v>
      </c>
      <c r="E278" s="95">
        <v>1</v>
      </c>
      <c r="F278" s="95">
        <v>1</v>
      </c>
      <c r="G278" s="95">
        <v>1</v>
      </c>
      <c r="H278" s="95">
        <v>1</v>
      </c>
      <c r="I278" s="95">
        <v>1</v>
      </c>
      <c r="J278" s="100">
        <f t="shared" ref="J278:J309" si="32">$J$28+IF(C278=1,$D$33,$D$34)+IF(D278=1,$D$36,$D$37)+IF(E278=1,$D$39,$D$40)+IF(F278=1,$D$42,$D$43)+IF(G278=1,$D$45,$D$46)+IF(H278=1,$D$48,$D$49)+IF(I278=1,$D$51,$D$52)</f>
        <v>2.5649999999999995</v>
      </c>
      <c r="K278" s="101">
        <f t="shared" ref="K278:K309" si="33">$Q$28+IF(D278=1,$F$33,$F$34)+IF(E278=1,$F$36,$F$37)+IF(F278=1,$F$39,$F$40)+IF(G278=1,$F$42,$F$43)+IF(H278=1,$F$45,$F$46)+IF(I278=1,$F$48,$F$49)+IF(J278=1,$F$51,$F$52)</f>
        <v>18.829827631588003</v>
      </c>
      <c r="L278" s="97">
        <f t="shared" ref="L278:L309" si="34">SQRT((J278^2)/(10^(K278/10)+0.2))</f>
        <v>0.293108314398698</v>
      </c>
      <c r="M278" s="107">
        <f t="shared" ref="M278:M309" si="35">6*L278</f>
        <v>1.758649886392188</v>
      </c>
    </row>
    <row r="279" spans="2:13" x14ac:dyDescent="0.2">
      <c r="B279" s="3">
        <v>98</v>
      </c>
      <c r="C279" s="95">
        <v>2</v>
      </c>
      <c r="D279" s="95">
        <v>2</v>
      </c>
      <c r="E279" s="95">
        <v>1</v>
      </c>
      <c r="F279" s="95">
        <v>1</v>
      </c>
      <c r="G279" s="95">
        <v>1</v>
      </c>
      <c r="H279" s="95">
        <v>1</v>
      </c>
      <c r="I279" s="95">
        <v>2</v>
      </c>
      <c r="J279" s="100">
        <f t="shared" si="32"/>
        <v>2.5945</v>
      </c>
      <c r="K279" s="101">
        <f t="shared" si="33"/>
        <v>17.688632208792686</v>
      </c>
      <c r="L279" s="97">
        <f t="shared" si="34"/>
        <v>0.33797443440278596</v>
      </c>
      <c r="M279" s="107">
        <f t="shared" si="35"/>
        <v>2.0278466064167158</v>
      </c>
    </row>
    <row r="280" spans="2:13" x14ac:dyDescent="0.2">
      <c r="B280" s="3">
        <v>99</v>
      </c>
      <c r="C280" s="95">
        <v>2</v>
      </c>
      <c r="D280" s="95">
        <v>2</v>
      </c>
      <c r="E280" s="95">
        <v>1</v>
      </c>
      <c r="F280" s="95">
        <v>1</v>
      </c>
      <c r="G280" s="95">
        <v>1</v>
      </c>
      <c r="H280" s="95">
        <v>2</v>
      </c>
      <c r="I280" s="95">
        <v>1</v>
      </c>
      <c r="J280" s="100">
        <f t="shared" si="32"/>
        <v>2.1524999999999999</v>
      </c>
      <c r="K280" s="101">
        <f t="shared" si="33"/>
        <v>21.929794392622878</v>
      </c>
      <c r="L280" s="97">
        <f t="shared" si="34"/>
        <v>0.17225630692306607</v>
      </c>
      <c r="M280" s="107">
        <f t="shared" si="35"/>
        <v>1.0335378415383965</v>
      </c>
    </row>
    <row r="281" spans="2:13" x14ac:dyDescent="0.2">
      <c r="B281" s="3">
        <v>100</v>
      </c>
      <c r="C281" s="95">
        <v>2</v>
      </c>
      <c r="D281" s="95">
        <v>2</v>
      </c>
      <c r="E281" s="95">
        <v>1</v>
      </c>
      <c r="F281" s="95">
        <v>1</v>
      </c>
      <c r="G281" s="95">
        <v>1</v>
      </c>
      <c r="H281" s="95">
        <v>2</v>
      </c>
      <c r="I281" s="95">
        <v>2</v>
      </c>
      <c r="J281" s="100">
        <f t="shared" si="32"/>
        <v>2.1820000000000004</v>
      </c>
      <c r="K281" s="101">
        <f t="shared" si="33"/>
        <v>20.788598969827561</v>
      </c>
      <c r="L281" s="97">
        <f t="shared" si="34"/>
        <v>0.19909617636955082</v>
      </c>
      <c r="M281" s="107">
        <f t="shared" si="35"/>
        <v>1.194577058217305</v>
      </c>
    </row>
    <row r="282" spans="2:13" x14ac:dyDescent="0.2">
      <c r="B282" s="3">
        <v>101</v>
      </c>
      <c r="C282" s="95">
        <v>2</v>
      </c>
      <c r="D282" s="95">
        <v>2</v>
      </c>
      <c r="E282" s="95">
        <v>1</v>
      </c>
      <c r="F282" s="95">
        <v>1</v>
      </c>
      <c r="G282" s="95">
        <v>2</v>
      </c>
      <c r="H282" s="95">
        <v>1</v>
      </c>
      <c r="I282" s="95">
        <v>1</v>
      </c>
      <c r="J282" s="100">
        <f t="shared" si="32"/>
        <v>2.1405000000000003</v>
      </c>
      <c r="K282" s="101">
        <f t="shared" si="33"/>
        <v>23.583765962540305</v>
      </c>
      <c r="L282" s="97">
        <f t="shared" si="34"/>
        <v>0.14162395911778369</v>
      </c>
      <c r="M282" s="107">
        <f t="shared" si="35"/>
        <v>0.84974375470670216</v>
      </c>
    </row>
    <row r="283" spans="2:13" x14ac:dyDescent="0.2">
      <c r="B283" s="3">
        <v>102</v>
      </c>
      <c r="C283" s="95">
        <v>2</v>
      </c>
      <c r="D283" s="95">
        <v>2</v>
      </c>
      <c r="E283" s="95">
        <v>1</v>
      </c>
      <c r="F283" s="95">
        <v>1</v>
      </c>
      <c r="G283" s="95">
        <v>2</v>
      </c>
      <c r="H283" s="95">
        <v>1</v>
      </c>
      <c r="I283" s="95">
        <v>2</v>
      </c>
      <c r="J283" s="100">
        <f t="shared" si="32"/>
        <v>2.17</v>
      </c>
      <c r="K283" s="101">
        <f t="shared" si="33"/>
        <v>22.442570539744988</v>
      </c>
      <c r="L283" s="97">
        <f t="shared" si="34"/>
        <v>0.16371326695763228</v>
      </c>
      <c r="M283" s="107">
        <f t="shared" si="35"/>
        <v>0.98227960174579365</v>
      </c>
    </row>
    <row r="284" spans="2:13" x14ac:dyDescent="0.2">
      <c r="B284" s="3">
        <v>103</v>
      </c>
      <c r="C284" s="95">
        <v>2</v>
      </c>
      <c r="D284" s="95">
        <v>2</v>
      </c>
      <c r="E284" s="95">
        <v>1</v>
      </c>
      <c r="F284" s="95">
        <v>1</v>
      </c>
      <c r="G284" s="95">
        <v>2</v>
      </c>
      <c r="H284" s="95">
        <v>2</v>
      </c>
      <c r="I284" s="95">
        <v>1</v>
      </c>
      <c r="J284" s="100">
        <f t="shared" si="32"/>
        <v>1.728</v>
      </c>
      <c r="K284" s="101">
        <f t="shared" si="33"/>
        <v>26.683732723575179</v>
      </c>
      <c r="L284" s="97">
        <f t="shared" si="34"/>
        <v>8.0032046614533239E-2</v>
      </c>
      <c r="M284" s="107">
        <f t="shared" si="35"/>
        <v>0.48019227968719946</v>
      </c>
    </row>
    <row r="285" spans="2:13" x14ac:dyDescent="0.2">
      <c r="B285" s="3">
        <v>104</v>
      </c>
      <c r="C285" s="95">
        <v>2</v>
      </c>
      <c r="D285" s="95">
        <v>2</v>
      </c>
      <c r="E285" s="95">
        <v>1</v>
      </c>
      <c r="F285" s="95">
        <v>1</v>
      </c>
      <c r="G285" s="95">
        <v>2</v>
      </c>
      <c r="H285" s="95">
        <v>2</v>
      </c>
      <c r="I285" s="95">
        <v>2</v>
      </c>
      <c r="J285" s="100">
        <f t="shared" si="32"/>
        <v>1.7575000000000001</v>
      </c>
      <c r="K285" s="101">
        <f t="shared" si="33"/>
        <v>25.542537300779863</v>
      </c>
      <c r="L285" s="97">
        <f t="shared" si="34"/>
        <v>9.2821224782107262E-2</v>
      </c>
      <c r="M285" s="107">
        <f t="shared" si="35"/>
        <v>0.5569273486926436</v>
      </c>
    </row>
    <row r="286" spans="2:13" x14ac:dyDescent="0.2">
      <c r="B286" s="3">
        <v>105</v>
      </c>
      <c r="C286" s="95">
        <v>2</v>
      </c>
      <c r="D286" s="95">
        <v>2</v>
      </c>
      <c r="E286" s="95">
        <v>1</v>
      </c>
      <c r="F286" s="95">
        <v>2</v>
      </c>
      <c r="G286" s="95">
        <v>1</v>
      </c>
      <c r="H286" s="95">
        <v>1</v>
      </c>
      <c r="I286" s="95">
        <v>1</v>
      </c>
      <c r="J286" s="100">
        <f t="shared" si="32"/>
        <v>2.5724999999999998</v>
      </c>
      <c r="K286" s="101">
        <f t="shared" si="33"/>
        <v>19.393339859996964</v>
      </c>
      <c r="L286" s="97">
        <f t="shared" si="34"/>
        <v>0.27554311372883233</v>
      </c>
      <c r="M286" s="107">
        <f t="shared" si="35"/>
        <v>1.653258682372994</v>
      </c>
    </row>
    <row r="287" spans="2:13" x14ac:dyDescent="0.2">
      <c r="B287" s="3">
        <v>106</v>
      </c>
      <c r="C287" s="95">
        <v>2</v>
      </c>
      <c r="D287" s="95">
        <v>2</v>
      </c>
      <c r="E287" s="95">
        <v>1</v>
      </c>
      <c r="F287" s="95">
        <v>2</v>
      </c>
      <c r="G287" s="95">
        <v>1</v>
      </c>
      <c r="H287" s="95">
        <v>1</v>
      </c>
      <c r="I287" s="95">
        <v>2</v>
      </c>
      <c r="J287" s="100">
        <f t="shared" si="32"/>
        <v>2.6020000000000003</v>
      </c>
      <c r="K287" s="101">
        <f t="shared" si="33"/>
        <v>18.252144437201647</v>
      </c>
      <c r="L287" s="97">
        <f t="shared" si="34"/>
        <v>0.31772512089994981</v>
      </c>
      <c r="M287" s="107">
        <f t="shared" si="35"/>
        <v>1.9063507253996987</v>
      </c>
    </row>
    <row r="288" spans="2:13" x14ac:dyDescent="0.2">
      <c r="B288" s="3">
        <v>107</v>
      </c>
      <c r="C288" s="95">
        <v>2</v>
      </c>
      <c r="D288" s="95">
        <v>2</v>
      </c>
      <c r="E288" s="95">
        <v>1</v>
      </c>
      <c r="F288" s="95">
        <v>2</v>
      </c>
      <c r="G288" s="95">
        <v>1</v>
      </c>
      <c r="H288" s="95">
        <v>2</v>
      </c>
      <c r="I288" s="95">
        <v>1</v>
      </c>
      <c r="J288" s="100">
        <f t="shared" si="32"/>
        <v>2.16</v>
      </c>
      <c r="K288" s="101">
        <f t="shared" si="33"/>
        <v>22.493306621031838</v>
      </c>
      <c r="L288" s="97">
        <f t="shared" si="34"/>
        <v>0.16201079731104781</v>
      </c>
      <c r="M288" s="107">
        <f t="shared" si="35"/>
        <v>0.97206478386628681</v>
      </c>
    </row>
    <row r="289" spans="2:13" x14ac:dyDescent="0.2">
      <c r="B289" s="3">
        <v>108</v>
      </c>
      <c r="C289" s="95">
        <v>2</v>
      </c>
      <c r="D289" s="95">
        <v>2</v>
      </c>
      <c r="E289" s="95">
        <v>1</v>
      </c>
      <c r="F289" s="95">
        <v>2</v>
      </c>
      <c r="G289" s="95">
        <v>1</v>
      </c>
      <c r="H289" s="95">
        <v>2</v>
      </c>
      <c r="I289" s="95">
        <v>2</v>
      </c>
      <c r="J289" s="100">
        <f t="shared" si="32"/>
        <v>2.1895000000000007</v>
      </c>
      <c r="K289" s="101">
        <f t="shared" si="33"/>
        <v>21.352111198236521</v>
      </c>
      <c r="L289" s="97">
        <f t="shared" si="34"/>
        <v>0.18724986592943516</v>
      </c>
      <c r="M289" s="107">
        <f t="shared" si="35"/>
        <v>1.1234991955766109</v>
      </c>
    </row>
    <row r="290" spans="2:13" x14ac:dyDescent="0.2">
      <c r="B290" s="3">
        <v>109</v>
      </c>
      <c r="C290" s="95">
        <v>2</v>
      </c>
      <c r="D290" s="95">
        <v>2</v>
      </c>
      <c r="E290" s="95">
        <v>1</v>
      </c>
      <c r="F290" s="95">
        <v>2</v>
      </c>
      <c r="G290" s="95">
        <v>2</v>
      </c>
      <c r="H290" s="95">
        <v>1</v>
      </c>
      <c r="I290" s="95">
        <v>1</v>
      </c>
      <c r="J290" s="100">
        <f t="shared" si="32"/>
        <v>2.1480000000000006</v>
      </c>
      <c r="K290" s="101">
        <f t="shared" si="33"/>
        <v>24.147278190949265</v>
      </c>
      <c r="L290" s="97">
        <f t="shared" si="34"/>
        <v>0.13319971664541161</v>
      </c>
      <c r="M290" s="107">
        <f t="shared" si="35"/>
        <v>0.7991982998724696</v>
      </c>
    </row>
    <row r="291" spans="2:13" x14ac:dyDescent="0.2">
      <c r="B291" s="84">
        <v>110</v>
      </c>
      <c r="C291" s="95">
        <v>2</v>
      </c>
      <c r="D291" s="95">
        <v>2</v>
      </c>
      <c r="E291" s="95">
        <v>1</v>
      </c>
      <c r="F291" s="95">
        <v>2</v>
      </c>
      <c r="G291" s="95">
        <v>2</v>
      </c>
      <c r="H291" s="95">
        <v>1</v>
      </c>
      <c r="I291" s="95">
        <v>2</v>
      </c>
      <c r="J291" s="100">
        <f t="shared" si="32"/>
        <v>2.1775000000000002</v>
      </c>
      <c r="K291" s="101">
        <f t="shared" si="33"/>
        <v>23.006082768153949</v>
      </c>
      <c r="L291" s="97">
        <f t="shared" si="34"/>
        <v>0.15397023611922675</v>
      </c>
      <c r="M291" s="107">
        <f t="shared" si="35"/>
        <v>0.92382141671536044</v>
      </c>
    </row>
    <row r="292" spans="2:13" x14ac:dyDescent="0.2">
      <c r="B292" s="3">
        <v>111</v>
      </c>
      <c r="C292" s="95">
        <v>2</v>
      </c>
      <c r="D292" s="95">
        <v>2</v>
      </c>
      <c r="E292" s="95">
        <v>1</v>
      </c>
      <c r="F292" s="95">
        <v>2</v>
      </c>
      <c r="G292" s="95">
        <v>2</v>
      </c>
      <c r="H292" s="95">
        <v>2</v>
      </c>
      <c r="I292" s="95">
        <v>1</v>
      </c>
      <c r="J292" s="100">
        <f t="shared" si="32"/>
        <v>1.7355000000000003</v>
      </c>
      <c r="K292" s="101">
        <f t="shared" si="33"/>
        <v>27.24724495198414</v>
      </c>
      <c r="L292" s="97">
        <f t="shared" si="34"/>
        <v>7.5332178722857149E-2</v>
      </c>
      <c r="M292" s="107">
        <f t="shared" si="35"/>
        <v>0.45199307233714292</v>
      </c>
    </row>
    <row r="293" spans="2:13" x14ac:dyDescent="0.2">
      <c r="B293" s="3">
        <v>112</v>
      </c>
      <c r="C293" s="95">
        <v>2</v>
      </c>
      <c r="D293" s="95">
        <v>2</v>
      </c>
      <c r="E293" s="95">
        <v>1</v>
      </c>
      <c r="F293" s="95">
        <v>2</v>
      </c>
      <c r="G293" s="95">
        <v>2</v>
      </c>
      <c r="H293" s="95">
        <v>2</v>
      </c>
      <c r="I293" s="95">
        <v>2</v>
      </c>
      <c r="J293" s="100">
        <f t="shared" si="32"/>
        <v>1.7650000000000003</v>
      </c>
      <c r="K293" s="101">
        <f t="shared" si="33"/>
        <v>26.106049529188823</v>
      </c>
      <c r="L293" s="97">
        <f t="shared" si="34"/>
        <v>8.7364662011836333E-2</v>
      </c>
      <c r="M293" s="107">
        <f t="shared" si="35"/>
        <v>0.52418797207101797</v>
      </c>
    </row>
    <row r="294" spans="2:13" x14ac:dyDescent="0.2">
      <c r="B294" s="3">
        <v>113</v>
      </c>
      <c r="C294" s="95">
        <v>2</v>
      </c>
      <c r="D294" s="95">
        <v>2</v>
      </c>
      <c r="E294" s="95">
        <v>2</v>
      </c>
      <c r="F294" s="95">
        <v>1</v>
      </c>
      <c r="G294" s="95">
        <v>1</v>
      </c>
      <c r="H294" s="95">
        <v>1</v>
      </c>
      <c r="I294" s="95">
        <v>1</v>
      </c>
      <c r="J294" s="100">
        <f t="shared" si="32"/>
        <v>2.2495000000000003</v>
      </c>
      <c r="K294" s="101">
        <f t="shared" si="33"/>
        <v>22.305456078913114</v>
      </c>
      <c r="L294" s="97">
        <f t="shared" si="34"/>
        <v>0.17240820614393335</v>
      </c>
      <c r="M294" s="107">
        <f t="shared" si="35"/>
        <v>1.0344492368636</v>
      </c>
    </row>
    <row r="295" spans="2:13" x14ac:dyDescent="0.2">
      <c r="B295" s="3">
        <v>114</v>
      </c>
      <c r="C295" s="95">
        <v>2</v>
      </c>
      <c r="D295" s="95">
        <v>2</v>
      </c>
      <c r="E295" s="95">
        <v>2</v>
      </c>
      <c r="F295" s="95">
        <v>1</v>
      </c>
      <c r="G295" s="95">
        <v>1</v>
      </c>
      <c r="H295" s="95">
        <v>1</v>
      </c>
      <c r="I295" s="95">
        <v>2</v>
      </c>
      <c r="J295" s="100">
        <f t="shared" si="32"/>
        <v>2.2790000000000008</v>
      </c>
      <c r="K295" s="101">
        <f t="shared" si="33"/>
        <v>21.164260656117797</v>
      </c>
      <c r="L295" s="97">
        <f t="shared" si="34"/>
        <v>0.19915874358902166</v>
      </c>
      <c r="M295" s="107">
        <f t="shared" si="35"/>
        <v>1.19495246153413</v>
      </c>
    </row>
    <row r="296" spans="2:13" x14ac:dyDescent="0.2">
      <c r="B296" s="3">
        <v>115</v>
      </c>
      <c r="C296" s="95">
        <v>2</v>
      </c>
      <c r="D296" s="95">
        <v>2</v>
      </c>
      <c r="E296" s="95">
        <v>2</v>
      </c>
      <c r="F296" s="95">
        <v>1</v>
      </c>
      <c r="G296" s="95">
        <v>1</v>
      </c>
      <c r="H296" s="95">
        <v>2</v>
      </c>
      <c r="I296" s="95">
        <v>1</v>
      </c>
      <c r="J296" s="100">
        <f t="shared" si="32"/>
        <v>1.8370000000000006</v>
      </c>
      <c r="K296" s="101">
        <f t="shared" si="33"/>
        <v>25.405422839947988</v>
      </c>
      <c r="L296" s="97">
        <f t="shared" si="34"/>
        <v>9.8562782337239266E-2</v>
      </c>
      <c r="M296" s="107">
        <f t="shared" si="35"/>
        <v>0.59137669402343562</v>
      </c>
    </row>
    <row r="297" spans="2:13" x14ac:dyDescent="0.2">
      <c r="B297" s="3">
        <v>116</v>
      </c>
      <c r="C297" s="95">
        <v>2</v>
      </c>
      <c r="D297" s="95">
        <v>2</v>
      </c>
      <c r="E297" s="95">
        <v>2</v>
      </c>
      <c r="F297" s="95">
        <v>1</v>
      </c>
      <c r="G297" s="95">
        <v>1</v>
      </c>
      <c r="H297" s="95">
        <v>2</v>
      </c>
      <c r="I297" s="95">
        <v>2</v>
      </c>
      <c r="J297" s="100">
        <f t="shared" si="32"/>
        <v>1.8665000000000007</v>
      </c>
      <c r="K297" s="101">
        <f t="shared" si="33"/>
        <v>24.264227417152672</v>
      </c>
      <c r="L297" s="97">
        <f t="shared" si="34"/>
        <v>0.11419681569442053</v>
      </c>
      <c r="M297" s="107">
        <f t="shared" si="35"/>
        <v>0.68518089416652317</v>
      </c>
    </row>
    <row r="298" spans="2:13" x14ac:dyDescent="0.2">
      <c r="B298" s="3">
        <v>117</v>
      </c>
      <c r="C298" s="95">
        <v>2</v>
      </c>
      <c r="D298" s="95">
        <v>2</v>
      </c>
      <c r="E298" s="95">
        <v>2</v>
      </c>
      <c r="F298" s="95">
        <v>1</v>
      </c>
      <c r="G298" s="95">
        <v>2</v>
      </c>
      <c r="H298" s="95">
        <v>1</v>
      </c>
      <c r="I298" s="95">
        <v>1</v>
      </c>
      <c r="J298" s="100">
        <f t="shared" si="32"/>
        <v>1.8250000000000004</v>
      </c>
      <c r="K298" s="101">
        <f t="shared" si="33"/>
        <v>27.059394409865416</v>
      </c>
      <c r="L298" s="97">
        <f t="shared" si="34"/>
        <v>8.0948291881360879E-2</v>
      </c>
      <c r="M298" s="107">
        <f t="shared" si="35"/>
        <v>0.48568975128816527</v>
      </c>
    </row>
    <row r="299" spans="2:13" x14ac:dyDescent="0.2">
      <c r="B299" s="3">
        <v>118</v>
      </c>
      <c r="C299" s="95">
        <v>2</v>
      </c>
      <c r="D299" s="95">
        <v>2</v>
      </c>
      <c r="E299" s="95">
        <v>2</v>
      </c>
      <c r="F299" s="95">
        <v>1</v>
      </c>
      <c r="G299" s="95">
        <v>2</v>
      </c>
      <c r="H299" s="95">
        <v>1</v>
      </c>
      <c r="I299" s="95">
        <v>2</v>
      </c>
      <c r="J299" s="100">
        <f t="shared" si="32"/>
        <v>1.8545000000000005</v>
      </c>
      <c r="K299" s="101">
        <f t="shared" si="33"/>
        <v>25.918198987070099</v>
      </c>
      <c r="L299" s="97">
        <f t="shared" si="34"/>
        <v>9.3800629442708408E-2</v>
      </c>
      <c r="M299" s="107">
        <f t="shared" si="35"/>
        <v>0.56280377665625048</v>
      </c>
    </row>
    <row r="300" spans="2:13" x14ac:dyDescent="0.2">
      <c r="B300" s="3">
        <v>119</v>
      </c>
      <c r="C300" s="95">
        <v>2</v>
      </c>
      <c r="D300" s="95">
        <v>2</v>
      </c>
      <c r="E300" s="95">
        <v>2</v>
      </c>
      <c r="F300" s="95">
        <v>1</v>
      </c>
      <c r="G300" s="95">
        <v>2</v>
      </c>
      <c r="H300" s="95">
        <v>2</v>
      </c>
      <c r="I300" s="95">
        <v>1</v>
      </c>
      <c r="J300" s="100">
        <f t="shared" si="32"/>
        <v>1.4125000000000003</v>
      </c>
      <c r="K300" s="101">
        <f t="shared" si="33"/>
        <v>30.15936117090029</v>
      </c>
      <c r="L300" s="97">
        <f t="shared" si="34"/>
        <v>4.385090262188867E-2</v>
      </c>
      <c r="M300" s="107">
        <f t="shared" si="35"/>
        <v>0.263105415731332</v>
      </c>
    </row>
    <row r="301" spans="2:13" x14ac:dyDescent="0.2">
      <c r="B301" s="3">
        <v>120</v>
      </c>
      <c r="C301" s="95">
        <v>2</v>
      </c>
      <c r="D301" s="95">
        <v>2</v>
      </c>
      <c r="E301" s="95">
        <v>2</v>
      </c>
      <c r="F301" s="95">
        <v>1</v>
      </c>
      <c r="G301" s="95">
        <v>2</v>
      </c>
      <c r="H301" s="95">
        <v>2</v>
      </c>
      <c r="I301" s="95">
        <v>2</v>
      </c>
      <c r="J301" s="100">
        <f t="shared" si="32"/>
        <v>1.4420000000000004</v>
      </c>
      <c r="K301" s="101">
        <f t="shared" si="33"/>
        <v>29.018165748104973</v>
      </c>
      <c r="L301" s="97">
        <f t="shared" si="34"/>
        <v>5.1050797816261609E-2</v>
      </c>
      <c r="M301" s="107">
        <f t="shared" si="35"/>
        <v>0.30630478689756968</v>
      </c>
    </row>
    <row r="302" spans="2:13" x14ac:dyDescent="0.2">
      <c r="B302" s="3">
        <v>121</v>
      </c>
      <c r="C302" s="95">
        <v>2</v>
      </c>
      <c r="D302" s="95">
        <v>2</v>
      </c>
      <c r="E302" s="95">
        <v>2</v>
      </c>
      <c r="F302" s="95">
        <v>2</v>
      </c>
      <c r="G302" s="95">
        <v>1</v>
      </c>
      <c r="H302" s="95">
        <v>1</v>
      </c>
      <c r="I302" s="95">
        <v>1</v>
      </c>
      <c r="J302" s="100">
        <f t="shared" si="32"/>
        <v>2.2569999999999997</v>
      </c>
      <c r="K302" s="101">
        <f t="shared" si="33"/>
        <v>22.868968307322074</v>
      </c>
      <c r="L302" s="97">
        <f t="shared" si="34"/>
        <v>0.1621283375264056</v>
      </c>
      <c r="M302" s="107">
        <f t="shared" si="35"/>
        <v>0.97277002515843358</v>
      </c>
    </row>
    <row r="303" spans="2:13" x14ac:dyDescent="0.2">
      <c r="B303" s="3">
        <v>122</v>
      </c>
      <c r="C303" s="95">
        <v>2</v>
      </c>
      <c r="D303" s="95">
        <v>2</v>
      </c>
      <c r="E303" s="95">
        <v>2</v>
      </c>
      <c r="F303" s="95">
        <v>2</v>
      </c>
      <c r="G303" s="95">
        <v>1</v>
      </c>
      <c r="H303" s="95">
        <v>1</v>
      </c>
      <c r="I303" s="95">
        <v>2</v>
      </c>
      <c r="J303" s="100">
        <f t="shared" si="32"/>
        <v>2.2865000000000002</v>
      </c>
      <c r="K303" s="101">
        <f t="shared" si="33"/>
        <v>21.727772884526757</v>
      </c>
      <c r="L303" s="97">
        <f t="shared" si="34"/>
        <v>0.18727983147414362</v>
      </c>
      <c r="M303" s="107">
        <f t="shared" si="35"/>
        <v>1.1236789888448617</v>
      </c>
    </row>
    <row r="304" spans="2:13" x14ac:dyDescent="0.2">
      <c r="B304" s="3">
        <v>123</v>
      </c>
      <c r="C304" s="95">
        <v>2</v>
      </c>
      <c r="D304" s="95">
        <v>2</v>
      </c>
      <c r="E304" s="95">
        <v>2</v>
      </c>
      <c r="F304" s="95">
        <v>2</v>
      </c>
      <c r="G304" s="95">
        <v>1</v>
      </c>
      <c r="H304" s="95">
        <v>2</v>
      </c>
      <c r="I304" s="95">
        <v>1</v>
      </c>
      <c r="J304" s="100">
        <f t="shared" si="32"/>
        <v>1.8445</v>
      </c>
      <c r="K304" s="101">
        <f t="shared" si="33"/>
        <v>25.968935068356949</v>
      </c>
      <c r="L304" s="97">
        <f t="shared" si="34"/>
        <v>9.275173900812328E-2</v>
      </c>
      <c r="M304" s="107">
        <f t="shared" si="35"/>
        <v>0.55651043404873968</v>
      </c>
    </row>
    <row r="305" spans="2:13" x14ac:dyDescent="0.2">
      <c r="B305" s="3">
        <v>124</v>
      </c>
      <c r="C305" s="95">
        <v>2</v>
      </c>
      <c r="D305" s="95">
        <v>2</v>
      </c>
      <c r="E305" s="95">
        <v>2</v>
      </c>
      <c r="F305" s="95">
        <v>2</v>
      </c>
      <c r="G305" s="95">
        <v>1</v>
      </c>
      <c r="H305" s="95">
        <v>2</v>
      </c>
      <c r="I305" s="95">
        <v>2</v>
      </c>
      <c r="J305" s="100">
        <f t="shared" si="32"/>
        <v>1.8740000000000001</v>
      </c>
      <c r="K305" s="101">
        <f t="shared" si="33"/>
        <v>24.827739645561632</v>
      </c>
      <c r="L305" s="97">
        <f t="shared" si="34"/>
        <v>0.10745824872193049</v>
      </c>
      <c r="M305" s="107">
        <f t="shared" si="35"/>
        <v>0.64474949233158296</v>
      </c>
    </row>
    <row r="306" spans="2:13" x14ac:dyDescent="0.2">
      <c r="B306" s="3">
        <v>125</v>
      </c>
      <c r="C306" s="95">
        <v>2</v>
      </c>
      <c r="D306" s="95">
        <v>2</v>
      </c>
      <c r="E306" s="95">
        <v>2</v>
      </c>
      <c r="F306" s="95">
        <v>2</v>
      </c>
      <c r="G306" s="95">
        <v>2</v>
      </c>
      <c r="H306" s="95">
        <v>1</v>
      </c>
      <c r="I306" s="95">
        <v>1</v>
      </c>
      <c r="J306" s="100">
        <f t="shared" si="32"/>
        <v>1.8325000000000002</v>
      </c>
      <c r="K306" s="101">
        <f t="shared" si="33"/>
        <v>27.622906638274376</v>
      </c>
      <c r="L306" s="97">
        <f t="shared" si="34"/>
        <v>7.6176951654408617E-2</v>
      </c>
      <c r="M306" s="107">
        <f t="shared" si="35"/>
        <v>0.45706170992645168</v>
      </c>
    </row>
    <row r="307" spans="2:13" x14ac:dyDescent="0.2">
      <c r="B307" s="3">
        <v>126</v>
      </c>
      <c r="C307" s="95">
        <v>2</v>
      </c>
      <c r="D307" s="95">
        <v>2</v>
      </c>
      <c r="E307" s="95">
        <v>2</v>
      </c>
      <c r="F307" s="95">
        <v>2</v>
      </c>
      <c r="G307" s="95">
        <v>2</v>
      </c>
      <c r="H307" s="95">
        <v>1</v>
      </c>
      <c r="I307" s="95">
        <v>2</v>
      </c>
      <c r="J307" s="100">
        <f t="shared" si="32"/>
        <v>1.8620000000000003</v>
      </c>
      <c r="K307" s="101">
        <f t="shared" si="33"/>
        <v>26.481711215479059</v>
      </c>
      <c r="L307" s="97">
        <f t="shared" si="34"/>
        <v>8.8266620946541877E-2</v>
      </c>
      <c r="M307" s="107">
        <f t="shared" si="35"/>
        <v>0.52959972567925129</v>
      </c>
    </row>
    <row r="308" spans="2:13" x14ac:dyDescent="0.2">
      <c r="B308" s="3">
        <v>127</v>
      </c>
      <c r="C308" s="95">
        <v>2</v>
      </c>
      <c r="D308" s="95">
        <v>2</v>
      </c>
      <c r="E308" s="95">
        <v>2</v>
      </c>
      <c r="F308" s="95">
        <v>2</v>
      </c>
      <c r="G308" s="95">
        <v>2</v>
      </c>
      <c r="H308" s="95">
        <v>2</v>
      </c>
      <c r="I308" s="95">
        <v>1</v>
      </c>
      <c r="J308" s="100">
        <f t="shared" si="32"/>
        <v>1.4200000000000002</v>
      </c>
      <c r="K308" s="101">
        <f t="shared" si="33"/>
        <v>30.72287339930925</v>
      </c>
      <c r="L308" s="97">
        <f t="shared" si="34"/>
        <v>4.1315014284451418E-2</v>
      </c>
      <c r="M308" s="107">
        <f t="shared" si="35"/>
        <v>0.24789008570670851</v>
      </c>
    </row>
    <row r="309" spans="2:13" x14ac:dyDescent="0.2">
      <c r="B309" s="3">
        <v>128</v>
      </c>
      <c r="C309" s="95">
        <v>2</v>
      </c>
      <c r="D309" s="95">
        <v>2</v>
      </c>
      <c r="E309" s="95">
        <v>2</v>
      </c>
      <c r="F309" s="95">
        <v>2</v>
      </c>
      <c r="G309" s="95">
        <v>2</v>
      </c>
      <c r="H309" s="95">
        <v>2</v>
      </c>
      <c r="I309" s="95">
        <v>2</v>
      </c>
      <c r="J309" s="100">
        <f t="shared" si="32"/>
        <v>1.4495000000000002</v>
      </c>
      <c r="K309" s="101">
        <f t="shared" si="33"/>
        <v>29.581677976513934</v>
      </c>
      <c r="L309" s="97">
        <f t="shared" si="34"/>
        <v>4.809351344390006E-2</v>
      </c>
      <c r="M309" s="107">
        <f t="shared" si="35"/>
        <v>0.28856108066340036</v>
      </c>
    </row>
    <row r="310" spans="2:13" x14ac:dyDescent="0.2">
      <c r="C310" s="10" t="str">
        <f t="shared" ref="C310:I310" si="36">C180</f>
        <v>Larg pales</v>
      </c>
      <c r="D310" s="10" t="str">
        <f t="shared" si="36"/>
        <v>Long pales</v>
      </c>
      <c r="E310" s="10" t="str">
        <f t="shared" si="36"/>
        <v>Larg fuselage</v>
      </c>
      <c r="F310" s="10" t="str">
        <f t="shared" si="36"/>
        <v>Long fuselage</v>
      </c>
      <c r="G310" s="10" t="str">
        <f t="shared" si="36"/>
        <v>inclinaison pales</v>
      </c>
      <c r="H310" s="10" t="str">
        <f t="shared" si="36"/>
        <v>Nbre trombones</v>
      </c>
      <c r="I310" s="10" t="str">
        <f t="shared" si="36"/>
        <v/>
      </c>
      <c r="J310" s="9">
        <f>AVERAGE(J182:J309)</f>
        <v>1.8467499999999997</v>
      </c>
      <c r="K310" s="99">
        <f>AVERAGE(K182:K309)</f>
        <v>22.022593569707073</v>
      </c>
    </row>
  </sheetData>
  <sheetProtection selectLockedCells="1" selectUnlockedCells="1"/>
  <sortState xmlns:xlrd2="http://schemas.microsoft.com/office/spreadsheetml/2017/richdata2" ref="A184:BG311">
    <sortCondition ref="B184:B311"/>
  </sortState>
  <printOptions horizontalCentered="1" verticalCentered="1" gridLines="1"/>
  <pageMargins left="0.196850393700787" right="0.196850393700787" top="0.196850393700787" bottom="0.196850393700787" header="0" footer="0"/>
  <pageSetup paperSize="9" scale="21" orientation="portrait" horizontalDpi="4294967293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86DD-CF1B-4524-AE59-4D672169CBD5}">
  <dimension ref="A1:BG310"/>
  <sheetViews>
    <sheetView topLeftCell="C2" zoomScale="55" zoomScaleNormal="55" workbookViewId="0">
      <selection activeCell="V139" sqref="V139"/>
    </sheetView>
  </sheetViews>
  <sheetFormatPr defaultColWidth="11.42578125" defaultRowHeight="12.75" x14ac:dyDescent="0.2"/>
  <cols>
    <col min="1" max="1" width="5.140625" customWidth="1"/>
    <col min="2" max="2" width="18.42578125" customWidth="1"/>
    <col min="3" max="9" width="17.42578125" customWidth="1"/>
    <col min="10" max="10" width="12.140625" customWidth="1"/>
    <col min="11" max="11" width="8.140625" customWidth="1"/>
    <col min="12" max="12" width="10.85546875" customWidth="1"/>
    <col min="13" max="20" width="11.140625" customWidth="1"/>
    <col min="21" max="21" width="5.85546875" customWidth="1"/>
    <col min="22" max="25" width="8.7109375" customWidth="1"/>
    <col min="26" max="26" width="28.28515625" bestFit="1" customWidth="1"/>
    <col min="27" max="69" width="8.7109375" customWidth="1"/>
  </cols>
  <sheetData>
    <row r="1" spans="1:59" x14ac:dyDescent="0.2">
      <c r="A1" s="57"/>
      <c r="B1" s="58"/>
      <c r="C1" s="58"/>
      <c r="D1" s="58"/>
      <c r="E1" s="59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60"/>
      <c r="V1" s="57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60"/>
    </row>
    <row r="2" spans="1:59" s="52" customFormat="1" ht="21" customHeight="1" x14ac:dyDescent="0.4">
      <c r="A2" s="61" t="str">
        <f>"Table L8, Réponse étudiée: " &amp;K18</f>
        <v>Table L8, Réponse étudiée: Déviation horizontale</v>
      </c>
      <c r="B2" s="43"/>
      <c r="C2" s="43"/>
      <c r="D2" s="43"/>
      <c r="E2" s="43"/>
      <c r="F2" s="43"/>
      <c r="G2" s="43"/>
      <c r="H2" s="43"/>
      <c r="I2" s="43"/>
      <c r="J2" s="43"/>
      <c r="K2" s="44"/>
      <c r="L2" s="43"/>
      <c r="M2" s="43"/>
      <c r="N2" s="43"/>
      <c r="O2" s="43"/>
      <c r="P2" s="43"/>
      <c r="Q2" s="43"/>
      <c r="R2" s="1"/>
      <c r="S2" s="1"/>
      <c r="T2" s="1"/>
      <c r="U2" s="62"/>
      <c r="V2" s="69"/>
      <c r="W2" s="45"/>
      <c r="X2" s="46"/>
      <c r="Y2" s="46"/>
      <c r="Z2" s="46"/>
      <c r="AA2" s="46"/>
      <c r="AB2" s="46"/>
      <c r="AC2" s="46"/>
      <c r="AD2" s="46"/>
      <c r="AE2" s="46"/>
      <c r="AF2" s="51" t="s">
        <v>0</v>
      </c>
      <c r="AG2" s="46"/>
      <c r="AH2" s="46"/>
      <c r="AI2" s="46"/>
      <c r="AJ2" s="46"/>
      <c r="AK2" s="46"/>
      <c r="AL2" s="46"/>
      <c r="BG2" s="70"/>
    </row>
    <row r="3" spans="1:59" x14ac:dyDescent="0.2">
      <c r="A3" s="63"/>
      <c r="C3" s="11"/>
      <c r="D3" s="11"/>
      <c r="E3" s="11"/>
      <c r="F3" s="11"/>
      <c r="G3" s="11"/>
      <c r="H3" s="11"/>
      <c r="I3" s="11"/>
      <c r="U3" s="64"/>
      <c r="V3" s="63"/>
      <c r="W3" s="11"/>
      <c r="X3" s="11"/>
      <c r="BG3" s="64"/>
    </row>
    <row r="4" spans="1:59" x14ac:dyDescent="0.2">
      <c r="A4" s="72"/>
      <c r="B4" s="11"/>
      <c r="C4" s="114" t="s">
        <v>79</v>
      </c>
      <c r="D4" s="114" t="s">
        <v>78</v>
      </c>
      <c r="E4" s="11" t="s">
        <v>76</v>
      </c>
      <c r="F4" s="114" t="s">
        <v>77</v>
      </c>
      <c r="G4" s="114" t="s">
        <v>80</v>
      </c>
      <c r="H4" s="114" t="s">
        <v>81</v>
      </c>
      <c r="I4" s="114" t="s">
        <v>82</v>
      </c>
      <c r="J4" s="11"/>
      <c r="K4" s="11"/>
      <c r="L4" s="11"/>
      <c r="U4" s="64"/>
      <c r="V4" s="63"/>
      <c r="AY4" s="64"/>
    </row>
    <row r="5" spans="1:59" x14ac:dyDescent="0.2">
      <c r="A5" s="63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U5" s="64"/>
      <c r="V5" s="63"/>
      <c r="AY5" s="64"/>
    </row>
    <row r="6" spans="1:59" ht="13.5" thickBot="1" x14ac:dyDescent="0.25">
      <c r="A6" s="63"/>
      <c r="B6" s="71" t="s">
        <v>1</v>
      </c>
      <c r="C6" s="82" t="s">
        <v>88</v>
      </c>
      <c r="D6" s="82" t="s">
        <v>89</v>
      </c>
      <c r="E6" s="82" t="s">
        <v>85</v>
      </c>
      <c r="F6" s="82" t="s">
        <v>86</v>
      </c>
      <c r="G6" s="82" t="s">
        <v>87</v>
      </c>
      <c r="H6" s="82" t="s">
        <v>90</v>
      </c>
      <c r="I6" s="82"/>
      <c r="U6" s="64"/>
      <c r="V6" s="63"/>
      <c r="AU6" s="64"/>
    </row>
    <row r="7" spans="1:59" x14ac:dyDescent="0.2">
      <c r="A7" s="63"/>
      <c r="B7" s="3" t="s">
        <v>2</v>
      </c>
      <c r="C7" s="81">
        <v>25</v>
      </c>
      <c r="D7" s="81">
        <v>60</v>
      </c>
      <c r="E7" s="81">
        <v>25</v>
      </c>
      <c r="F7" s="81">
        <v>50</v>
      </c>
      <c r="G7" s="40">
        <v>0</v>
      </c>
      <c r="H7" s="81">
        <v>1</v>
      </c>
      <c r="I7" s="81"/>
      <c r="K7" s="56" t="s">
        <v>3</v>
      </c>
      <c r="U7" s="64"/>
      <c r="V7" s="63"/>
      <c r="AU7" s="64"/>
    </row>
    <row r="8" spans="1:59" ht="13.5" thickBot="1" x14ac:dyDescent="0.25">
      <c r="A8" s="63"/>
      <c r="B8" s="71" t="s">
        <v>4</v>
      </c>
      <c r="C8" s="82">
        <v>60</v>
      </c>
      <c r="D8" s="82">
        <v>100</v>
      </c>
      <c r="E8" s="82">
        <v>40</v>
      </c>
      <c r="F8" s="82">
        <v>100</v>
      </c>
      <c r="G8" s="82">
        <v>10</v>
      </c>
      <c r="H8" s="82">
        <v>2</v>
      </c>
      <c r="I8" s="82"/>
      <c r="L8" s="18">
        <v>1</v>
      </c>
      <c r="M8" s="18">
        <v>2</v>
      </c>
      <c r="N8" s="18">
        <v>3</v>
      </c>
      <c r="O8" s="18">
        <v>4</v>
      </c>
      <c r="P8" s="18">
        <v>5</v>
      </c>
      <c r="Q8" s="18">
        <v>6</v>
      </c>
      <c r="R8" s="18">
        <v>7</v>
      </c>
      <c r="U8" s="64"/>
      <c r="V8" s="63"/>
      <c r="AU8" s="64"/>
    </row>
    <row r="9" spans="1:59" x14ac:dyDescent="0.2">
      <c r="A9" s="63"/>
      <c r="B9" s="12" t="str">
        <f>IF(C6="","",C6)</f>
        <v>Larg pales</v>
      </c>
      <c r="C9" s="49"/>
      <c r="D9" s="81"/>
      <c r="E9" s="40"/>
      <c r="F9" s="81"/>
      <c r="G9" s="40"/>
      <c r="H9" s="40"/>
      <c r="I9" s="81"/>
      <c r="K9" s="12">
        <v>1</v>
      </c>
      <c r="L9" s="49"/>
      <c r="M9" s="12">
        <v>3</v>
      </c>
      <c r="N9" s="12">
        <v>2</v>
      </c>
      <c r="O9" s="12">
        <v>5</v>
      </c>
      <c r="P9" s="12">
        <v>4</v>
      </c>
      <c r="Q9" s="12">
        <v>7</v>
      </c>
      <c r="R9" s="12">
        <v>6</v>
      </c>
      <c r="U9" s="64"/>
      <c r="V9" s="63"/>
      <c r="AU9" s="64"/>
    </row>
    <row r="10" spans="1:59" x14ac:dyDescent="0.2">
      <c r="A10" s="63"/>
      <c r="B10" s="12" t="str">
        <f>IF(D6="","",D6)</f>
        <v>Long pales</v>
      </c>
      <c r="C10" s="49"/>
      <c r="D10" s="49"/>
      <c r="E10" s="40"/>
      <c r="F10" s="81"/>
      <c r="G10" s="40"/>
      <c r="H10" s="40"/>
      <c r="I10" s="40"/>
      <c r="K10" s="12">
        <v>2</v>
      </c>
      <c r="L10" s="49"/>
      <c r="M10" s="49"/>
      <c r="N10" s="12">
        <v>1</v>
      </c>
      <c r="O10" s="12">
        <v>6</v>
      </c>
      <c r="P10" s="12">
        <v>7</v>
      </c>
      <c r="Q10" s="12">
        <v>4</v>
      </c>
      <c r="R10" s="12">
        <v>5</v>
      </c>
      <c r="U10" s="64"/>
      <c r="V10" s="63"/>
      <c r="Y10" s="11"/>
      <c r="AU10" s="64"/>
    </row>
    <row r="11" spans="1:59" x14ac:dyDescent="0.2">
      <c r="A11" s="63"/>
      <c r="B11" s="12" t="str">
        <f>IF(E6="","",E6)</f>
        <v>Larg fuselage</v>
      </c>
      <c r="C11" s="49"/>
      <c r="D11" s="49"/>
      <c r="E11" s="49"/>
      <c r="F11" s="40"/>
      <c r="G11" s="40"/>
      <c r="H11" s="40"/>
      <c r="I11" s="40"/>
      <c r="K11" s="12">
        <v>3</v>
      </c>
      <c r="L11" s="49"/>
      <c r="M11" s="49"/>
      <c r="N11" s="49"/>
      <c r="O11" s="12">
        <v>7</v>
      </c>
      <c r="P11" s="12">
        <v>6</v>
      </c>
      <c r="Q11" s="12">
        <v>5</v>
      </c>
      <c r="R11" s="12">
        <v>4</v>
      </c>
      <c r="U11" s="64"/>
      <c r="V11" s="63"/>
      <c r="Y11" s="13"/>
      <c r="AU11" s="64"/>
    </row>
    <row r="12" spans="1:59" ht="15.75" x14ac:dyDescent="0.25">
      <c r="A12" s="63"/>
      <c r="B12" s="12" t="str">
        <f>IF(F6="","",F6)</f>
        <v>Long fuselage</v>
      </c>
      <c r="C12" s="121"/>
      <c r="D12" s="49"/>
      <c r="E12" s="49"/>
      <c r="F12" s="49"/>
      <c r="G12" s="40"/>
      <c r="H12" s="40"/>
      <c r="I12" s="40"/>
      <c r="K12" s="12">
        <v>4</v>
      </c>
      <c r="L12" s="121"/>
      <c r="M12" s="49"/>
      <c r="N12" s="49"/>
      <c r="O12" s="49"/>
      <c r="P12" s="12">
        <v>1</v>
      </c>
      <c r="Q12" s="12">
        <v>2</v>
      </c>
      <c r="R12" s="12">
        <v>3</v>
      </c>
      <c r="U12" s="64"/>
      <c r="V12" s="63"/>
      <c r="AU12" s="64"/>
    </row>
    <row r="13" spans="1:59" x14ac:dyDescent="0.2">
      <c r="A13" s="63"/>
      <c r="B13" s="12" t="str">
        <f>IF(G6="","",G6)</f>
        <v>inclinaison pales</v>
      </c>
      <c r="C13" s="49"/>
      <c r="D13" s="49"/>
      <c r="E13" s="49"/>
      <c r="F13" s="49"/>
      <c r="G13" s="49"/>
      <c r="H13" s="40"/>
      <c r="I13" s="40"/>
      <c r="K13" s="12">
        <v>5</v>
      </c>
      <c r="L13" s="49"/>
      <c r="M13" s="49"/>
      <c r="N13" s="49"/>
      <c r="O13" s="49"/>
      <c r="P13" s="49"/>
      <c r="Q13" s="12">
        <v>3</v>
      </c>
      <c r="R13" s="12">
        <v>2</v>
      </c>
      <c r="U13" s="64"/>
      <c r="V13" s="63"/>
      <c r="AU13" s="64"/>
    </row>
    <row r="14" spans="1:59" x14ac:dyDescent="0.2">
      <c r="A14" s="63"/>
      <c r="B14" s="12" t="str">
        <f>IF(H6="","",H6)</f>
        <v>Nbre trombones</v>
      </c>
      <c r="C14" s="49"/>
      <c r="D14" s="49"/>
      <c r="E14" s="49"/>
      <c r="F14" s="49"/>
      <c r="G14" s="49"/>
      <c r="H14" s="49"/>
      <c r="I14" s="40"/>
      <c r="K14" s="12">
        <v>6</v>
      </c>
      <c r="L14" s="49"/>
      <c r="M14" s="49"/>
      <c r="N14" s="49"/>
      <c r="O14" s="49"/>
      <c r="P14" s="49"/>
      <c r="Q14" s="49"/>
      <c r="R14" s="12">
        <v>1</v>
      </c>
      <c r="U14" s="64"/>
      <c r="V14" s="63"/>
      <c r="AY14" s="64"/>
    </row>
    <row r="15" spans="1:59" x14ac:dyDescent="0.2">
      <c r="A15" s="63"/>
      <c r="B15" s="12" t="str">
        <f>IF(I6="","",I6)</f>
        <v/>
      </c>
      <c r="C15" s="49"/>
      <c r="D15" s="48"/>
      <c r="E15" s="48"/>
      <c r="F15" s="49"/>
      <c r="G15" s="49"/>
      <c r="H15" s="49"/>
      <c r="I15" s="48"/>
      <c r="K15" s="12">
        <v>7</v>
      </c>
      <c r="L15" s="49"/>
      <c r="M15" s="48"/>
      <c r="N15" s="48"/>
      <c r="O15" s="49"/>
      <c r="P15" s="49"/>
      <c r="Q15" s="49"/>
      <c r="R15" s="48"/>
      <c r="U15" s="64"/>
      <c r="V15" s="63"/>
      <c r="BG15" s="64"/>
    </row>
    <row r="16" spans="1:59" x14ac:dyDescent="0.2">
      <c r="A16" s="63"/>
      <c r="Q16" s="11"/>
      <c r="R16" s="47"/>
      <c r="U16" s="64"/>
      <c r="V16" s="63"/>
      <c r="BG16" s="64"/>
    </row>
    <row r="17" spans="1:59" x14ac:dyDescent="0.2">
      <c r="A17" s="63"/>
      <c r="Q17" s="11"/>
      <c r="R17" s="47"/>
      <c r="U17" s="64"/>
      <c r="V17" s="63"/>
      <c r="BG17" s="64"/>
    </row>
    <row r="18" spans="1:59" x14ac:dyDescent="0.2">
      <c r="A18" s="63"/>
      <c r="B18" s="2" t="s">
        <v>1</v>
      </c>
      <c r="C18" s="12" t="str">
        <f>IF(E10="",IF(G12="",IF(I14="",IF(C6="","",C6),IF(C6="",IF(I6="",B14&amp;"/"&amp;I18,B14&amp;"/"&amp;I6),"impossible !")),IF(I14="",IF(C6="",IF(G6="",B12&amp;"/"&amp;G18,B12&amp;"/"&amp;G6),"impossible !"),"impossible !")),IF(G12="",IF(I14="",IF(C6="",IF(E6="",B10&amp;"/"&amp;E18,B10&amp;"/"&amp;E6),"impossible !"),"impossible !"),"impossible !"))</f>
        <v>Larg pales</v>
      </c>
      <c r="D18" s="12" t="str">
        <f>IF(E9="",IF(H12="",IF(I13="",IF(D6="","",D6),IF(D6="",IF(I6="",B13&amp;"/"&amp;I18,B13&amp;"/"&amp;I6),"impossible !")),IF(I13="",IF(D6="",IF(H6="",B12&amp;"/"&amp;H18,B12&amp;"/"&amp;H6),"impossible !"),"impossible !")),IF(H12="",IF(I13="",IF(D6="",IF(E6="",B9&amp;"/"&amp;E18,B9&amp;"/"&amp;E6),"impossible !"),"impossible !"),"impossible !"))</f>
        <v>Long pales</v>
      </c>
      <c r="E18" s="12" t="str">
        <f>IF(D9="",IF(H13="",IF(I12="",IF(E6="","",E6),IF(E6="",IF(I6="",B12&amp;"/"&amp;I18,B12&amp;"/"&amp;I6),"impossible !")),IF(I12="",IF(E6="",IF(H6="",B13&amp;"/"&amp;H18,B13&amp;"/"&amp;H6),"impossible !"),"impossible !")),IF(H13="",IF(I12="",IF(E6="",IF(D6="",B9&amp;"/"&amp;D18,B9&amp;"/"&amp;D6),"impossible !"),"impossible !"),"impossible !"))</f>
        <v>Larg fuselage</v>
      </c>
      <c r="F18" s="12" t="str">
        <f>IF(G9="",IF(H10="",IF(I11="",IF(F6="","",F6),IF(F6="",IF(I6="",B11&amp;"/"&amp;I18,B11&amp;"/"&amp;I6),"impossible !")),IF(I11="",IF(F6="",IF(H6="",B10&amp;"/"&amp;H18,B10&amp;"/"&amp;H6),"impossible !"),"impossible !")),IF(H10="",IF(I11="",IF(F6="",IF(G6="",B9&amp;"/"&amp;G18,B9&amp;"/"&amp;G6),"impossible !"),"impossible !"),"impossible !"))</f>
        <v>Long fuselage</v>
      </c>
      <c r="G18" s="12" t="str">
        <f>IF(F9="",IF(H11="",IF(I10="",IF(G6="","",G6),IF(G6="",IF(I6="",B10&amp;"/"&amp;I18,B10&amp;"/"&amp;I6),"impossible !")),IF(I10="",IF(G6="",IF(H6="",B11&amp;"/"&amp;H18,B11&amp;"/"&amp;H6),"impossible !"),"impossible !")),IF(H11="",IF(I10="",IF(G6="",IF(F6="",B9&amp;"/"&amp;F18,B9&amp;"/"&amp;F6),"impossible"),"impossible !"),"impossible !"))</f>
        <v>inclinaison pales</v>
      </c>
      <c r="H18" s="12" t="str">
        <f>IF(F10="",IF(G11="",IF(I9="",IF(H6="","",H6),IF(H6="",IF(I6="",B9&amp;"/"&amp;I18,B9&amp;"/"&amp;I6),"impossible !")),IF(I9="",IF(H6="",IF(G6="",B11&amp;"/"&amp;G18,B11&amp;"/"&amp;G6),"impossible !"),"impossible !")),IF(G11="",IF(I9="",IF(H6="",IF(F6="",B10&amp;"/"&amp;F18,B10&amp;"/"&amp;F6),"impossible !"),"impossible !"),"impossible !"))</f>
        <v>Nbre trombones</v>
      </c>
      <c r="I18" s="12" t="str">
        <f>IF(F11="",IF(G10="",IF(H9="",IF(I6="","",I6),IF(I6="",IF(H6="",B9&amp;"/"&amp;H18,B9&amp;"/"&amp;H6),"impossible !")),IF(H9="",IF(I6="",IF(G6="",B10&amp;"/"&amp;G18,B10&amp;"/"&amp;G6),"impossible !"),"impossible !")),IF(G10="",IF(H9="",IF(I6="",IF(F6="",B11&amp;"/"&amp;F18,B11&amp;"/"&amp;F6),"impossible !"),"impossible !"),"impossible !"))</f>
        <v/>
      </c>
      <c r="J18" s="3" t="s">
        <v>5</v>
      </c>
      <c r="K18" s="42" t="s">
        <v>92</v>
      </c>
      <c r="L18" s="4"/>
      <c r="M18" s="4"/>
      <c r="N18" s="4"/>
      <c r="O18" s="5"/>
      <c r="P18" s="84" t="s">
        <v>64</v>
      </c>
      <c r="Q18" s="84" t="s">
        <v>63</v>
      </c>
      <c r="R18" s="84" t="s">
        <v>73</v>
      </c>
      <c r="S18" s="3" t="s">
        <v>6</v>
      </c>
      <c r="T18" s="41">
        <f>J28-MAX(D33:D34,D36:D37,D39:D40,D42:D43,D45:D46,D48:D49,D51:D52)*1.2</f>
        <v>2.9089999999999989</v>
      </c>
      <c r="U18" s="64"/>
      <c r="V18" s="63"/>
      <c r="BG18" s="64"/>
    </row>
    <row r="19" spans="1:59" ht="13.5" thickBot="1" x14ac:dyDescent="0.25">
      <c r="A19" s="63"/>
      <c r="B19" s="6" t="s">
        <v>7</v>
      </c>
      <c r="C19" s="3">
        <v>1</v>
      </c>
      <c r="D19" s="3">
        <v>2</v>
      </c>
      <c r="E19" s="3">
        <v>3</v>
      </c>
      <c r="F19" s="3">
        <v>4</v>
      </c>
      <c r="G19" s="3">
        <v>5</v>
      </c>
      <c r="H19" s="3">
        <v>6</v>
      </c>
      <c r="I19" s="3">
        <v>7</v>
      </c>
      <c r="J19" s="7" t="s">
        <v>8</v>
      </c>
      <c r="K19" s="8" t="s">
        <v>9</v>
      </c>
      <c r="L19" s="8" t="s">
        <v>10</v>
      </c>
      <c r="M19" s="8" t="s">
        <v>11</v>
      </c>
      <c r="N19" s="8" t="s">
        <v>12</v>
      </c>
      <c r="O19" s="6" t="s">
        <v>13</v>
      </c>
      <c r="P19" s="85"/>
      <c r="Q19" s="84" t="s">
        <v>65</v>
      </c>
      <c r="R19" s="85"/>
      <c r="S19" s="3" t="s">
        <v>14</v>
      </c>
      <c r="T19" s="41">
        <f>J28+MAX(D33:D34,D36:D37,D39:D40,D42:D43,D45:D46,D48:D49,D51:D52)*1.2</f>
        <v>19.901</v>
      </c>
      <c r="U19" s="64"/>
      <c r="V19" s="63"/>
      <c r="BG19" s="64"/>
    </row>
    <row r="20" spans="1:59" ht="13.5" thickTop="1" x14ac:dyDescent="0.2">
      <c r="A20" s="63"/>
      <c r="B20" s="3">
        <v>1</v>
      </c>
      <c r="C20" s="108">
        <f t="shared" ref="C20:I20" si="0">IF(C$7="",1,C$7)</f>
        <v>25</v>
      </c>
      <c r="D20" s="108">
        <f t="shared" si="0"/>
        <v>60</v>
      </c>
      <c r="E20" s="108">
        <f t="shared" si="0"/>
        <v>25</v>
      </c>
      <c r="F20" s="108">
        <f t="shared" si="0"/>
        <v>50</v>
      </c>
      <c r="G20" s="108">
        <f t="shared" si="0"/>
        <v>0</v>
      </c>
      <c r="H20" s="108">
        <f t="shared" si="0"/>
        <v>1</v>
      </c>
      <c r="I20" s="108">
        <f t="shared" si="0"/>
        <v>1</v>
      </c>
      <c r="J20" s="9">
        <f t="shared" ref="J20:J27" si="1">AVERAGE(K20:O20)</f>
        <v>4.0999999999999996</v>
      </c>
      <c r="K20" s="40">
        <v>6</v>
      </c>
      <c r="L20" s="40">
        <v>0</v>
      </c>
      <c r="M20" s="40">
        <v>4</v>
      </c>
      <c r="N20" s="40">
        <v>4.5</v>
      </c>
      <c r="O20" s="40">
        <v>6</v>
      </c>
      <c r="P20" s="86">
        <f>_xlfn.STDEV.S(K20:O20)</f>
        <v>2.459674775249769</v>
      </c>
      <c r="Q20" s="87">
        <f>10*(LOG10(((J20/P20)^2)-(1/5)))</f>
        <v>4.1136922370199249</v>
      </c>
      <c r="R20" s="86">
        <f>_xlfn.VAR.S(K20:O20)</f>
        <v>6.0500000000000007</v>
      </c>
      <c r="U20" s="64"/>
      <c r="V20" s="63"/>
      <c r="BG20" s="64"/>
    </row>
    <row r="21" spans="1:59" x14ac:dyDescent="0.2">
      <c r="A21" s="63"/>
      <c r="B21" s="3">
        <v>2</v>
      </c>
      <c r="C21" s="108">
        <f>IF(C$7="",1,C$7)</f>
        <v>25</v>
      </c>
      <c r="D21" s="108">
        <f>IF(D$7="",1,D$7)</f>
        <v>60</v>
      </c>
      <c r="E21" s="108">
        <f>IF(E$7="",1,E$7)</f>
        <v>25</v>
      </c>
      <c r="F21" s="108">
        <f>IF(F$8="",2,F$8)</f>
        <v>100</v>
      </c>
      <c r="G21" s="108">
        <f>IF(G$8="",2,G$8)</f>
        <v>10</v>
      </c>
      <c r="H21" s="108">
        <f>IF(H$8="",2,H$8)</f>
        <v>2</v>
      </c>
      <c r="I21" s="108">
        <f>IF(I$8="",2,I$8)</f>
        <v>2</v>
      </c>
      <c r="J21" s="9">
        <f t="shared" si="1"/>
        <v>1.54</v>
      </c>
      <c r="K21" s="40">
        <v>2</v>
      </c>
      <c r="L21" s="40">
        <v>1.2</v>
      </c>
      <c r="M21" s="40">
        <v>0</v>
      </c>
      <c r="N21" s="40">
        <v>3</v>
      </c>
      <c r="O21" s="40">
        <v>1.5</v>
      </c>
      <c r="P21" s="86">
        <f t="shared" ref="P21:P27" si="2">_xlfn.STDEV.S(K21:O21)</f>
        <v>1.0990905331227265</v>
      </c>
      <c r="Q21" s="87">
        <f t="shared" ref="Q21:Q27" si="3">10*(LOG10(((J21/P21)^2)-(1/5)))</f>
        <v>2.46312669153625</v>
      </c>
      <c r="R21" s="86">
        <f t="shared" ref="R21:R27" si="4">_xlfn.VAR.S(K21:O21)</f>
        <v>1.2079999999999993</v>
      </c>
      <c r="U21" s="64"/>
      <c r="V21" s="63"/>
      <c r="X21" s="11"/>
      <c r="BG21" s="64"/>
    </row>
    <row r="22" spans="1:59" x14ac:dyDescent="0.2">
      <c r="A22" s="63"/>
      <c r="B22" s="3">
        <v>3</v>
      </c>
      <c r="C22" s="108">
        <f>IF(C$7="",1,C$7)</f>
        <v>25</v>
      </c>
      <c r="D22" s="108">
        <f>IF(D$8="",2,D$8)</f>
        <v>100</v>
      </c>
      <c r="E22" s="108">
        <f>IF(E$8="",2,E$8)</f>
        <v>40</v>
      </c>
      <c r="F22" s="108">
        <f>IF(F$7="",1,F$7)</f>
        <v>50</v>
      </c>
      <c r="G22" s="108">
        <f>IF(G$7="",1,G$7)</f>
        <v>0</v>
      </c>
      <c r="H22" s="108">
        <f>IF(H$8="",2,H$8)</f>
        <v>2</v>
      </c>
      <c r="I22" s="108">
        <f>IF(I$8="",2,I$8)</f>
        <v>2</v>
      </c>
      <c r="J22" s="9">
        <f t="shared" si="1"/>
        <v>5.9</v>
      </c>
      <c r="K22" s="40">
        <v>8.5</v>
      </c>
      <c r="L22" s="40">
        <v>18</v>
      </c>
      <c r="M22" s="40">
        <v>3</v>
      </c>
      <c r="N22" s="40">
        <v>0</v>
      </c>
      <c r="O22" s="40">
        <v>0</v>
      </c>
      <c r="P22" s="86">
        <f t="shared" si="2"/>
        <v>7.6026311234992852</v>
      </c>
      <c r="Q22" s="87">
        <f t="shared" si="3"/>
        <v>-3.9550488119455629</v>
      </c>
      <c r="R22" s="86">
        <f t="shared" si="4"/>
        <v>57.8</v>
      </c>
      <c r="U22" s="64"/>
      <c r="V22" s="63"/>
      <c r="BG22" s="64"/>
    </row>
    <row r="23" spans="1:59" x14ac:dyDescent="0.2">
      <c r="A23" s="63"/>
      <c r="B23" s="3">
        <v>4</v>
      </c>
      <c r="C23" s="108">
        <f>IF(C$7="",1,C$7)</f>
        <v>25</v>
      </c>
      <c r="D23" s="108">
        <f>IF(D$8="",2,D$8)</f>
        <v>100</v>
      </c>
      <c r="E23" s="108">
        <f>IF(E$8="",2,E$8)</f>
        <v>40</v>
      </c>
      <c r="F23" s="108">
        <f>IF(F$8="",2,F$8)</f>
        <v>100</v>
      </c>
      <c r="G23" s="108">
        <f>IF(G$8="",2,G$8)</f>
        <v>10</v>
      </c>
      <c r="H23" s="108">
        <f>IF(H$7="",1,H$7)</f>
        <v>1</v>
      </c>
      <c r="I23" s="108">
        <f>IF(I$7="",1,I$7)</f>
        <v>1</v>
      </c>
      <c r="J23" s="9">
        <f t="shared" si="1"/>
        <v>7.8</v>
      </c>
      <c r="K23" s="40">
        <v>4</v>
      </c>
      <c r="L23" s="40">
        <v>19.8</v>
      </c>
      <c r="M23" s="40">
        <v>0</v>
      </c>
      <c r="N23" s="40">
        <v>6.5</v>
      </c>
      <c r="O23" s="40">
        <v>8.6999999999999993</v>
      </c>
      <c r="P23" s="86">
        <f t="shared" si="2"/>
        <v>7.4461399395928627</v>
      </c>
      <c r="Q23" s="87">
        <f t="shared" si="3"/>
        <v>-0.47060573279042428</v>
      </c>
      <c r="R23" s="86">
        <f t="shared" si="4"/>
        <v>55.445000000000007</v>
      </c>
      <c r="U23" s="64"/>
      <c r="V23" s="63"/>
      <c r="BG23" s="64"/>
    </row>
    <row r="24" spans="1:59" x14ac:dyDescent="0.2">
      <c r="A24" s="63"/>
      <c r="B24" s="3">
        <v>5</v>
      </c>
      <c r="C24" s="108">
        <f>IF(C$8="",2,C$8)</f>
        <v>60</v>
      </c>
      <c r="D24" s="108">
        <f>IF(D$7="",1,D$7)</f>
        <v>60</v>
      </c>
      <c r="E24" s="108">
        <f>IF(E$8="",2,E$8)</f>
        <v>40</v>
      </c>
      <c r="F24" s="108">
        <f>IF(F$7="",1,F$7)</f>
        <v>50</v>
      </c>
      <c r="G24" s="108">
        <f>IF(G$8="",2,G$8)</f>
        <v>10</v>
      </c>
      <c r="H24" s="108">
        <f>IF(H$7="",1,H$7)</f>
        <v>1</v>
      </c>
      <c r="I24" s="108">
        <f>IF(I$8="",2,I$8)</f>
        <v>2</v>
      </c>
      <c r="J24" s="9">
        <f t="shared" si="1"/>
        <v>53.779999999999994</v>
      </c>
      <c r="K24" s="40">
        <v>55.2</v>
      </c>
      <c r="L24" s="40">
        <v>73.099999999999994</v>
      </c>
      <c r="M24" s="40">
        <v>47.2</v>
      </c>
      <c r="N24" s="40">
        <v>46.5</v>
      </c>
      <c r="O24" s="40">
        <v>46.9</v>
      </c>
      <c r="P24" s="86">
        <f t="shared" si="2"/>
        <v>11.389776117202649</v>
      </c>
      <c r="Q24" s="87">
        <f t="shared" si="3"/>
        <v>13.442977839458139</v>
      </c>
      <c r="R24" s="86">
        <f t="shared" si="4"/>
        <v>129.72699999999986</v>
      </c>
      <c r="U24" s="64"/>
      <c r="V24" s="63"/>
      <c r="Y24" s="11"/>
      <c r="Z24" s="11"/>
      <c r="AA24" s="11"/>
      <c r="AB24" s="11"/>
      <c r="AC24" s="11"/>
      <c r="AD24" s="11"/>
      <c r="AE24" s="11"/>
      <c r="BG24" s="64"/>
    </row>
    <row r="25" spans="1:59" x14ac:dyDescent="0.2">
      <c r="A25" s="63"/>
      <c r="B25" s="3">
        <v>6</v>
      </c>
      <c r="C25" s="108">
        <f>IF(C$8="",2,C$8)</f>
        <v>60</v>
      </c>
      <c r="D25" s="108">
        <f>IF(D$7="",1,D$7)</f>
        <v>60</v>
      </c>
      <c r="E25" s="108">
        <f>IF(E$8="",2,E$8)</f>
        <v>40</v>
      </c>
      <c r="F25" s="108">
        <f>IF(F$8="",2,F$8)</f>
        <v>100</v>
      </c>
      <c r="G25" s="108">
        <f>IF(G$7="",1,G$7)</f>
        <v>0</v>
      </c>
      <c r="H25" s="108">
        <f>IF(H$8="",2,H$8)</f>
        <v>2</v>
      </c>
      <c r="I25" s="108">
        <f>IF(I$7="",1,I$7)</f>
        <v>1</v>
      </c>
      <c r="J25" s="9">
        <f t="shared" si="1"/>
        <v>3.56</v>
      </c>
      <c r="K25" s="40">
        <v>2.4</v>
      </c>
      <c r="L25" s="40">
        <v>3.6</v>
      </c>
      <c r="M25" s="40">
        <v>5.4</v>
      </c>
      <c r="N25" s="40">
        <v>4.3</v>
      </c>
      <c r="O25" s="40">
        <v>2.1</v>
      </c>
      <c r="P25" s="86">
        <f t="shared" si="2"/>
        <v>1.3612494260788499</v>
      </c>
      <c r="Q25" s="87">
        <f t="shared" si="3"/>
        <v>8.2213560468825015</v>
      </c>
      <c r="R25" s="86">
        <f t="shared" si="4"/>
        <v>1.852999999999998</v>
      </c>
      <c r="U25" s="64"/>
      <c r="V25" s="63"/>
      <c r="BG25" s="64"/>
    </row>
    <row r="26" spans="1:59" x14ac:dyDescent="0.2">
      <c r="A26" s="63"/>
      <c r="B26" s="3">
        <v>7</v>
      </c>
      <c r="C26" s="108">
        <f>IF(C$8="",2,C$8)</f>
        <v>60</v>
      </c>
      <c r="D26" s="108">
        <f>IF(D$8="",2,D$8)</f>
        <v>100</v>
      </c>
      <c r="E26" s="108">
        <f>IF(E$7="",1,E$7)</f>
        <v>25</v>
      </c>
      <c r="F26" s="108">
        <f>IF(F$7="",1,F$7)</f>
        <v>50</v>
      </c>
      <c r="G26" s="108">
        <f>IF(G$8="",2,G$8)</f>
        <v>10</v>
      </c>
      <c r="H26" s="108">
        <f>IF(H$8="",2,H$8)</f>
        <v>2</v>
      </c>
      <c r="I26" s="108">
        <f>IF(I$7="",1,I$7)</f>
        <v>1</v>
      </c>
      <c r="J26" s="9">
        <f t="shared" si="1"/>
        <v>10.16</v>
      </c>
      <c r="K26" s="40">
        <v>23</v>
      </c>
      <c r="L26" s="40">
        <v>2</v>
      </c>
      <c r="M26" s="40">
        <v>16</v>
      </c>
      <c r="N26" s="40">
        <v>3</v>
      </c>
      <c r="O26" s="40">
        <v>6.8</v>
      </c>
      <c r="P26" s="86">
        <f t="shared" si="2"/>
        <v>9.0569310475458522</v>
      </c>
      <c r="Q26" s="87">
        <f t="shared" si="3"/>
        <v>0.24657658755228906</v>
      </c>
      <c r="R26" s="86">
        <f t="shared" si="4"/>
        <v>82.02800000000002</v>
      </c>
      <c r="U26" s="64"/>
      <c r="V26" s="63"/>
      <c r="BG26" s="64"/>
    </row>
    <row r="27" spans="1:59" x14ac:dyDescent="0.2">
      <c r="A27" s="63"/>
      <c r="B27" s="3">
        <v>8</v>
      </c>
      <c r="C27" s="108">
        <f>IF(C$8="",2,C$8)</f>
        <v>60</v>
      </c>
      <c r="D27" s="108">
        <f>IF(D$8="",2,D$8)</f>
        <v>100</v>
      </c>
      <c r="E27" s="108">
        <f>IF(E$7="",1,E$7)</f>
        <v>25</v>
      </c>
      <c r="F27" s="108">
        <f>IF(F$8="",2,F$8)</f>
        <v>100</v>
      </c>
      <c r="G27" s="108">
        <f>IF(G$7="",1,G$7)</f>
        <v>0</v>
      </c>
      <c r="H27" s="108">
        <f>IF(H$7="",1,H$7)</f>
        <v>1</v>
      </c>
      <c r="I27" s="108">
        <f>IF(I$8="",2,I$8)</f>
        <v>2</v>
      </c>
      <c r="J27" s="9">
        <f t="shared" si="1"/>
        <v>4.4000000000000004</v>
      </c>
      <c r="K27" s="40">
        <v>9.6999999999999993</v>
      </c>
      <c r="L27" s="40">
        <v>8.8000000000000007</v>
      </c>
      <c r="M27" s="40">
        <v>3.5</v>
      </c>
      <c r="N27" s="40">
        <v>0</v>
      </c>
      <c r="O27" s="40">
        <v>0</v>
      </c>
      <c r="P27" s="86">
        <f t="shared" si="2"/>
        <v>4.6631534394656153</v>
      </c>
      <c r="Q27" s="87">
        <f t="shared" si="3"/>
        <v>-1.6094978704551206</v>
      </c>
      <c r="R27" s="86">
        <f t="shared" si="4"/>
        <v>21.745000000000001</v>
      </c>
      <c r="U27" s="64"/>
      <c r="V27" s="63"/>
      <c r="BG27" s="64"/>
    </row>
    <row r="28" spans="1:59" x14ac:dyDescent="0.2">
      <c r="A28" s="63"/>
      <c r="C28" s="10" t="str">
        <f t="shared" ref="C28:I28" si="5">C18</f>
        <v>Larg pales</v>
      </c>
      <c r="D28" s="10" t="str">
        <f t="shared" si="5"/>
        <v>Long pales</v>
      </c>
      <c r="E28" s="10" t="str">
        <f t="shared" si="5"/>
        <v>Larg fuselage</v>
      </c>
      <c r="F28" s="10" t="str">
        <f t="shared" si="5"/>
        <v>Long fuselage</v>
      </c>
      <c r="G28" s="10" t="str">
        <f t="shared" si="5"/>
        <v>inclinaison pales</v>
      </c>
      <c r="H28" s="10" t="str">
        <f t="shared" si="5"/>
        <v>Nbre trombones</v>
      </c>
      <c r="I28" s="10" t="str">
        <f t="shared" si="5"/>
        <v/>
      </c>
      <c r="J28" s="93">
        <f>AVERAGE(J20:J27)</f>
        <v>11.404999999999999</v>
      </c>
      <c r="K28" s="11"/>
      <c r="L28" s="11"/>
      <c r="M28" s="11"/>
      <c r="N28" s="11"/>
      <c r="O28" s="11"/>
      <c r="Q28" s="94">
        <f>AVERAGE(Q20:Q27)</f>
        <v>2.8065721234072498</v>
      </c>
      <c r="R28" s="98">
        <f>AVERAGE(R20:R27)</f>
        <v>44.481999999999985</v>
      </c>
      <c r="U28" s="64"/>
      <c r="V28" s="63"/>
      <c r="BG28" s="64"/>
    </row>
    <row r="29" spans="1:59" x14ac:dyDescent="0.2">
      <c r="A29" s="63"/>
      <c r="B29" s="55"/>
      <c r="C29" s="9">
        <f>IF($D59="o",$D34,0)</f>
        <v>6.5700000000000021</v>
      </c>
      <c r="D29" s="9">
        <f>IF($D60="o",$D37,0)</f>
        <v>-4.34</v>
      </c>
      <c r="E29" s="9">
        <f>IF($D61="o",$D40,0)</f>
        <v>6.3549999999999986</v>
      </c>
      <c r="F29" s="9">
        <f>IF($D62="o",$D43,0)</f>
        <v>-7.0799999999999992</v>
      </c>
      <c r="G29" s="9">
        <f>IF($D63="o",$D46,0)</f>
        <v>6.9149999999999974</v>
      </c>
      <c r="H29" s="9">
        <f>IF($D64="o",$D49,0)</f>
        <v>-6.1149999999999993</v>
      </c>
      <c r="I29" s="9">
        <f>IF($D65="o",$D52,0)</f>
        <v>4.9999999999999982</v>
      </c>
      <c r="U29" s="64"/>
      <c r="V29" s="63"/>
      <c r="BG29" s="64"/>
    </row>
    <row r="30" spans="1:59" x14ac:dyDescent="0.2">
      <c r="A30" s="63"/>
      <c r="U30" s="64"/>
      <c r="V30" s="63"/>
      <c r="BG30" s="64"/>
    </row>
    <row r="31" spans="1:59" x14ac:dyDescent="0.2">
      <c r="A31" s="63"/>
      <c r="U31" s="64"/>
      <c r="V31" s="63"/>
      <c r="BG31" s="64"/>
    </row>
    <row r="32" spans="1:59" s="91" customFormat="1" ht="36.75" customHeight="1" x14ac:dyDescent="0.2">
      <c r="A32" s="88"/>
      <c r="B32" s="89" t="s">
        <v>15</v>
      </c>
      <c r="C32" s="90" t="s">
        <v>68</v>
      </c>
      <c r="D32" s="90" t="s">
        <v>66</v>
      </c>
      <c r="E32" s="90" t="s">
        <v>69</v>
      </c>
      <c r="F32" s="90" t="s">
        <v>67</v>
      </c>
      <c r="G32" s="90" t="s">
        <v>74</v>
      </c>
      <c r="H32" s="90" t="s">
        <v>75</v>
      </c>
      <c r="V32" s="88"/>
      <c r="BG32" s="92"/>
    </row>
    <row r="33" spans="1:59" x14ac:dyDescent="0.2">
      <c r="A33" s="63"/>
      <c r="B33" s="12" t="str">
        <f>C28&amp;1</f>
        <v>Larg pales1</v>
      </c>
      <c r="C33" s="122">
        <f>AVERAGE(J20:J23)</f>
        <v>4.835</v>
      </c>
      <c r="D33" s="122">
        <f>C33-$J$28</f>
        <v>-6.5699999999999994</v>
      </c>
      <c r="E33" s="9">
        <f>AVERAGE(Q20:Q23)</f>
        <v>0.53779109595504704</v>
      </c>
      <c r="F33" s="9">
        <f>E33-$Q$28</f>
        <v>-2.2687810274522029</v>
      </c>
      <c r="G33" s="9">
        <f>AVERAGE(R20:R23)</f>
        <v>30.12575</v>
      </c>
      <c r="H33" s="9">
        <f>G33-$R$28</f>
        <v>-14.356249999999985</v>
      </c>
      <c r="V33" s="63"/>
      <c r="BG33" s="64"/>
    </row>
    <row r="34" spans="1:59" x14ac:dyDescent="0.2">
      <c r="A34" s="63"/>
      <c r="B34" s="12" t="str">
        <f>C28&amp;2</f>
        <v>Larg pales2</v>
      </c>
      <c r="C34" s="122">
        <f>AVERAGE(J24:J27)</f>
        <v>17.975000000000001</v>
      </c>
      <c r="D34" s="122">
        <f>C34-$J$28</f>
        <v>6.5700000000000021</v>
      </c>
      <c r="E34" s="9">
        <f>AVERAGE(Q24:Q27)</f>
        <v>5.0753531508594527</v>
      </c>
      <c r="F34" s="9">
        <f>E34-$Q$28</f>
        <v>2.2687810274522029</v>
      </c>
      <c r="G34" s="9">
        <f>AVERAGE(R24:R27)</f>
        <v>58.838249999999974</v>
      </c>
      <c r="H34" s="9">
        <f>G34-$R$28</f>
        <v>14.356249999999989</v>
      </c>
      <c r="V34" s="63"/>
      <c r="BG34" s="64"/>
    </row>
    <row r="35" spans="1:59" x14ac:dyDescent="0.2">
      <c r="A35" s="63"/>
      <c r="B35" s="11"/>
      <c r="C35" s="47"/>
      <c r="D35" s="109"/>
      <c r="E35" s="14"/>
      <c r="F35" s="14"/>
      <c r="G35" s="14"/>
      <c r="H35" s="14"/>
      <c r="V35" s="63"/>
      <c r="BG35" s="64"/>
    </row>
    <row r="36" spans="1:59" x14ac:dyDescent="0.2">
      <c r="A36" s="63"/>
      <c r="B36" s="12" t="str">
        <f>D28&amp;1</f>
        <v>Long pales1</v>
      </c>
      <c r="C36" s="122">
        <f>AVERAGE(J20,J21,J24,J25)</f>
        <v>15.744999999999999</v>
      </c>
      <c r="D36" s="122">
        <f>C36-$J$28</f>
        <v>4.34</v>
      </c>
      <c r="E36" s="9">
        <f>AVERAGE(Q20,Q21,Q24,Q25)</f>
        <v>7.0602882037242045</v>
      </c>
      <c r="F36" s="9">
        <f>E36-$Q$28</f>
        <v>4.2537160803169547</v>
      </c>
      <c r="G36" s="9">
        <f>AVERAGE(R20,R21,R24,R25)</f>
        <v>34.70949999999997</v>
      </c>
      <c r="H36" s="9">
        <f>G36-$R$28</f>
        <v>-9.7725000000000151</v>
      </c>
      <c r="V36" s="63"/>
      <c r="BG36" s="64"/>
    </row>
    <row r="37" spans="1:59" x14ac:dyDescent="0.2">
      <c r="A37" s="63"/>
      <c r="B37" s="12" t="str">
        <f>D28&amp;2</f>
        <v>Long pales2</v>
      </c>
      <c r="C37" s="122">
        <f>AVERAGE(J22,J23,J26,J27)</f>
        <v>7.0649999999999995</v>
      </c>
      <c r="D37" s="122">
        <f>C37-$J$28</f>
        <v>-4.34</v>
      </c>
      <c r="E37" s="9">
        <f>AVERAGE(Q22,Q23,Q26,Q27)</f>
        <v>-1.4471439569097049</v>
      </c>
      <c r="F37" s="9">
        <f>E37-$Q$28</f>
        <v>-4.2537160803169547</v>
      </c>
      <c r="G37" s="9">
        <f>AVERAGE(R22,R23,R26,R27)</f>
        <v>54.254500000000007</v>
      </c>
      <c r="H37" s="9">
        <f>G37-$R$28</f>
        <v>9.7725000000000222</v>
      </c>
      <c r="V37" s="63"/>
      <c r="BG37" s="64"/>
    </row>
    <row r="38" spans="1:59" x14ac:dyDescent="0.2">
      <c r="A38" s="63"/>
      <c r="B38" s="11"/>
      <c r="C38" s="47"/>
      <c r="D38" s="109"/>
      <c r="E38" s="13"/>
      <c r="F38" s="14"/>
      <c r="G38" s="13"/>
      <c r="H38" s="14"/>
      <c r="V38" s="63"/>
      <c r="BG38" s="64"/>
    </row>
    <row r="39" spans="1:59" x14ac:dyDescent="0.2">
      <c r="A39" s="63"/>
      <c r="B39" s="12" t="str">
        <f>E28&amp;1</f>
        <v>Larg fuselage1</v>
      </c>
      <c r="C39" s="122">
        <f>AVERAGE(J20,J21,J26,J27)</f>
        <v>5.0500000000000007</v>
      </c>
      <c r="D39" s="122">
        <f>C39-$J$28</f>
        <v>-6.3549999999999986</v>
      </c>
      <c r="E39" s="9">
        <f>AVERAGE(Q20,Q21,Q26,Q27)</f>
        <v>1.3034744114133359</v>
      </c>
      <c r="F39" s="9">
        <f>E39-$Q$28</f>
        <v>-1.503097711993914</v>
      </c>
      <c r="G39" s="9">
        <f>AVERAGE(R20,R21,R26,R27)</f>
        <v>27.757750000000005</v>
      </c>
      <c r="H39" s="9">
        <f>G39-$R$28</f>
        <v>-16.72424999999998</v>
      </c>
      <c r="V39" s="63"/>
      <c r="BG39" s="64"/>
    </row>
    <row r="40" spans="1:59" x14ac:dyDescent="0.2">
      <c r="A40" s="63"/>
      <c r="B40" s="12" t="str">
        <f>E28&amp;2</f>
        <v>Larg fuselage2</v>
      </c>
      <c r="C40" s="122">
        <f>AVERAGE(J22:J25)</f>
        <v>17.759999999999998</v>
      </c>
      <c r="D40" s="122">
        <f>C40-$J$28</f>
        <v>6.3549999999999986</v>
      </c>
      <c r="E40" s="9">
        <f>AVERAGE(Q22:Q25)</f>
        <v>4.3096698354011629</v>
      </c>
      <c r="F40" s="9">
        <f>E40-$Q$28</f>
        <v>1.5030977119939131</v>
      </c>
      <c r="G40" s="9">
        <f>AVERAGE(R22:R25)</f>
        <v>61.206249999999969</v>
      </c>
      <c r="H40" s="9">
        <f>G40-$R$28</f>
        <v>16.724249999999984</v>
      </c>
      <c r="V40" s="63"/>
      <c r="BG40" s="64"/>
    </row>
    <row r="41" spans="1:59" x14ac:dyDescent="0.2">
      <c r="A41" s="63"/>
      <c r="B41" s="11"/>
      <c r="C41" s="47"/>
      <c r="D41" s="109"/>
      <c r="E41" s="13"/>
      <c r="F41" s="14"/>
      <c r="G41" s="13"/>
      <c r="H41" s="14"/>
      <c r="V41" s="63"/>
      <c r="BG41" s="64"/>
    </row>
    <row r="42" spans="1:59" x14ac:dyDescent="0.2">
      <c r="A42" s="63"/>
      <c r="B42" s="12" t="str">
        <f>F28&amp;1</f>
        <v>Long fuselage1</v>
      </c>
      <c r="C42" s="122">
        <f>AVERAGE(J20,J22,J24,J26)</f>
        <v>18.484999999999999</v>
      </c>
      <c r="D42" s="122">
        <f>C42-$J$28</f>
        <v>7.08</v>
      </c>
      <c r="E42" s="9">
        <f>AVERAGE(Q20,Q22,Q24,Q26)</f>
        <v>3.4620494630211973</v>
      </c>
      <c r="F42" s="9">
        <f>E42-$Q$28</f>
        <v>0.6554773396139475</v>
      </c>
      <c r="G42" s="9">
        <f>AVERAGE(R20,R22,R24,R26)</f>
        <v>68.901249999999976</v>
      </c>
      <c r="H42" s="9">
        <f>G42-$R$28</f>
        <v>24.419249999999991</v>
      </c>
      <c r="V42" s="63"/>
      <c r="BG42" s="64"/>
    </row>
    <row r="43" spans="1:59" x14ac:dyDescent="0.2">
      <c r="A43" s="63"/>
      <c r="B43" s="12" t="str">
        <f>F28&amp;2</f>
        <v>Long fuselage2</v>
      </c>
      <c r="C43" s="122">
        <f>AVERAGE(J21,J23,J25,J27)</f>
        <v>4.3250000000000002</v>
      </c>
      <c r="D43" s="122">
        <f>C43-$J$28</f>
        <v>-7.0799999999999992</v>
      </c>
      <c r="E43" s="9">
        <f>AVERAGE(Q21,Q23,Q25,Q27)</f>
        <v>2.1510947837933014</v>
      </c>
      <c r="F43" s="9">
        <f>E43-$Q$28</f>
        <v>-0.65547733961394838</v>
      </c>
      <c r="G43" s="9">
        <f>AVERAGE(R21,R23,R25,R27)</f>
        <v>20.062750000000001</v>
      </c>
      <c r="H43" s="9">
        <f>G43-$R$28</f>
        <v>-24.419249999999984</v>
      </c>
      <c r="V43" s="63"/>
      <c r="BG43" s="64"/>
    </row>
    <row r="44" spans="1:59" x14ac:dyDescent="0.2">
      <c r="A44" s="63"/>
      <c r="B44" s="11"/>
      <c r="C44" s="47"/>
      <c r="D44" s="109"/>
      <c r="E44" s="13"/>
      <c r="F44" s="14"/>
      <c r="G44" s="13"/>
      <c r="H44" s="14"/>
      <c r="V44" s="63"/>
      <c r="BG44" s="64"/>
    </row>
    <row r="45" spans="1:59" x14ac:dyDescent="0.2">
      <c r="A45" s="63"/>
      <c r="B45" s="12" t="str">
        <f>G28&amp;1</f>
        <v>inclinaison pales1</v>
      </c>
      <c r="C45" s="122">
        <f>AVERAGE(J20,J22,J25,J27)</f>
        <v>4.49</v>
      </c>
      <c r="D45" s="122">
        <f>C45-$J$28</f>
        <v>-6.9149999999999991</v>
      </c>
      <c r="E45" s="9">
        <f>AVERAGE(Q20,Q22,Q25,Q27)</f>
        <v>1.692625400375436</v>
      </c>
      <c r="F45" s="9">
        <f>E45-$Q$28</f>
        <v>-1.1139467230318139</v>
      </c>
      <c r="G45" s="9">
        <f>AVERAGE(R20,R22,R25,R27)</f>
        <v>21.861999999999998</v>
      </c>
      <c r="H45" s="9">
        <f>G45-$R$28</f>
        <v>-22.619999999999987</v>
      </c>
      <c r="V45" s="63"/>
      <c r="BG45" s="64"/>
    </row>
    <row r="46" spans="1:59" x14ac:dyDescent="0.2">
      <c r="A46" s="63"/>
      <c r="B46" s="12" t="str">
        <f>G28&amp;2</f>
        <v>inclinaison pales2</v>
      </c>
      <c r="C46" s="122">
        <f>+AVERAGE(J21,J23,J24,J26)</f>
        <v>18.319999999999997</v>
      </c>
      <c r="D46" s="122">
        <f>C46-$J$28</f>
        <v>6.9149999999999974</v>
      </c>
      <c r="E46" s="9">
        <f>+AVERAGE(Q21,Q23,Q24,Q26)</f>
        <v>3.9205188464390637</v>
      </c>
      <c r="F46" s="9">
        <f>E46-$Q$28</f>
        <v>1.1139467230318139</v>
      </c>
      <c r="G46" s="9">
        <f>+AVERAGE(R21,R23,R24,R26)</f>
        <v>67.101999999999975</v>
      </c>
      <c r="H46" s="9">
        <f>G46-$R$28</f>
        <v>22.61999999999999</v>
      </c>
      <c r="V46" s="63"/>
      <c r="BG46" s="64"/>
    </row>
    <row r="47" spans="1:59" x14ac:dyDescent="0.2">
      <c r="A47" s="63"/>
      <c r="B47" s="11"/>
      <c r="C47" s="47"/>
      <c r="D47" s="109"/>
      <c r="E47" s="13"/>
      <c r="F47" s="14"/>
      <c r="G47" s="13"/>
      <c r="H47" s="14"/>
      <c r="V47" s="63"/>
      <c r="BG47" s="64"/>
    </row>
    <row r="48" spans="1:59" x14ac:dyDescent="0.2">
      <c r="A48" s="63"/>
      <c r="B48" s="12" t="str">
        <f>H28&amp;1</f>
        <v>Nbre trombones1</v>
      </c>
      <c r="C48" s="122">
        <f>AVERAGE(J20,J23,J24,J27)</f>
        <v>17.52</v>
      </c>
      <c r="D48" s="122">
        <f>C48-$J$28</f>
        <v>6.1150000000000002</v>
      </c>
      <c r="E48" s="9">
        <f>AVERAGE(Q20,Q23,Q24,Q27)</f>
        <v>3.8691416183081295</v>
      </c>
      <c r="F48" s="9">
        <f>E48-$Q$28</f>
        <v>1.0625694949008797</v>
      </c>
      <c r="G48" s="9">
        <f>AVERAGE(R20,R23,R24,R27)</f>
        <v>53.241749999999968</v>
      </c>
      <c r="H48" s="9">
        <f>G48-$R$28</f>
        <v>8.7597499999999826</v>
      </c>
      <c r="V48" s="63"/>
      <c r="BG48" s="64"/>
    </row>
    <row r="49" spans="1:59" x14ac:dyDescent="0.2">
      <c r="A49" s="63"/>
      <c r="B49" s="12" t="str">
        <f>H28&amp;2</f>
        <v>Nbre trombones2</v>
      </c>
      <c r="C49" s="122">
        <f>AVERAGE(J21,J22,J25,J26)</f>
        <v>5.29</v>
      </c>
      <c r="D49" s="122">
        <f>C49-$J$28</f>
        <v>-6.1149999999999993</v>
      </c>
      <c r="E49" s="9">
        <f>AVERAGE(Q21,Q22,Q25,Q26)</f>
        <v>1.7440026285063692</v>
      </c>
      <c r="F49" s="9">
        <f>E49-$Q$28</f>
        <v>-1.0625694949008806</v>
      </c>
      <c r="G49" s="9">
        <f>AVERAGE(R21,R22,R25,R26)</f>
        <v>35.722250000000003</v>
      </c>
      <c r="H49" s="9">
        <f>G49-$R$28</f>
        <v>-8.7597499999999826</v>
      </c>
      <c r="V49" s="63"/>
      <c r="BG49" s="64"/>
    </row>
    <row r="50" spans="1:59" x14ac:dyDescent="0.2">
      <c r="A50" s="63"/>
      <c r="B50" s="11"/>
      <c r="C50" s="47"/>
      <c r="D50" s="109"/>
      <c r="E50" s="13"/>
      <c r="F50" s="14"/>
      <c r="G50" s="13"/>
      <c r="H50" s="14"/>
      <c r="V50" s="63"/>
      <c r="BG50" s="64"/>
    </row>
    <row r="51" spans="1:59" x14ac:dyDescent="0.2">
      <c r="A51" s="63"/>
      <c r="B51" s="12" t="str">
        <f>I28&amp;1</f>
        <v>1</v>
      </c>
      <c r="C51" s="122">
        <f>AVERAGE(J20,J23,J25,J26)</f>
        <v>6.4049999999999994</v>
      </c>
      <c r="D51" s="122">
        <f>C51-$J$28</f>
        <v>-5</v>
      </c>
      <c r="E51" s="9">
        <f>AVERAGE(Q20,Q23,Q25,Q26)</f>
        <v>3.0277547846660728</v>
      </c>
      <c r="F51" s="9">
        <f>E51-$Q$28</f>
        <v>0.22118266125882302</v>
      </c>
      <c r="G51" s="9">
        <f>AVERAGE(R20,R23,R25,R26)</f>
        <v>36.344000000000008</v>
      </c>
      <c r="H51" s="9">
        <f>G51-$R$28</f>
        <v>-8.1379999999999768</v>
      </c>
      <c r="V51" s="63"/>
      <c r="BG51" s="64"/>
    </row>
    <row r="52" spans="1:59" x14ac:dyDescent="0.2">
      <c r="A52" s="63"/>
      <c r="B52" s="12" t="str">
        <f>I28&amp;2</f>
        <v>2</v>
      </c>
      <c r="C52" s="122">
        <f>AVERAGE(J21,J22,J24,J27)</f>
        <v>16.404999999999998</v>
      </c>
      <c r="D52" s="122">
        <f>C52-$J$28</f>
        <v>4.9999999999999982</v>
      </c>
      <c r="E52" s="9">
        <f>AVERAGE(Q21,Q22,Q24,Q27)</f>
        <v>2.5853894621484264</v>
      </c>
      <c r="F52" s="9">
        <f>E52-$Q$28</f>
        <v>-0.22118266125882347</v>
      </c>
      <c r="G52" s="9">
        <f>AVERAGE(R21,R22,R24,R27)</f>
        <v>52.619999999999962</v>
      </c>
      <c r="H52" s="9">
        <f>G52-$R$28</f>
        <v>8.1379999999999768</v>
      </c>
      <c r="V52" s="63"/>
      <c r="BG52" s="64"/>
    </row>
    <row r="53" spans="1:59" x14ac:dyDescent="0.2">
      <c r="A53" s="63"/>
      <c r="U53" s="64"/>
      <c r="V53" s="63"/>
      <c r="BG53" s="64"/>
    </row>
    <row r="54" spans="1:59" x14ac:dyDescent="0.2">
      <c r="A54" s="63"/>
      <c r="B54" s="15" t="s">
        <v>16</v>
      </c>
      <c r="C54" s="16"/>
      <c r="D54" s="17">
        <f>COUNT(K20:O27)</f>
        <v>40</v>
      </c>
      <c r="U54" s="64"/>
      <c r="V54" s="63"/>
      <c r="BG54" s="64"/>
    </row>
    <row r="55" spans="1:59" x14ac:dyDescent="0.2">
      <c r="A55" s="63"/>
      <c r="U55" s="64"/>
      <c r="V55" s="63"/>
      <c r="BG55" s="64"/>
    </row>
    <row r="56" spans="1:59" ht="15.75" x14ac:dyDescent="0.25">
      <c r="A56" s="63"/>
      <c r="B56" s="19" t="s">
        <v>17</v>
      </c>
      <c r="L56" s="115" t="s">
        <v>18</v>
      </c>
      <c r="M56" s="12" t="s">
        <v>19</v>
      </c>
      <c r="N56" s="12" t="str">
        <f t="shared" ref="N56:T56" si="6">IF(ISNONTEXT(N57),"Analogique","Discret")</f>
        <v>Analogique</v>
      </c>
      <c r="O56" s="12" t="str">
        <f t="shared" si="6"/>
        <v>Analogique</v>
      </c>
      <c r="P56" s="12" t="str">
        <f t="shared" si="6"/>
        <v>Analogique</v>
      </c>
      <c r="Q56" s="12" t="str">
        <f t="shared" si="6"/>
        <v>Analogique</v>
      </c>
      <c r="R56" s="12" t="str">
        <f t="shared" si="6"/>
        <v>Analogique</v>
      </c>
      <c r="S56" s="12" t="str">
        <f t="shared" si="6"/>
        <v>Analogique</v>
      </c>
      <c r="T56" s="12" t="str">
        <f t="shared" si="6"/>
        <v>Analogique</v>
      </c>
      <c r="U56" s="64"/>
      <c r="V56" s="63"/>
      <c r="BG56" s="64"/>
    </row>
    <row r="57" spans="1:59" ht="15.75" x14ac:dyDescent="0.25">
      <c r="A57" s="65"/>
      <c r="C57" s="20"/>
      <c r="D57" s="20"/>
      <c r="M57" s="12" t="s">
        <v>2</v>
      </c>
      <c r="N57" s="12">
        <f t="shared" ref="N57:T57" si="7">IF(C7="",1,IF(ISNONTEXT(C7),C7,C7&amp;"=1"))</f>
        <v>25</v>
      </c>
      <c r="O57" s="12">
        <f t="shared" si="7"/>
        <v>60</v>
      </c>
      <c r="P57" s="12">
        <f t="shared" si="7"/>
        <v>25</v>
      </c>
      <c r="Q57" s="12">
        <f t="shared" si="7"/>
        <v>50</v>
      </c>
      <c r="R57" s="12">
        <f t="shared" si="7"/>
        <v>0</v>
      </c>
      <c r="S57" s="12">
        <f t="shared" si="7"/>
        <v>1</v>
      </c>
      <c r="T57" s="12">
        <f t="shared" si="7"/>
        <v>1</v>
      </c>
      <c r="U57" s="64"/>
      <c r="V57" s="63"/>
      <c r="BG57" s="64"/>
    </row>
    <row r="58" spans="1:59" ht="13.5" thickBot="1" x14ac:dyDescent="0.25">
      <c r="A58" s="63"/>
      <c r="D58" s="3" t="s">
        <v>20</v>
      </c>
      <c r="E58" s="3" t="s">
        <v>21</v>
      </c>
      <c r="F58" s="3" t="s">
        <v>22</v>
      </c>
      <c r="G58" s="3" t="s">
        <v>23</v>
      </c>
      <c r="H58" s="3" t="s">
        <v>24</v>
      </c>
      <c r="I58" s="3" t="s">
        <v>25</v>
      </c>
      <c r="J58" s="3" t="s">
        <v>26</v>
      </c>
      <c r="K58" s="3" t="s">
        <v>27</v>
      </c>
      <c r="M58" s="12" t="s">
        <v>4</v>
      </c>
      <c r="N58" s="18">
        <f t="shared" ref="N58:T58" si="8">IF(C8="",2,IF(ISNONTEXT(C8),C8,C8&amp;"=2"))</f>
        <v>60</v>
      </c>
      <c r="O58" s="18">
        <f t="shared" si="8"/>
        <v>100</v>
      </c>
      <c r="P58" s="18">
        <f t="shared" si="8"/>
        <v>40</v>
      </c>
      <c r="Q58" s="18">
        <f t="shared" si="8"/>
        <v>100</v>
      </c>
      <c r="R58" s="18">
        <f t="shared" si="8"/>
        <v>10</v>
      </c>
      <c r="S58" s="18">
        <f t="shared" si="8"/>
        <v>2</v>
      </c>
      <c r="T58" s="18">
        <f t="shared" si="8"/>
        <v>2</v>
      </c>
      <c r="U58" s="64"/>
      <c r="V58" s="63"/>
      <c r="BG58" s="64"/>
    </row>
    <row r="59" spans="1:59" x14ac:dyDescent="0.2">
      <c r="A59" s="63"/>
      <c r="B59" s="3">
        <v>1</v>
      </c>
      <c r="C59" s="3" t="str">
        <f>C28</f>
        <v>Larg pales</v>
      </c>
      <c r="D59" s="40" t="s">
        <v>28</v>
      </c>
      <c r="E59" s="109">
        <f>IF(D59="o",$D$54*D33^2,"")</f>
        <v>1726.5959999999995</v>
      </c>
      <c r="F59" s="110">
        <f t="shared" ref="F59:F65" si="9">IF(D59="o",1,"")</f>
        <v>1</v>
      </c>
      <c r="G59" s="109">
        <f t="shared" ref="G59:G65" si="10">IF(D59="o",E59/F59,"")</f>
        <v>1726.5959999999995</v>
      </c>
      <c r="H59" s="109">
        <f>IF($F$66&lt;=0,"",IF(D59="o",G59/$G$66))</f>
        <v>38.815610808866424</v>
      </c>
      <c r="I59" s="111">
        <f>IF($F$66&lt;=0,"",IF(D59="o",FDIST(H59,F59,$F$66),""))</f>
        <v>5.583154814077794E-7</v>
      </c>
      <c r="J59" s="110" t="str">
        <f>IF($F$66&lt;=0,"",IF(H59&gt;FINV(0.05,F59,$F$66),"oui","non"))</f>
        <v>oui</v>
      </c>
      <c r="K59" s="112">
        <f>IF(D59="o",E59/$E$67,"")</f>
        <v>0.1446986300026675</v>
      </c>
      <c r="M59" s="11"/>
      <c r="N59" s="3">
        <v>1</v>
      </c>
      <c r="O59" s="3">
        <v>2</v>
      </c>
      <c r="P59" s="3">
        <v>3</v>
      </c>
      <c r="Q59" s="3">
        <v>4</v>
      </c>
      <c r="R59" s="3">
        <v>5</v>
      </c>
      <c r="S59" s="3">
        <v>6</v>
      </c>
      <c r="T59" s="3">
        <v>7</v>
      </c>
      <c r="U59" s="64"/>
      <c r="V59" s="63"/>
      <c r="AB59" s="12" t="s">
        <v>29</v>
      </c>
      <c r="AC59" s="41">
        <f>IF($D$9="",0,MIN(X80:Y81))</f>
        <v>0</v>
      </c>
      <c r="AD59" s="41">
        <f>IF($E$9="",0,MIN(AA80:AB81))</f>
        <v>0</v>
      </c>
      <c r="AE59" s="41">
        <f>IF($F$9="",0,MIN(AD80:AE81))</f>
        <v>0</v>
      </c>
      <c r="AF59" s="41">
        <f>IF($G$9="",0,MIN(AG80:AH81))</f>
        <v>0</v>
      </c>
      <c r="AG59" s="41">
        <f>IF($H$9="",0,MIN(AJ80:AK81))</f>
        <v>0</v>
      </c>
      <c r="AH59" s="41">
        <f>IF($I$9="",0,MIN(AM80:AN81))</f>
        <v>0</v>
      </c>
      <c r="BG59" s="64"/>
    </row>
    <row r="60" spans="1:59" x14ac:dyDescent="0.2">
      <c r="A60" s="63"/>
      <c r="B60" s="3">
        <v>2</v>
      </c>
      <c r="C60" s="3" t="str">
        <f>D28</f>
        <v>Long pales</v>
      </c>
      <c r="D60" s="81" t="s">
        <v>28</v>
      </c>
      <c r="E60" s="109">
        <f>IF(D60="o",$D$54*D36^2,"")</f>
        <v>753.42399999999998</v>
      </c>
      <c r="F60" s="110">
        <f t="shared" si="9"/>
        <v>1</v>
      </c>
      <c r="G60" s="109">
        <f t="shared" si="10"/>
        <v>753.42399999999998</v>
      </c>
      <c r="H60" s="109">
        <f t="shared" ref="H60:H65" si="11">IF($F$66&lt;=0,"",IF(D60="o",G60/$G$66))</f>
        <v>16.937727620160931</v>
      </c>
      <c r="I60" s="111">
        <f t="shared" ref="I60:I65" si="12">IF($F$66&lt;=0,"",IF(D60="o",FDIST(H60,F60,$F$66),""))</f>
        <v>2.5286360076649171E-4</v>
      </c>
      <c r="J60" s="110" t="str">
        <f t="shared" ref="J60:J65" si="13">IF($F$66&lt;=0,"",IF(H60&gt;FINV(0.05,F60,$F$66),"oui","non"))</f>
        <v>oui</v>
      </c>
      <c r="K60" s="112">
        <f t="shared" ref="K60:K65" si="14">IF(D60="o",E60/$E$67,"")</f>
        <v>6.3141244744647718E-2</v>
      </c>
      <c r="M60" s="11"/>
      <c r="N60" s="3" t="str">
        <f t="shared" ref="N60:T60" si="15">C28</f>
        <v>Larg pales</v>
      </c>
      <c r="O60" s="3" t="str">
        <f t="shared" si="15"/>
        <v>Long pales</v>
      </c>
      <c r="P60" s="3" t="str">
        <f t="shared" si="15"/>
        <v>Larg fuselage</v>
      </c>
      <c r="Q60" s="3" t="str">
        <f t="shared" si="15"/>
        <v>Long fuselage</v>
      </c>
      <c r="R60" s="3" t="str">
        <f t="shared" si="15"/>
        <v>inclinaison pales</v>
      </c>
      <c r="S60" s="3" t="str">
        <f t="shared" si="15"/>
        <v>Nbre trombones</v>
      </c>
      <c r="T60" s="3" t="str">
        <f t="shared" si="15"/>
        <v/>
      </c>
      <c r="U60" s="64"/>
      <c r="V60" s="63"/>
      <c r="AB60" s="12" t="s">
        <v>30</v>
      </c>
      <c r="AC60" s="41">
        <f>IF($D$9="",1,MAX(X80:Y81))</f>
        <v>1</v>
      </c>
      <c r="AD60" s="41">
        <f>IF($E$9="",1,MAX(AA80:AB81))</f>
        <v>1</v>
      </c>
      <c r="AE60" s="41">
        <f>IF($F$9="",1,MAX(AD80:AE81))</f>
        <v>1</v>
      </c>
      <c r="AF60" s="41">
        <f>IF($G$9="",1,MAX(AG80:AH81))</f>
        <v>1</v>
      </c>
      <c r="AG60" s="41">
        <f>IF($H$9="",1,MAX(AJ80:AK81))</f>
        <v>1</v>
      </c>
      <c r="AH60" s="41">
        <f>IF($I$9="",1,MAX(AM80:AN81))</f>
        <v>1</v>
      </c>
      <c r="BG60" s="64"/>
    </row>
    <row r="61" spans="1:59" x14ac:dyDescent="0.2">
      <c r="A61" s="63"/>
      <c r="B61" s="3">
        <v>3</v>
      </c>
      <c r="C61" s="3" t="str">
        <f>E28</f>
        <v>Larg fuselage</v>
      </c>
      <c r="D61" s="40" t="s">
        <v>28</v>
      </c>
      <c r="E61" s="109">
        <f>IF(D61="o",$D$54*D39^2,"")</f>
        <v>1615.4409999999993</v>
      </c>
      <c r="F61" s="110">
        <f t="shared" si="9"/>
        <v>1</v>
      </c>
      <c r="G61" s="109">
        <f t="shared" si="10"/>
        <v>1615.4409999999993</v>
      </c>
      <c r="H61" s="109">
        <f t="shared" si="11"/>
        <v>36.316734859044026</v>
      </c>
      <c r="I61" s="111">
        <f t="shared" si="12"/>
        <v>1.0057906456562773E-6</v>
      </c>
      <c r="J61" s="110" t="str">
        <f t="shared" si="13"/>
        <v>oui</v>
      </c>
      <c r="K61" s="112">
        <f t="shared" si="14"/>
        <v>0.13538320461192957</v>
      </c>
      <c r="M61" s="3" t="s">
        <v>2</v>
      </c>
      <c r="N61" s="12">
        <f t="shared" ref="N61:T61" si="16">IF(ISNONTEXT(N57),N57,1)</f>
        <v>25</v>
      </c>
      <c r="O61" s="12">
        <f t="shared" si="16"/>
        <v>60</v>
      </c>
      <c r="P61" s="12">
        <f t="shared" si="16"/>
        <v>25</v>
      </c>
      <c r="Q61" s="12">
        <f t="shared" si="16"/>
        <v>50</v>
      </c>
      <c r="R61" s="12">
        <f t="shared" si="16"/>
        <v>0</v>
      </c>
      <c r="S61" s="12">
        <f t="shared" si="16"/>
        <v>1</v>
      </c>
      <c r="T61" s="12">
        <f t="shared" si="16"/>
        <v>1</v>
      </c>
      <c r="U61" s="64"/>
      <c r="V61" s="63"/>
      <c r="BG61" s="64"/>
    </row>
    <row r="62" spans="1:59" x14ac:dyDescent="0.2">
      <c r="A62" s="63"/>
      <c r="B62" s="3">
        <v>4</v>
      </c>
      <c r="C62" s="3" t="str">
        <f>F28</f>
        <v>Long fuselage</v>
      </c>
      <c r="D62" s="40" t="s">
        <v>28</v>
      </c>
      <c r="E62" s="109">
        <f>IF(D62="o",$D$54*D42^2,"")</f>
        <v>2005.056</v>
      </c>
      <c r="F62" s="110">
        <f t="shared" si="9"/>
        <v>1</v>
      </c>
      <c r="G62" s="109">
        <f t="shared" si="10"/>
        <v>2005.056</v>
      </c>
      <c r="H62" s="109">
        <f t="shared" si="11"/>
        <v>45.075671057955944</v>
      </c>
      <c r="I62" s="111">
        <f t="shared" si="12"/>
        <v>1.398043868088271E-7</v>
      </c>
      <c r="J62" s="110" t="str">
        <f t="shared" si="13"/>
        <v>oui</v>
      </c>
      <c r="K62" s="112">
        <f t="shared" si="14"/>
        <v>0.16803517225722089</v>
      </c>
      <c r="M62" s="3" t="s">
        <v>4</v>
      </c>
      <c r="N62" s="12">
        <f t="shared" ref="N62:T62" si="17">IF(ISNONTEXT(N58),N58,2)</f>
        <v>60</v>
      </c>
      <c r="O62" s="12">
        <f t="shared" si="17"/>
        <v>100</v>
      </c>
      <c r="P62" s="12">
        <f t="shared" si="17"/>
        <v>40</v>
      </c>
      <c r="Q62" s="12">
        <f t="shared" si="17"/>
        <v>100</v>
      </c>
      <c r="R62" s="12">
        <f t="shared" si="17"/>
        <v>10</v>
      </c>
      <c r="S62" s="12">
        <f t="shared" si="17"/>
        <v>2</v>
      </c>
      <c r="T62" s="12">
        <f t="shared" si="17"/>
        <v>2</v>
      </c>
      <c r="U62" s="64"/>
      <c r="V62" s="63"/>
      <c r="AD62" s="41">
        <f>IF($E$10="",0,MIN(AA84:AB85))</f>
        <v>0</v>
      </c>
      <c r="AE62" s="41">
        <f>IF($F$10="",0,MIN(AD84:AE85))</f>
        <v>0</v>
      </c>
      <c r="AF62" s="41">
        <f>IF($G$10="",0,MIN(AG84:AH85))</f>
        <v>0</v>
      </c>
      <c r="AG62" s="41">
        <f>IF($H$10="",0,MIN(AJ84:AK85))</f>
        <v>0</v>
      </c>
      <c r="AH62" s="41">
        <f>IF($I$10="",0,MIN(AM84:AN85))</f>
        <v>0</v>
      </c>
      <c r="BG62" s="64"/>
    </row>
    <row r="63" spans="1:59" x14ac:dyDescent="0.2">
      <c r="A63" s="63"/>
      <c r="B63" s="3">
        <v>5</v>
      </c>
      <c r="C63" s="3" t="str">
        <f>G28</f>
        <v>inclinaison pales</v>
      </c>
      <c r="D63" s="40" t="s">
        <v>28</v>
      </c>
      <c r="E63" s="109">
        <f>IF(D63="o",$D$54*D45^2,"")</f>
        <v>1912.6889999999994</v>
      </c>
      <c r="F63" s="110">
        <f t="shared" si="9"/>
        <v>1</v>
      </c>
      <c r="G63" s="109">
        <f t="shared" si="10"/>
        <v>1912.6889999999994</v>
      </c>
      <c r="H63" s="109">
        <f t="shared" si="11"/>
        <v>42.999168202868482</v>
      </c>
      <c r="I63" s="111">
        <f t="shared" si="12"/>
        <v>2.1837648848225669E-7</v>
      </c>
      <c r="J63" s="110" t="str">
        <f t="shared" si="13"/>
        <v>oui</v>
      </c>
      <c r="K63" s="112">
        <f t="shared" si="14"/>
        <v>0.16029428883257699</v>
      </c>
      <c r="M63" s="3" t="s">
        <v>31</v>
      </c>
      <c r="N63" s="40"/>
      <c r="O63" s="40"/>
      <c r="P63" s="40"/>
      <c r="Q63" s="40"/>
      <c r="R63" s="40"/>
      <c r="S63" s="40"/>
      <c r="T63" s="40"/>
      <c r="U63" s="64"/>
      <c r="V63" s="63"/>
      <c r="AD63" s="41">
        <f>IF($E$10="",1,MAX(AA84:AB85))</f>
        <v>1</v>
      </c>
      <c r="AE63" s="41">
        <f>IF($F$10="",1,MAX(AD84:AE85))</f>
        <v>1</v>
      </c>
      <c r="AF63" s="41">
        <f>IF($G$10="",1,MAX(AG84:AH85))</f>
        <v>1</v>
      </c>
      <c r="AG63" s="41">
        <f>IF($H$10="",1,MAX(AJ84:AK85))</f>
        <v>1</v>
      </c>
      <c r="AH63" s="41">
        <f>IF($I$10="",1,MAX(AM84:AN85))</f>
        <v>1</v>
      </c>
      <c r="BG63" s="64"/>
    </row>
    <row r="64" spans="1:59" x14ac:dyDescent="0.2">
      <c r="A64" s="63"/>
      <c r="B64" s="3">
        <v>6</v>
      </c>
      <c r="C64" s="3" t="str">
        <f>H28</f>
        <v>Nbre trombones</v>
      </c>
      <c r="D64" s="40" t="s">
        <v>28</v>
      </c>
      <c r="E64" s="109">
        <f>IF(D64="o",$D$54*D48^2,"")</f>
        <v>1495.729</v>
      </c>
      <c r="F64" s="110">
        <f t="shared" si="9"/>
        <v>1</v>
      </c>
      <c r="G64" s="109">
        <f t="shared" si="10"/>
        <v>1495.729</v>
      </c>
      <c r="H64" s="109">
        <f t="shared" si="11"/>
        <v>33.625488961827195</v>
      </c>
      <c r="I64" s="111">
        <f t="shared" si="12"/>
        <v>1.945217574356877E-6</v>
      </c>
      <c r="J64" s="110" t="str">
        <f t="shared" si="13"/>
        <v>oui</v>
      </c>
      <c r="K64" s="112">
        <f t="shared" si="14"/>
        <v>0.12535065363018327</v>
      </c>
      <c r="M64" s="3" t="s">
        <v>84</v>
      </c>
      <c r="N64" s="9" t="str">
        <f>IF(AND(N65="",N63=""),"",IF(N65="",2*((N63-(N61+N62)/2)/(N62-N61)),-N65))</f>
        <v/>
      </c>
      <c r="O64" s="9" t="str">
        <f t="shared" ref="O64:T64" si="18">IF(AND(O65="",O63=""),"",IF(O65="",2*((O63-(O61+O62)/2)/(O62-O61)),-O65))</f>
        <v/>
      </c>
      <c r="P64" s="9" t="str">
        <f t="shared" si="18"/>
        <v/>
      </c>
      <c r="Q64" s="9" t="str">
        <f t="shared" si="18"/>
        <v/>
      </c>
      <c r="R64" s="9" t="str">
        <f t="shared" si="18"/>
        <v/>
      </c>
      <c r="S64" s="9" t="str">
        <f t="shared" si="18"/>
        <v/>
      </c>
      <c r="T64" s="9" t="str">
        <f t="shared" si="18"/>
        <v/>
      </c>
      <c r="U64" s="64"/>
      <c r="V64" s="63"/>
      <c r="BG64" s="64"/>
    </row>
    <row r="65" spans="1:59" x14ac:dyDescent="0.2">
      <c r="A65" s="63"/>
      <c r="B65" s="3">
        <v>7</v>
      </c>
      <c r="C65" s="3" t="str">
        <f>I28</f>
        <v/>
      </c>
      <c r="D65" s="81" t="s">
        <v>28</v>
      </c>
      <c r="E65" s="109">
        <f>IF(D65="o",$D$54*D51^2,"")</f>
        <v>1000</v>
      </c>
      <c r="F65" s="110">
        <f t="shared" si="9"/>
        <v>1</v>
      </c>
      <c r="G65" s="109">
        <f t="shared" si="10"/>
        <v>1000</v>
      </c>
      <c r="H65" s="109">
        <f t="shared" si="11"/>
        <v>22.481003551998519</v>
      </c>
      <c r="I65" s="111">
        <f t="shared" si="12"/>
        <v>4.2072502992791169E-5</v>
      </c>
      <c r="J65" s="110" t="str">
        <f t="shared" si="13"/>
        <v>oui</v>
      </c>
      <c r="K65" s="112">
        <f t="shared" si="14"/>
        <v>8.3805725255165386E-2</v>
      </c>
      <c r="M65" s="3" t="s">
        <v>32</v>
      </c>
      <c r="N65" s="12" t="str">
        <f>IF(E10="",IF(G12="",IF(I14="","",IF(AND(S63&lt;&gt;"",T63&lt;&gt;""),S64*T64,"")),IF(AND(Q63&lt;&gt;"",R63&lt;&gt;""),Q64*R64,"")),IF(AND(O63&lt;&gt;"",P63&lt;&gt;""),O64*P64,""))</f>
        <v/>
      </c>
      <c r="O65" s="12" t="str">
        <f>IF(E9="",IF(H12="",IF(I13="","",IF(AND(R63&lt;&gt;"",T63&lt;&gt;""),T64*R64,"")),IF(AND(Q63&lt;&gt;"",S63&lt;&gt;""),Q64*S64,"")),IF(AND(P63&lt;&gt;"",N63&lt;&gt;""),P64*N64,""))</f>
        <v/>
      </c>
      <c r="P65" s="12" t="str">
        <f>IF(D9="",IF(I12="",IF(H13="","",IF(AND(R63&lt;&gt;"",R63&lt;&gt;""),R64*S64,"")),IF(AND(Q63&lt;&gt;"",T63&lt;&gt;""),Q64*T64,"")),IF(AND(N63&lt;&gt;"",O63&lt;&gt;""),N64*O64,""))</f>
        <v/>
      </c>
      <c r="Q65" s="12" t="str">
        <f>IF(G9="",IF(H10="",IF(I11="","",IF(AND(P63&lt;&gt;"",T63&lt;&gt;""),P64*T64,"")),IF(AND(O63&lt;&gt;"",S63&lt;&gt;""),O64*S64,"")),IF(AND(R63&lt;&gt;"",N63&lt;&gt;""),R64*N64,""))</f>
        <v/>
      </c>
      <c r="R65" s="12" t="str">
        <f>IF(F9="",IF(I10="",IF(H11="","",IF(AND(P63&lt;&gt;"",S63&lt;&gt;""),P64*S64,"")),IF(AND(O63&lt;&gt;"",T63&lt;&gt;""),O64*T64,"")),IF(AND(N63&lt;&gt;"",Q63&lt;&gt;""),N64*Q64,""))</f>
        <v/>
      </c>
      <c r="S65" s="12" t="str">
        <f>IF(I9="",IF(F10="",IF(G11="","",IF(AND(P63&lt;&gt;"",R63&lt;&gt;""),P64*R64,"")),IF(AND(O63&lt;&gt;"",Q63&lt;&gt;""),O64*Q64,"")),IF(AND(N63&lt;&gt;"",T63&lt;&gt;""),N64*T64,""))</f>
        <v/>
      </c>
      <c r="T65" s="12" t="str">
        <f>IF(H9="",IF(G10="",IF(F11="","",IF(AND(P63&lt;&gt;"",Q63&lt;&gt;""),#REF!*Q64,"")),IF(AND(O63&lt;&gt;"",R63&lt;&gt;""),O64*R64,"")),IF(AND(N63&lt;&gt;"",S63&lt;&gt;""),N64*S64,""))</f>
        <v/>
      </c>
      <c r="U65" s="64"/>
      <c r="V65" s="63"/>
      <c r="AE65" s="41">
        <f>IF($F$11="",0,MIN(AD88:AE89))</f>
        <v>0</v>
      </c>
      <c r="AF65" s="41">
        <f>IF($G$11="",0,MIN(AG88:AH89))</f>
        <v>0</v>
      </c>
      <c r="AG65" s="41">
        <f>IF($H$11="",0,MIN(AJ88:AK89))</f>
        <v>0</v>
      </c>
      <c r="AH65" s="41">
        <f>IF($I$11="",0,MIN(AM88:AN89))</f>
        <v>0</v>
      </c>
      <c r="BG65" s="64"/>
    </row>
    <row r="66" spans="1:59" x14ac:dyDescent="0.2">
      <c r="A66" s="63"/>
      <c r="B66" s="56"/>
      <c r="C66" s="21" t="s">
        <v>33</v>
      </c>
      <c r="D66" s="22"/>
      <c r="E66" s="109">
        <f>E67-SUM(E59:E65)</f>
        <v>1423.4240000000027</v>
      </c>
      <c r="F66" s="110">
        <f>F67-SUM(F59:F65)</f>
        <v>32</v>
      </c>
      <c r="G66" s="109">
        <f>IF(F66=0,"",(E66/F66))</f>
        <v>44.482000000000085</v>
      </c>
      <c r="I66" s="11"/>
      <c r="J66" s="11"/>
      <c r="K66" s="112">
        <f>E66/E67</f>
        <v>0.11929108066560876</v>
      </c>
      <c r="M66" s="11"/>
      <c r="N66" s="117" t="str">
        <f>IF(AND(N63="",N65=""),"",$D34*N64)</f>
        <v/>
      </c>
      <c r="O66" s="117" t="str">
        <f>IF(AND(O63="",O65=""),"",$D37*O64)</f>
        <v/>
      </c>
      <c r="P66" s="117" t="str">
        <f>IF(AND(P63="",P65=""),"",$D40*P64)</f>
        <v/>
      </c>
      <c r="Q66" s="117" t="str">
        <f>IF(AND(Q63="",Q65=""),"",$D43*Q64)</f>
        <v/>
      </c>
      <c r="R66" s="117" t="str">
        <f>IF(AND(R63="",R65=""),"",$D46*R64)</f>
        <v/>
      </c>
      <c r="S66" s="117" t="str">
        <f>IF(AND(S63="",S65=""),"",$D49*S64)</f>
        <v/>
      </c>
      <c r="T66" s="117" t="str">
        <f>IF(AND(T63="",T65=""),"",$D52*T64)</f>
        <v/>
      </c>
      <c r="U66" s="64"/>
      <c r="V66" s="63"/>
      <c r="AE66" s="41">
        <f>IF($F$11="",1,MAX(AD88:AE89))</f>
        <v>1</v>
      </c>
      <c r="AF66" s="41">
        <f>IF($G$11="",1,MAX(AG88:AH89))</f>
        <v>1</v>
      </c>
      <c r="AG66" s="41">
        <f>IF($H$11="",1,MAX(AJ88:AK89))</f>
        <v>1</v>
      </c>
      <c r="AH66" s="41">
        <f>IF($I$11="",1,MAX(AM88:AN89))</f>
        <v>1</v>
      </c>
      <c r="BG66" s="64"/>
    </row>
    <row r="67" spans="1:59" x14ac:dyDescent="0.2">
      <c r="A67" s="63"/>
      <c r="B67" s="56"/>
      <c r="C67" s="21" t="s">
        <v>34</v>
      </c>
      <c r="D67" s="22"/>
      <c r="E67" s="109">
        <f>(D54-1)*_xlfn.VAR.S(K20:O27)</f>
        <v>11932.359</v>
      </c>
      <c r="F67" s="110">
        <f>D54-1</f>
        <v>39</v>
      </c>
      <c r="G67" s="14">
        <f>(E67/F67)</f>
        <v>305.95792307692307</v>
      </c>
      <c r="I67" s="11"/>
      <c r="J67" s="11"/>
      <c r="M67" s="11"/>
      <c r="N67" s="11"/>
      <c r="O67" s="11"/>
      <c r="P67" s="11"/>
      <c r="Q67" s="11"/>
      <c r="R67" s="11"/>
      <c r="S67" s="11"/>
      <c r="T67" s="11"/>
      <c r="U67" s="64"/>
      <c r="V67" s="63"/>
      <c r="BG67" s="64"/>
    </row>
    <row r="68" spans="1:59" x14ac:dyDescent="0.2">
      <c r="A68" s="63"/>
      <c r="M68" s="15"/>
      <c r="N68" s="23" t="s">
        <v>35</v>
      </c>
      <c r="O68" s="24"/>
      <c r="P68" s="120">
        <f>SUM(N66:T66)+J28</f>
        <v>11.404999999999999</v>
      </c>
      <c r="U68" s="64"/>
      <c r="AF68" s="41">
        <f>IF($G$12="",0,MIN(AG92:AH93))</f>
        <v>0</v>
      </c>
      <c r="AG68" s="41">
        <f>IF($H$12="",0,MIN(AJ92:AK93))</f>
        <v>0</v>
      </c>
      <c r="AH68" s="41">
        <f>IF($I$12="",0,MIN(AM92:AN93))</f>
        <v>0</v>
      </c>
      <c r="BG68" s="64"/>
    </row>
    <row r="69" spans="1:59" x14ac:dyDescent="0.2">
      <c r="A69" s="63"/>
      <c r="U69" s="64"/>
      <c r="AF69" s="41">
        <f>IF($G$12="",1,MAX(AG92:AH93))</f>
        <v>1</v>
      </c>
      <c r="AG69" s="41">
        <f>IF($H$12="",1,MAX(AJ92:AK93))</f>
        <v>1</v>
      </c>
      <c r="AH69" s="41">
        <f>IF($I$12="",1,MAX(AM92:AN93))</f>
        <v>1</v>
      </c>
      <c r="BG69" s="64"/>
    </row>
    <row r="70" spans="1:59" x14ac:dyDescent="0.2">
      <c r="A70" s="63"/>
      <c r="E70" s="25"/>
      <c r="F70" s="26"/>
      <c r="G70" s="26" t="s">
        <v>36</v>
      </c>
      <c r="H70" s="26"/>
      <c r="I70" s="26"/>
      <c r="J70" s="26"/>
      <c r="K70" s="26"/>
      <c r="L70" s="73"/>
      <c r="U70" s="64"/>
      <c r="BG70" s="64"/>
    </row>
    <row r="71" spans="1:59" x14ac:dyDescent="0.2">
      <c r="A71" s="63"/>
      <c r="E71" s="27"/>
      <c r="F71" s="28"/>
      <c r="G71" s="28"/>
      <c r="H71" s="28"/>
      <c r="I71" s="28"/>
      <c r="J71" s="28"/>
      <c r="K71" s="28"/>
      <c r="L71" s="74"/>
      <c r="N71" s="11"/>
      <c r="O71" s="11"/>
      <c r="P71" s="11"/>
      <c r="Q71" s="11"/>
      <c r="R71" s="11"/>
      <c r="S71" s="11"/>
      <c r="T71" s="11"/>
      <c r="U71" s="64"/>
      <c r="AG71" s="41">
        <f>IF($H$13="",0,MIN(AJ96:AK97))</f>
        <v>0</v>
      </c>
      <c r="AH71" s="41">
        <f>IF($I$13="",0,MIN(AM96:AN97))</f>
        <v>0</v>
      </c>
      <c r="BG71" s="64"/>
    </row>
    <row r="72" spans="1:59" x14ac:dyDescent="0.2">
      <c r="A72" s="63"/>
      <c r="E72" s="29" t="s">
        <v>37</v>
      </c>
      <c r="F72" s="29" t="s">
        <v>1</v>
      </c>
      <c r="G72" s="30" t="s">
        <v>38</v>
      </c>
      <c r="H72" s="31"/>
      <c r="I72" s="31"/>
      <c r="J72" s="31"/>
      <c r="K72" s="31"/>
      <c r="L72" s="31"/>
      <c r="M72" s="76"/>
      <c r="N72" s="77"/>
      <c r="O72" s="77"/>
      <c r="P72" s="77"/>
      <c r="Q72" s="77"/>
      <c r="R72" s="77"/>
      <c r="S72" s="77"/>
      <c r="T72" s="77"/>
      <c r="U72" s="64"/>
      <c r="AG72" s="41">
        <f>IF($H$13="",1,MAX(AJ96:AK97))</f>
        <v>1</v>
      </c>
      <c r="AH72" s="41">
        <f>IF($I$13="",1,MAX(AM96:AN97))</f>
        <v>1</v>
      </c>
      <c r="BG72" s="64"/>
    </row>
    <row r="73" spans="1:59" x14ac:dyDescent="0.2">
      <c r="A73" s="63"/>
      <c r="B73" s="32" t="s">
        <v>39</v>
      </c>
      <c r="C73" s="32" t="s">
        <v>40</v>
      </c>
      <c r="D73" s="32" t="s">
        <v>41</v>
      </c>
      <c r="E73" s="33">
        <v>1</v>
      </c>
      <c r="F73" s="34" t="str">
        <f>IF(C$6="","",C$6)</f>
        <v>Larg pales</v>
      </c>
      <c r="G73" s="35" t="str">
        <f>IF(OR(F74="",F75=""),"",CONCATENATE(F74,,"/",F75))</f>
        <v>Long pales/Larg fuselage</v>
      </c>
      <c r="H73" s="36"/>
      <c r="I73" s="35" t="str">
        <f>IF(OR($F76="",$F77=""),"",CONCATENATE($F76,,"/",$F77))</f>
        <v>Long fuselage/inclinaison pales</v>
      </c>
      <c r="J73" s="36"/>
      <c r="K73" s="35" t="str">
        <f>IF(OR($F78="",$F79=""),"",CONCATENATE($F78,,"/",$F79))</f>
        <v/>
      </c>
      <c r="L73" s="75"/>
      <c r="M73" s="76"/>
      <c r="N73" s="77"/>
      <c r="O73" s="77"/>
      <c r="P73" s="77"/>
      <c r="Q73" s="77"/>
      <c r="R73" s="77"/>
      <c r="S73" s="77"/>
      <c r="T73" s="77"/>
      <c r="U73" s="64"/>
      <c r="BG73" s="64"/>
    </row>
    <row r="74" spans="1:59" x14ac:dyDescent="0.2">
      <c r="A74" s="63"/>
      <c r="B74" s="32" t="s">
        <v>42</v>
      </c>
      <c r="C74" s="32" t="s">
        <v>43</v>
      </c>
      <c r="D74" s="32" t="s">
        <v>44</v>
      </c>
      <c r="E74" s="37">
        <v>2</v>
      </c>
      <c r="F74" s="34" t="str">
        <f>IF(D$6="","",D$6)</f>
        <v>Long pales</v>
      </c>
      <c r="G74" s="38" t="str">
        <f>IF(OR(F73="",F75=""),"",CONCATENATE(F73,,"/",F75))</f>
        <v>Larg pales/Larg fuselage</v>
      </c>
      <c r="H74" s="38"/>
      <c r="I74" s="35" t="str">
        <f>IF(OR($F76="",$F78=""),"",CONCATENATE($F76,,"/",$F78))</f>
        <v>Long fuselage/Nbre trombones</v>
      </c>
      <c r="J74" s="36"/>
      <c r="K74" s="35" t="str">
        <f>IF(OR($F77="",$F79=""),"",CONCATENATE($F77,,"/",$F79))</f>
        <v/>
      </c>
      <c r="L74" s="75"/>
      <c r="M74" s="76"/>
      <c r="N74" s="77"/>
      <c r="O74" s="77"/>
      <c r="P74" s="77"/>
      <c r="Q74" s="77"/>
      <c r="R74" s="77"/>
      <c r="S74" s="77"/>
      <c r="T74" s="77"/>
      <c r="U74" s="64"/>
      <c r="AH74" s="41">
        <f>IF($I$14="",0,MIN(AM100:AN101))</f>
        <v>0</v>
      </c>
      <c r="BG74" s="64"/>
    </row>
    <row r="75" spans="1:59" x14ac:dyDescent="0.2">
      <c r="A75" s="63"/>
      <c r="B75" s="32" t="s">
        <v>45</v>
      </c>
      <c r="C75" s="32" t="s">
        <v>46</v>
      </c>
      <c r="D75" s="32" t="s">
        <v>47</v>
      </c>
      <c r="E75" s="37">
        <v>3</v>
      </c>
      <c r="F75" s="34" t="str">
        <f>IF(E$6="","",E$6)</f>
        <v>Larg fuselage</v>
      </c>
      <c r="G75" s="35" t="str">
        <f>IF(OR(F73="",F74=""),"",CONCATENATE(F73,,"/",F74))</f>
        <v>Larg pales/Long pales</v>
      </c>
      <c r="H75" s="36"/>
      <c r="I75" s="35" t="str">
        <f>IF(OR($F76="",$F79=""),"",CONCATENATE($F76,,"/",$F79))</f>
        <v/>
      </c>
      <c r="J75" s="36"/>
      <c r="K75" s="35" t="str">
        <f>IF(OR($F77="",$F78=""),"",CONCATENATE($F77,,"/",$F78))</f>
        <v>inclinaison pales/Nbre trombones</v>
      </c>
      <c r="L75" s="75"/>
      <c r="M75" s="11"/>
      <c r="N75" s="11"/>
      <c r="O75" s="77"/>
      <c r="P75" s="77"/>
      <c r="Q75" s="77"/>
      <c r="R75" s="77"/>
      <c r="S75" s="77"/>
      <c r="T75" s="77"/>
      <c r="U75" s="64"/>
      <c r="AH75" s="41">
        <f>IF($I$14="",1,MAX(AM100:AN101))</f>
        <v>1</v>
      </c>
      <c r="BG75" s="64"/>
    </row>
    <row r="76" spans="1:59" x14ac:dyDescent="0.2">
      <c r="A76" s="63"/>
      <c r="B76" s="32" t="s">
        <v>48</v>
      </c>
      <c r="C76" s="32" t="s">
        <v>49</v>
      </c>
      <c r="D76" s="32" t="s">
        <v>50</v>
      </c>
      <c r="E76" s="37">
        <v>4</v>
      </c>
      <c r="F76" s="34" t="str">
        <f>IF(F$6="","",F$6)</f>
        <v>Long fuselage</v>
      </c>
      <c r="G76" s="35" t="str">
        <f>IF(OR(F74="",F78=""),"",CONCATENATE(F74,,"/",F78))</f>
        <v>Long pales/Nbre trombones</v>
      </c>
      <c r="H76" s="36"/>
      <c r="I76" s="35" t="str">
        <f>IF(OR($F73="",$F77=""),"",CONCATENATE($F73,,"/",$F77))</f>
        <v>Larg pales/inclinaison pales</v>
      </c>
      <c r="J76" s="36"/>
      <c r="K76" s="35" t="str">
        <f>IF(OR($F75="",$F79=""),"",CONCATENATE($F75,,"/",$F79))</f>
        <v/>
      </c>
      <c r="L76" s="75"/>
      <c r="M76" s="11"/>
      <c r="N76" s="11"/>
      <c r="O76" s="11"/>
      <c r="P76" s="77"/>
      <c r="Q76" s="77"/>
      <c r="R76" s="77"/>
      <c r="S76" s="77"/>
      <c r="T76" s="77"/>
      <c r="U76" s="64"/>
      <c r="BG76" s="64"/>
    </row>
    <row r="77" spans="1:59" ht="15.75" x14ac:dyDescent="0.25">
      <c r="A77" s="63"/>
      <c r="B77" s="32" t="s">
        <v>51</v>
      </c>
      <c r="C77" s="32" t="s">
        <v>52</v>
      </c>
      <c r="D77" s="32" t="s">
        <v>53</v>
      </c>
      <c r="E77" s="37">
        <v>5</v>
      </c>
      <c r="F77" s="34" t="str">
        <f>IF(G$6="","",G$6)</f>
        <v>inclinaison pales</v>
      </c>
      <c r="G77" s="35" t="str">
        <f>IF(OR(F74="",F79=""),"",CONCATENATE(F74,,"/",F79))</f>
        <v/>
      </c>
      <c r="H77" s="36"/>
      <c r="I77" s="35" t="str">
        <f>IF(OR($F73="",$F76=""),"",CONCATENATE($F73,,"/",$F76))</f>
        <v>Larg pales/Long fuselage</v>
      </c>
      <c r="J77" s="36"/>
      <c r="K77" s="35" t="str">
        <f>IF(OR($F75="",$F78=""),"",CONCATENATE($F75,,"/",$F78))</f>
        <v>Larg fuselage/Nbre trombones</v>
      </c>
      <c r="L77" s="75"/>
      <c r="M77" s="11"/>
      <c r="N77" s="11"/>
      <c r="O77" s="11"/>
      <c r="P77" s="11"/>
      <c r="Q77" s="77"/>
      <c r="R77" s="77"/>
      <c r="S77" s="77"/>
      <c r="T77" s="77"/>
      <c r="U77" s="64"/>
      <c r="W77" s="19" t="s">
        <v>54</v>
      </c>
      <c r="BG77" s="64"/>
    </row>
    <row r="78" spans="1:59" ht="15.75" x14ac:dyDescent="0.25">
      <c r="A78" s="63"/>
      <c r="B78" s="32" t="s">
        <v>55</v>
      </c>
      <c r="C78" s="32" t="s">
        <v>56</v>
      </c>
      <c r="D78" s="32" t="s">
        <v>57</v>
      </c>
      <c r="E78" s="37">
        <v>6</v>
      </c>
      <c r="F78" s="34" t="str">
        <f>IF(H$6="","",H$6)</f>
        <v>Nbre trombones</v>
      </c>
      <c r="G78" s="35" t="str">
        <f>IF(OR(F74="",F76=""),"",CONCATENATE(F74,,"/",F76))</f>
        <v>Long pales/Long fuselage</v>
      </c>
      <c r="H78" s="36"/>
      <c r="I78" s="35" t="str">
        <f>IF(OR($F73="",$F79=""),"",CONCATENATE($F73,,"/",$F79))</f>
        <v/>
      </c>
      <c r="J78" s="36"/>
      <c r="K78" s="35" t="str">
        <f>IF(OR($F75="",$F77=""),"",CONCATENATE($F75,,"/",$F77))</f>
        <v>Larg fuselage/inclinaison pales</v>
      </c>
      <c r="L78" s="75"/>
      <c r="M78" s="11"/>
      <c r="N78" s="20"/>
      <c r="O78" s="11"/>
      <c r="P78" s="11"/>
      <c r="Q78" s="11"/>
      <c r="R78" s="77"/>
      <c r="S78" s="77"/>
      <c r="T78" s="77"/>
      <c r="U78" s="64"/>
      <c r="BG78" s="64"/>
    </row>
    <row r="79" spans="1:59" x14ac:dyDescent="0.2">
      <c r="A79" s="63"/>
      <c r="B79" s="32" t="s">
        <v>58</v>
      </c>
      <c r="C79" s="32" t="s">
        <v>59</v>
      </c>
      <c r="D79" s="32" t="s">
        <v>60</v>
      </c>
      <c r="E79" s="39">
        <v>7</v>
      </c>
      <c r="F79" s="34" t="str">
        <f>IF(I$6="","",I$6)</f>
        <v/>
      </c>
      <c r="G79" s="35" t="str">
        <f>IF(OR(F74="",F77=""),"",CONCATENATE(F74,,"/",F77))</f>
        <v>Long pales/inclinaison pales</v>
      </c>
      <c r="H79" s="36"/>
      <c r="I79" s="35" t="str">
        <f>IF(OR($F73="",$F78=""),"",CONCATENATE($F73,,"/",$F78))</f>
        <v>Larg pales/Nbre trombones</v>
      </c>
      <c r="J79" s="36"/>
      <c r="K79" s="35" t="str">
        <f>IF(OR($F75="",$F76=""),"",CONCATENATE($F75,,"/",$F76))</f>
        <v>Larg fuselage/Long fuselage</v>
      </c>
      <c r="L79" s="75"/>
      <c r="M79" s="11"/>
      <c r="N79" s="11"/>
      <c r="O79" s="11"/>
      <c r="P79" s="11"/>
      <c r="Q79" s="11"/>
      <c r="R79" s="11"/>
      <c r="S79" s="77"/>
      <c r="T79" s="77"/>
      <c r="U79" s="64"/>
      <c r="W79" s="53" t="str">
        <f>IF($D$9="","",$W$77&amp;" "&amp;$B$9&amp;"/"&amp;$D$6)</f>
        <v/>
      </c>
      <c r="X79" s="12" t="str">
        <f>IF($D$9="","",$D$6&amp;"=1")</f>
        <v/>
      </c>
      <c r="Y79" s="12" t="str">
        <f>IF($D$9="","",$D$6&amp;"=2")</f>
        <v/>
      </c>
      <c r="Z79" s="53" t="str">
        <f>IF($E$9="","",$W$77&amp;" "&amp;$B$9&amp;"/"&amp;$E$6)</f>
        <v/>
      </c>
      <c r="AA79" s="12" t="str">
        <f>IF($E$9="","",$E$6&amp;"=1")</f>
        <v/>
      </c>
      <c r="AB79" s="12" t="str">
        <f>IF($E$9="","",$E$6&amp;"=2")</f>
        <v/>
      </c>
      <c r="AC79" s="53" t="str">
        <f>IF($F$9="","",$W$77&amp;" "&amp;$B$9&amp;"/"&amp;$F$6)</f>
        <v/>
      </c>
      <c r="AD79" s="12" t="str">
        <f>IF($F$9="","",$F$6&amp;"=1")</f>
        <v/>
      </c>
      <c r="AE79" s="12" t="str">
        <f>IF($F$9="","",$F$6&amp;"=2")</f>
        <v/>
      </c>
      <c r="AF79" s="53" t="str">
        <f>IF($G$9="","",$W$77&amp;" "&amp;$B$9&amp;"/"&amp;$G$6)</f>
        <v/>
      </c>
      <c r="AG79" s="12" t="str">
        <f>IF($G$9="","",$G$6&amp;"=1")</f>
        <v/>
      </c>
      <c r="AH79" s="12" t="str">
        <f>IF($G$9="","",$G$6&amp;"=2")</f>
        <v/>
      </c>
      <c r="AI79" s="53" t="str">
        <f>IF($H$9="","",$W$77&amp;" "&amp;$B$9&amp;"/"&amp;$H$6)</f>
        <v/>
      </c>
      <c r="AJ79" s="12" t="str">
        <f>IF($H$9="","",$H$6&amp;"=1")</f>
        <v/>
      </c>
      <c r="AK79" s="12" t="str">
        <f>IF($H$9="","",$H$6&amp;"=2")</f>
        <v/>
      </c>
      <c r="AL79" s="53" t="str">
        <f>IF($I$9="","",$W$77&amp;" "&amp;$B$9&amp;"/"&amp;$I$6)</f>
        <v/>
      </c>
      <c r="AM79" s="12" t="str">
        <f>IF($I$9="","",$I$6&amp;"=1")</f>
        <v/>
      </c>
      <c r="AN79" s="12" t="str">
        <f>IF($I$9="","",$I$6&amp;"=2")</f>
        <v/>
      </c>
      <c r="BG79" s="64"/>
    </row>
    <row r="80" spans="1:59" ht="13.5" thickBot="1" x14ac:dyDescent="0.25">
      <c r="A80" s="66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79"/>
      <c r="N80" s="79"/>
      <c r="O80" s="79"/>
      <c r="P80" s="79"/>
      <c r="Q80" s="79"/>
      <c r="R80" s="79"/>
      <c r="S80" s="79"/>
      <c r="T80" s="80"/>
      <c r="U80" s="68"/>
      <c r="W80" s="12" t="str">
        <f>IF($D$9="","",$B$9&amp;"=1")</f>
        <v/>
      </c>
      <c r="X80" s="9" t="str">
        <f>IF($D$9="","",AVERAGE(J20,J21))</f>
        <v/>
      </c>
      <c r="Y80" s="9" t="str">
        <f>IF($D$9="","",AVERAGE(J22,J23))</f>
        <v/>
      </c>
      <c r="Z80" s="12" t="str">
        <f>IF($E$9="","",$B$9&amp;"=1")</f>
        <v/>
      </c>
      <c r="AA80" s="9" t="str">
        <f>IF($E$9="","",AVERAGE(J20,J21))</f>
        <v/>
      </c>
      <c r="AB80" s="9" t="str">
        <f>IF($E$9="","",AVERAGE(J22,J23))</f>
        <v/>
      </c>
      <c r="AC80" s="12" t="str">
        <f>IF($F$9="","",$B$9&amp;"=1")</f>
        <v/>
      </c>
      <c r="AD80" s="9" t="str">
        <f>IF($F$9="","",AVERAGE(J20,J22))</f>
        <v/>
      </c>
      <c r="AE80" s="9" t="str">
        <f>IF($F$9="","",AVERAGE(J21,J23))</f>
        <v/>
      </c>
      <c r="AF80" s="12" t="str">
        <f>IF($G$9="","",$B$9&amp;"=1")</f>
        <v/>
      </c>
      <c r="AG80" s="9" t="str">
        <f>IF($G$9="","",AVERAGE(J20,J22))</f>
        <v/>
      </c>
      <c r="AH80" s="9" t="str">
        <f>IF($G$9="","",AVERAGE(J21,J23))</f>
        <v/>
      </c>
      <c r="AI80" s="12" t="str">
        <f>IF($H$9="","",$B$9&amp;"=1")</f>
        <v/>
      </c>
      <c r="AJ80" s="9" t="str">
        <f>IF($H$9="","",AVERAGE(J20,J23))</f>
        <v/>
      </c>
      <c r="AK80" s="9" t="str">
        <f>IF($H$9="","",AVERAGE(J21,J22))</f>
        <v/>
      </c>
      <c r="AL80" s="12" t="str">
        <f>IF($I$9="","",$B$9&amp;"=1")</f>
        <v/>
      </c>
      <c r="AM80" s="9" t="str">
        <f>IF($I$9="","",AVERAGE(J20,J23))</f>
        <v/>
      </c>
      <c r="AN80" s="9" t="str">
        <f>IF($I$9="","",AVERAGE(J21,J22))</f>
        <v/>
      </c>
      <c r="BG80" s="64"/>
    </row>
    <row r="81" spans="2:59" x14ac:dyDescent="0.2">
      <c r="M81" s="11" t="str">
        <f>IF(T72="","",T72)</f>
        <v/>
      </c>
      <c r="N81" s="11"/>
      <c r="O81" s="13"/>
      <c r="P81" s="13"/>
      <c r="Q81" s="11"/>
      <c r="R81" s="11"/>
      <c r="S81" s="11"/>
      <c r="T81" s="13"/>
      <c r="U81" s="64"/>
      <c r="W81" s="12" t="str">
        <f>IF($D$9="","",$B$9&amp;"=2")</f>
        <v/>
      </c>
      <c r="X81" s="9" t="str">
        <f>IF($D$9="","",AVERAGE(J24,J25))</f>
        <v/>
      </c>
      <c r="Y81" s="9" t="str">
        <f>IF($D$9="","",AVERAGE(J26,J27))</f>
        <v/>
      </c>
      <c r="Z81" s="12" t="str">
        <f>IF($E$9="","",$B$9&amp;"=2")</f>
        <v/>
      </c>
      <c r="AA81" s="9" t="str">
        <f>IF($E$9="","",AVERAGE(J26,J27))</f>
        <v/>
      </c>
      <c r="AB81" s="9" t="str">
        <f>IF($E$9="","",AVERAGE(J24,J25))</f>
        <v/>
      </c>
      <c r="AC81" s="12" t="str">
        <f>IF($F$9="","",$B$9&amp;"=2")</f>
        <v/>
      </c>
      <c r="AD81" s="9" t="str">
        <f>IF($F$9="","",AVERAGE(J24,J26))</f>
        <v/>
      </c>
      <c r="AE81" s="9" t="str">
        <f>IF($F$9="","",AVERAGE(J25,J27))</f>
        <v/>
      </c>
      <c r="AF81" s="12" t="str">
        <f>IF($G$9="","",$B$9&amp;"=2")</f>
        <v/>
      </c>
      <c r="AG81" s="9" t="str">
        <f>IF($G$9="","",AVERAGE(J25,J27))</f>
        <v/>
      </c>
      <c r="AH81" s="9" t="str">
        <f>IF($G$9="","",AVERAGE(J24,J26))</f>
        <v/>
      </c>
      <c r="AI81" s="12" t="str">
        <f>IF($H$9="","",$B$9&amp;"=2")</f>
        <v/>
      </c>
      <c r="AJ81" s="9" t="str">
        <f>IF($H$9="","",AVERAGE(J24,J27))</f>
        <v/>
      </c>
      <c r="AK81" s="9" t="str">
        <f>IF($H$9="","",AVERAGE(J25,J26))</f>
        <v/>
      </c>
      <c r="AL81" s="12" t="str">
        <f>IF($I$9="","",$B$9&amp;"=2")</f>
        <v/>
      </c>
      <c r="AM81" s="9" t="str">
        <f>IF($I$9="","",AVERAGE(J25,J26))</f>
        <v/>
      </c>
      <c r="AN81" s="9" t="str">
        <f>IF($I$9="","",AVERAGE(J24,J27))</f>
        <v/>
      </c>
      <c r="BG81" s="64"/>
    </row>
    <row r="82" spans="2:59" ht="15.75" x14ac:dyDescent="0.25">
      <c r="B82" s="19"/>
      <c r="U82" s="64"/>
      <c r="BG82" s="64"/>
    </row>
    <row r="83" spans="2:59" x14ac:dyDescent="0.2">
      <c r="U83" s="64"/>
      <c r="Z83" s="53" t="str">
        <f>IF($E$10="","",$W$77&amp;" "&amp;$B$10&amp;"/"&amp;$E$6)</f>
        <v/>
      </c>
      <c r="AA83" s="12" t="str">
        <f>IF($E$10="","",$E$6&amp;"=1")</f>
        <v/>
      </c>
      <c r="AB83" s="12" t="str">
        <f>IF($E$10="","",$E$6&amp;"=2")</f>
        <v/>
      </c>
      <c r="AC83" s="53" t="str">
        <f>IF($F$10="","",$W$77&amp;" "&amp;$B$10&amp;"/"&amp;$F$6)</f>
        <v/>
      </c>
      <c r="AD83" s="12" t="str">
        <f>IF($F$10="","",$F$6&amp;"=1")</f>
        <v/>
      </c>
      <c r="AE83" s="12" t="str">
        <f>IF($F$10="","",$F$6&amp;"=2")</f>
        <v/>
      </c>
      <c r="AF83" s="53" t="str">
        <f>IF($G$10="","",$W$77&amp;" "&amp;$B$10&amp;"/"&amp;$G$6)</f>
        <v/>
      </c>
      <c r="AG83" s="12" t="str">
        <f>IF($G$10="","",$G$6&amp;"=1")</f>
        <v/>
      </c>
      <c r="AH83" s="12" t="str">
        <f>IF($G$10="","",$G$6&amp;"=2")</f>
        <v/>
      </c>
      <c r="AI83" s="53" t="str">
        <f>IF($H$10="","",$W$77&amp;" "&amp;$B$10&amp;"/"&amp;$H$6)</f>
        <v/>
      </c>
      <c r="AJ83" s="12" t="str">
        <f>IF($H$10="","",$H$6&amp;"=1")</f>
        <v/>
      </c>
      <c r="AK83" s="12" t="str">
        <f>IF($H$10="","",$H$6&amp;"=2")</f>
        <v/>
      </c>
      <c r="AL83" s="53" t="str">
        <f>IF($I$10="","",$W$77&amp;" "&amp;$B$10&amp;"/"&amp;$I$6)</f>
        <v/>
      </c>
      <c r="AM83" s="12" t="str">
        <f>IF($I$10="","",$I$6&amp;"=1")</f>
        <v/>
      </c>
      <c r="AN83" s="12" t="str">
        <f>IF($I$10="","",$I$6&amp;"=2")</f>
        <v/>
      </c>
      <c r="BG83" s="64"/>
    </row>
    <row r="84" spans="2:59" x14ac:dyDescent="0.2">
      <c r="V84" s="63"/>
      <c r="Z84" s="12" t="str">
        <f>IF($E$10="","",$B$10&amp;"=1")</f>
        <v/>
      </c>
      <c r="AA84" s="9" t="str">
        <f>IF($E$10="","",AVERAGE(J20,J21))</f>
        <v/>
      </c>
      <c r="AB84" s="9" t="str">
        <f>IF($E$10="","",AVERAGE(J24,J25))</f>
        <v/>
      </c>
      <c r="AC84" s="12" t="str">
        <f>IF($F$10="","",$B$10&amp;"=1")</f>
        <v/>
      </c>
      <c r="AD84" s="9" t="str">
        <f>IF($F$10="","",AVERAGE(J24,J20))</f>
        <v/>
      </c>
      <c r="AE84" s="9" t="str">
        <f>IF($F$10="","",AVERAGE(J21,J25))</f>
        <v/>
      </c>
      <c r="AF84" s="12" t="str">
        <f>IF($G$10="","",$B$10&amp;"=1")</f>
        <v/>
      </c>
      <c r="AG84" s="9" t="str">
        <f>IF($G$10="","",AVERAGE(J20,J25))</f>
        <v/>
      </c>
      <c r="AH84" s="9" t="str">
        <f>IF($G$10="","",AVERAGE(J21,J24))</f>
        <v/>
      </c>
      <c r="AI84" s="12" t="str">
        <f>IF($H$10="","",$B$10&amp;"=1")</f>
        <v/>
      </c>
      <c r="AJ84" s="9" t="str">
        <f>IF($H$10="","",AVERAGE(J20,J24))</f>
        <v/>
      </c>
      <c r="AK84" s="9" t="str">
        <f>IF($H$10="","",AVERAGE(J21,J25))</f>
        <v/>
      </c>
      <c r="AL84" s="12" t="str">
        <f>IF($I$10="","",$B$10&amp;"=1")</f>
        <v/>
      </c>
      <c r="AM84" s="9" t="str">
        <f>IF($I$10="","",AVERAGE(J20,J25))</f>
        <v/>
      </c>
      <c r="AN84" s="9" t="str">
        <f>IF($I$10="","",AVERAGE(J21,J24))</f>
        <v/>
      </c>
      <c r="BG84" s="64"/>
    </row>
    <row r="85" spans="2:59" x14ac:dyDescent="0.2">
      <c r="V85" s="63"/>
      <c r="Z85" s="12" t="str">
        <f>IF($E$10="","",$B$10&amp;"=2")</f>
        <v/>
      </c>
      <c r="AA85" s="9" t="str">
        <f>IF($E$10="","",AVERAGE(J26,J27))</f>
        <v/>
      </c>
      <c r="AB85" s="9" t="str">
        <f>IF($E$10="","",AVERAGE(J22,J23))</f>
        <v/>
      </c>
      <c r="AC85" s="12" t="str">
        <f>IF($F$10="","",$B$10&amp;"=2")</f>
        <v/>
      </c>
      <c r="AD85" s="9" t="str">
        <f>IF($F$10="","",AVERAGE(J22,J26))</f>
        <v/>
      </c>
      <c r="AE85" s="9" t="str">
        <f>IF($F$10="","",AVERAGE(J23,J27))</f>
        <v/>
      </c>
      <c r="AF85" s="12" t="str">
        <f>IF($G$10="","",$B$10&amp;"=2")</f>
        <v/>
      </c>
      <c r="AG85" s="9" t="str">
        <f>IF($G$10="","",AVERAGE(J22,J27))</f>
        <v/>
      </c>
      <c r="AH85" s="9" t="str">
        <f>IF($G$10="","",AVERAGE(J23,J26))</f>
        <v/>
      </c>
      <c r="AI85" s="12" t="str">
        <f>IF($H$10="","",$B$10&amp;"=2")</f>
        <v/>
      </c>
      <c r="AJ85" s="9" t="str">
        <f>IF($H$10="","",AVERAGE(J23,J27))</f>
        <v/>
      </c>
      <c r="AK85" s="9" t="str">
        <f>IF($H$10="","",AVERAGE(J22,J26))</f>
        <v/>
      </c>
      <c r="AL85" s="12" t="str">
        <f>IF($I$10="","",$B$10&amp;"=2")</f>
        <v/>
      </c>
      <c r="AM85" s="9" t="str">
        <f>IF($I$10="","",AVERAGE(J23,J26))</f>
        <v/>
      </c>
      <c r="AN85" s="9" t="str">
        <f>IF($I$10="","",AVERAGE(J22,J27))</f>
        <v/>
      </c>
      <c r="BG85" s="64"/>
    </row>
    <row r="86" spans="2:59" x14ac:dyDescent="0.2">
      <c r="V86" s="63"/>
      <c r="BG86" s="64"/>
    </row>
    <row r="87" spans="2:59" x14ac:dyDescent="0.2">
      <c r="V87" s="63"/>
      <c r="AC87" s="53" t="str">
        <f>IF($F$11="","",$W$77&amp;" "&amp;$B$11&amp;"/"&amp;$F$6)</f>
        <v/>
      </c>
      <c r="AD87" s="12" t="str">
        <f>IF($F$11="","",$F$6&amp;"=1")</f>
        <v/>
      </c>
      <c r="AE87" s="12" t="str">
        <f>IF($F$11="","",$F$6&amp;"=2")</f>
        <v/>
      </c>
      <c r="AF87" s="53" t="str">
        <f>IF($G$11="","",$W$77&amp;" "&amp;$B$11&amp;"/"&amp;$G$6)</f>
        <v/>
      </c>
      <c r="AG87" s="12" t="str">
        <f>IF($G$11="","",$G$6&amp;"=1")</f>
        <v/>
      </c>
      <c r="AH87" s="12" t="str">
        <f>IF($G$11="","",$G$6&amp;"=2")</f>
        <v/>
      </c>
      <c r="AI87" s="53" t="str">
        <f>IF($H$11="","",$W$77&amp;" "&amp;$B$11&amp;"/"&amp;$H$6)</f>
        <v/>
      </c>
      <c r="AJ87" s="12" t="str">
        <f>IF($H$11="","",$H$6&amp;"=1")</f>
        <v/>
      </c>
      <c r="AK87" s="12" t="str">
        <f>IF($H$11="","",$H$6&amp;"=2")</f>
        <v/>
      </c>
      <c r="AL87" s="53" t="str">
        <f>IF($I$11="","",$W$77&amp;" "&amp;$B$11&amp;"/"&amp;$I$6)</f>
        <v/>
      </c>
      <c r="AM87" s="12" t="str">
        <f>IF($I$11="","",$I$6&amp;"=1")</f>
        <v/>
      </c>
      <c r="AN87" s="12" t="str">
        <f>IF($I$11="","",$I$6&amp;"=2")</f>
        <v/>
      </c>
      <c r="BG87" s="64"/>
    </row>
    <row r="88" spans="2:59" x14ac:dyDescent="0.2">
      <c r="V88" s="63"/>
      <c r="AC88" s="12" t="str">
        <f>IF($F$11="","",$B$11&amp;"=1")</f>
        <v/>
      </c>
      <c r="AD88" s="9" t="str">
        <f>IF($F$11="","",AVERAGE(J20,J26))</f>
        <v/>
      </c>
      <c r="AE88" s="9" t="str">
        <f>IF($F$11="","",AVERAGE(J21,J27))</f>
        <v/>
      </c>
      <c r="AF88" s="12" t="str">
        <f>IF($G$11="","",$B$11&amp;"=1")</f>
        <v/>
      </c>
      <c r="AG88" s="9" t="str">
        <f>IF($G$11="","",AVERAGE(J20,J27))</f>
        <v/>
      </c>
      <c r="AH88" s="9" t="str">
        <f>IF($G$11="","",AVERAGE(J21,J26))</f>
        <v/>
      </c>
      <c r="AI88" s="12" t="str">
        <f>IF($H$11="","",$B$11&amp;"=1")</f>
        <v/>
      </c>
      <c r="AJ88" s="9" t="str">
        <f>IF($H$11="","",AVERAGE(J20,J27))</f>
        <v/>
      </c>
      <c r="AK88" s="9" t="str">
        <f>IF($H$11="","",AVERAGE(J21,J26))</f>
        <v/>
      </c>
      <c r="AL88" s="12" t="str">
        <f>IF($I$11="","",$B$11&amp;"=1")</f>
        <v/>
      </c>
      <c r="AM88" s="9" t="str">
        <f>IF($I$11="","",AVERAGE(J20,J26))</f>
        <v/>
      </c>
      <c r="AN88" s="9" t="str">
        <f>IF($I$11="","",AVERAGE(J21,J27))</f>
        <v/>
      </c>
      <c r="BG88" s="64"/>
    </row>
    <row r="89" spans="2:59" x14ac:dyDescent="0.2">
      <c r="V89" s="63"/>
      <c r="AC89" s="12" t="str">
        <f>IF($F$11="","",$B$11&amp;"=2")</f>
        <v/>
      </c>
      <c r="AD89" s="9" t="str">
        <f>IF($F$11="","",AVERAGE(J22,J24))</f>
        <v/>
      </c>
      <c r="AE89" s="9" t="str">
        <f>IF($F$11="","",AVERAGE(J23,J25))</f>
        <v/>
      </c>
      <c r="AF89" s="12" t="str">
        <f>IF($G$11="","",$B$11&amp;"=2")</f>
        <v/>
      </c>
      <c r="AG89" s="9" t="str">
        <f>IF($G$11="","",AVERAGE(J22,J25))</f>
        <v/>
      </c>
      <c r="AH89" s="9" t="str">
        <f>IF($G$11="","",AVERAGE(J23,J24))</f>
        <v/>
      </c>
      <c r="AI89" s="12" t="str">
        <f>IF($H$11="","",$B$11&amp;"=2")</f>
        <v/>
      </c>
      <c r="AJ89" s="9" t="str">
        <f>IF($H$11="","",AVERAGE(J23,J24))</f>
        <v/>
      </c>
      <c r="AK89" s="9" t="str">
        <f>IF($H$11="","",AVERAGE(J22,J25))</f>
        <v/>
      </c>
      <c r="AL89" s="12" t="str">
        <f>IF($I$11="","",$B$11&amp;"=2")</f>
        <v/>
      </c>
      <c r="AM89" s="9" t="str">
        <f>IF($I$11="","",AVERAGE(J23,J25))</f>
        <v/>
      </c>
      <c r="AN89" s="9" t="str">
        <f>IF($I$11="","",AVERAGE(J22,J24))</f>
        <v/>
      </c>
      <c r="BG89" s="64"/>
    </row>
    <row r="90" spans="2:59" x14ac:dyDescent="0.2">
      <c r="V90" s="63"/>
      <c r="BG90" s="64"/>
    </row>
    <row r="91" spans="2:59" x14ac:dyDescent="0.2">
      <c r="V91" s="63"/>
      <c r="AF91" s="53" t="str">
        <f>IF($G$12="","",$W$77&amp;" "&amp;$B$12&amp;"/"&amp;$G$6)</f>
        <v/>
      </c>
      <c r="AG91" s="12" t="str">
        <f>IF($G$12="","",$G$6&amp;"=1")</f>
        <v/>
      </c>
      <c r="AH91" s="12" t="str">
        <f>IF($G$12="","",$G$6&amp;"=2")</f>
        <v/>
      </c>
      <c r="AI91" s="53" t="str">
        <f>IF($H$12="","",$W$77&amp;" "&amp;$B$12&amp;"/"&amp;$H$6)</f>
        <v/>
      </c>
      <c r="AJ91" s="12" t="str">
        <f>IF($H$12="","",$H$6&amp;"=1")</f>
        <v/>
      </c>
      <c r="AK91" s="12" t="str">
        <f>IF($H$12="","",$H$6&amp;"=2")</f>
        <v/>
      </c>
      <c r="AL91" s="53" t="str">
        <f>IF($I$12="","",$W$77&amp;" "&amp;$B$12&amp;"/"&amp;$I$6)</f>
        <v/>
      </c>
      <c r="AM91" s="12" t="str">
        <f>IF($I$12="","",$I$6&amp;"=1")</f>
        <v/>
      </c>
      <c r="AN91" s="12" t="str">
        <f>IF($I$12="","",$I$6&amp;"=2")</f>
        <v/>
      </c>
      <c r="BG91" s="64"/>
    </row>
    <row r="92" spans="2:59" x14ac:dyDescent="0.2">
      <c r="V92" s="63"/>
      <c r="AF92" s="12" t="str">
        <f>IF($G$12="","",$B$12&amp;"=1")</f>
        <v/>
      </c>
      <c r="AG92" s="9" t="str">
        <f>IF($G$12="","",AVERAGE(J20,J22))</f>
        <v/>
      </c>
      <c r="AH92" s="9" t="str">
        <f>IF($G$12="","",AVERAGE(J24,J26))</f>
        <v/>
      </c>
      <c r="AI92" s="12" t="str">
        <f>IF($H$12="","",$B$12&amp;"=1")</f>
        <v/>
      </c>
      <c r="AJ92" s="9" t="str">
        <f>IF($H$12="","",AVERAGE(J20,J24))</f>
        <v/>
      </c>
      <c r="AK92" s="9" t="str">
        <f>IF($H$12="","",AVERAGE(J22,J26))</f>
        <v/>
      </c>
      <c r="AL92" s="12" t="str">
        <f>IF($I$12="","",$B$12&amp;"=1")</f>
        <v/>
      </c>
      <c r="AM92" s="9" t="str">
        <f>IF($I$12="","",AVERAGE(J20,J26))</f>
        <v/>
      </c>
      <c r="AN92" s="9" t="str">
        <f>IF($I$12="","",AVERAGE(J22,J24))</f>
        <v/>
      </c>
      <c r="BG92" s="64"/>
    </row>
    <row r="93" spans="2:59" x14ac:dyDescent="0.2">
      <c r="V93" s="63"/>
      <c r="AF93" s="12" t="str">
        <f>IF($G$12="","",$B$12&amp;"=2")</f>
        <v/>
      </c>
      <c r="AG93" s="9" t="str">
        <f>IF($G$12="","",AVERAGE(J25,J27))</f>
        <v/>
      </c>
      <c r="AH93" s="9" t="str">
        <f>IF($G$12="","",AVERAGE(J21,J23))</f>
        <v/>
      </c>
      <c r="AI93" s="12" t="str">
        <f>IF($H$12="","",$B$12&amp;"=2")</f>
        <v/>
      </c>
      <c r="AJ93" s="9" t="str">
        <f>IF($H$12="","",AVERAGE(J23,J27))</f>
        <v/>
      </c>
      <c r="AK93" s="9" t="str">
        <f>IF($H$12="","",AVERAGE(J21,J25))</f>
        <v/>
      </c>
      <c r="AL93" s="12" t="str">
        <f>IF($I$12="","",$B$12&amp;"=2")</f>
        <v/>
      </c>
      <c r="AM93" s="9" t="str">
        <f>IF($I$12="","",AVERAGE(J23,J25))</f>
        <v/>
      </c>
      <c r="AN93" s="9" t="str">
        <f>IF($I$12="","",AVERAGE(J21,J27))</f>
        <v/>
      </c>
      <c r="BG93" s="64"/>
    </row>
    <row r="94" spans="2:59" x14ac:dyDescent="0.2">
      <c r="V94" s="63"/>
      <c r="BG94" s="64"/>
    </row>
    <row r="95" spans="2:59" x14ac:dyDescent="0.2">
      <c r="V95" s="63"/>
      <c r="AI95" s="53" t="str">
        <f>IF($H$13="","",$W$77&amp;" "&amp;$B$13&amp;"/"&amp;$H$6)</f>
        <v/>
      </c>
      <c r="AJ95" s="12" t="str">
        <f>IF($H$13="","",$H$6&amp;"=1")</f>
        <v/>
      </c>
      <c r="AK95" s="12" t="str">
        <f>IF($H$13="","",$H$6&amp;"=2")</f>
        <v/>
      </c>
      <c r="AL95" s="53" t="str">
        <f>IF($I$13="","",$W$77&amp;" "&amp;$B$13&amp;"/"&amp;$I$6)</f>
        <v/>
      </c>
      <c r="AM95" s="12" t="str">
        <f>IF($I$13="","",$I$6&amp;"=1")</f>
        <v/>
      </c>
      <c r="AN95" s="12" t="str">
        <f>IF($I$13="","",$I$6&amp;"=2")</f>
        <v/>
      </c>
      <c r="BG95" s="64"/>
    </row>
    <row r="96" spans="2:59" x14ac:dyDescent="0.2">
      <c r="V96" s="63"/>
      <c r="AI96" s="12" t="str">
        <f>IF($H$13="","",$B$13&amp;"=1")</f>
        <v/>
      </c>
      <c r="AJ96" s="9" t="str">
        <f>IF($H$13="","",AVERAGE(J20,J27))</f>
        <v/>
      </c>
      <c r="AK96" s="9" t="str">
        <f>IF($H$13="","",AVERAGE(J22,J25))</f>
        <v/>
      </c>
      <c r="AL96" s="12" t="str">
        <f>IF($I$13="","",$B$13&amp;"=1")</f>
        <v/>
      </c>
      <c r="AM96" s="9" t="str">
        <f>IF($I$13="","",AVERAGE(J20,J25))</f>
        <v/>
      </c>
      <c r="AN96" s="9" t="str">
        <f>IF($I$13="","",AVERAGE(J22,J27))</f>
        <v/>
      </c>
      <c r="BG96" s="64"/>
    </row>
    <row r="97" spans="22:59" x14ac:dyDescent="0.2">
      <c r="V97" s="63"/>
      <c r="AI97" s="12" t="str">
        <f>IF($H$13="","",$B$13&amp;"=2")</f>
        <v/>
      </c>
      <c r="AJ97" s="9" t="str">
        <f>IF($H$13="","",AVERAGE(J23,J24))</f>
        <v/>
      </c>
      <c r="AK97" s="9" t="str">
        <f>IF($H$13="","",AVERAGE(J21,J26))</f>
        <v/>
      </c>
      <c r="AL97" s="12" t="str">
        <f>IF($I$13="","",$B$13&amp;"=2")</f>
        <v/>
      </c>
      <c r="AM97" s="9" t="str">
        <f>IF($I$13="","",AVERAGE(J23,J26))</f>
        <v/>
      </c>
      <c r="AN97" s="9" t="str">
        <f>IF($I$13="","",AVERAGE(J21,J24))</f>
        <v/>
      </c>
      <c r="BG97" s="64"/>
    </row>
    <row r="98" spans="22:59" x14ac:dyDescent="0.2">
      <c r="V98" s="63"/>
      <c r="BG98" s="64"/>
    </row>
    <row r="99" spans="22:59" x14ac:dyDescent="0.2">
      <c r="V99" s="63"/>
      <c r="AL99" s="53" t="str">
        <f>IF($I$14="","",$W$77&amp;" "&amp;$B$14&amp;"/"&amp;$I$6)</f>
        <v/>
      </c>
      <c r="AM99" s="12" t="str">
        <f>IF($I$14="","",$I$6&amp;"=1")</f>
        <v/>
      </c>
      <c r="AN99" s="12" t="str">
        <f>IF($I$14="","",$I$6&amp;"=2")</f>
        <v/>
      </c>
      <c r="BG99" s="64"/>
    </row>
    <row r="100" spans="22:59" x14ac:dyDescent="0.2">
      <c r="V100" s="63"/>
      <c r="AL100" s="12" t="str">
        <f>IF($I$14="","",$B$14&amp;"=1")</f>
        <v/>
      </c>
      <c r="AM100" s="9" t="str">
        <f>IF($I$14="","",AVERAGE(J20,J23))</f>
        <v/>
      </c>
      <c r="AN100" s="9" t="str">
        <f>IF($I$14="","",AVERAGE(J24,J27))</f>
        <v/>
      </c>
      <c r="BG100" s="64"/>
    </row>
    <row r="101" spans="22:59" x14ac:dyDescent="0.2">
      <c r="V101" s="63"/>
      <c r="AL101" s="12" t="str">
        <f>IF($I$14="","",$B$14&amp;"=2")</f>
        <v/>
      </c>
      <c r="AM101" s="9" t="str">
        <f>IF($I$14="","",AVERAGE(J25,J26))</f>
        <v/>
      </c>
      <c r="AN101" s="9" t="str">
        <f>IF($I$14="","",AVERAGE(J21,J22))</f>
        <v/>
      </c>
      <c r="BG101" s="64"/>
    </row>
    <row r="102" spans="22:59" x14ac:dyDescent="0.2">
      <c r="V102" s="63"/>
      <c r="BG102" s="64"/>
    </row>
    <row r="103" spans="22:59" x14ac:dyDescent="0.2">
      <c r="V103" s="63"/>
      <c r="BG103" s="64"/>
    </row>
    <row r="104" spans="22:59" x14ac:dyDescent="0.2">
      <c r="V104" s="63"/>
      <c r="BG104" s="64"/>
    </row>
    <row r="105" spans="22:59" x14ac:dyDescent="0.2">
      <c r="V105" s="63"/>
      <c r="BG105" s="64"/>
    </row>
    <row r="106" spans="22:59" x14ac:dyDescent="0.2">
      <c r="V106" s="63"/>
      <c r="BG106" s="64"/>
    </row>
    <row r="107" spans="22:59" x14ac:dyDescent="0.2">
      <c r="V107" s="63"/>
      <c r="BG107" s="64"/>
    </row>
    <row r="108" spans="22:59" x14ac:dyDescent="0.2">
      <c r="V108" s="63"/>
      <c r="BG108" s="64"/>
    </row>
    <row r="109" spans="22:59" x14ac:dyDescent="0.2">
      <c r="V109" s="63"/>
      <c r="BG109" s="64"/>
    </row>
    <row r="110" spans="22:59" x14ac:dyDescent="0.2">
      <c r="V110" s="63"/>
      <c r="BG110" s="64"/>
    </row>
    <row r="111" spans="22:59" x14ac:dyDescent="0.2">
      <c r="V111" s="63"/>
      <c r="BG111" s="64"/>
    </row>
    <row r="112" spans="22:59" x14ac:dyDescent="0.2">
      <c r="V112" s="63"/>
      <c r="BG112" s="64"/>
    </row>
    <row r="113" spans="22:59" x14ac:dyDescent="0.2">
      <c r="V113" s="63"/>
      <c r="BG113" s="64"/>
    </row>
    <row r="114" spans="22:59" x14ac:dyDescent="0.2">
      <c r="V114" s="63"/>
      <c r="BG114" s="64"/>
    </row>
    <row r="115" spans="22:59" x14ac:dyDescent="0.2">
      <c r="V115" s="63"/>
      <c r="BG115" s="64"/>
    </row>
    <row r="116" spans="22:59" x14ac:dyDescent="0.2">
      <c r="V116" s="63"/>
      <c r="BG116" s="64"/>
    </row>
    <row r="117" spans="22:59" x14ac:dyDescent="0.2">
      <c r="V117" s="63"/>
      <c r="BG117" s="64"/>
    </row>
    <row r="118" spans="22:59" x14ac:dyDescent="0.2">
      <c r="V118" s="63"/>
      <c r="BG118" s="64"/>
    </row>
    <row r="119" spans="22:59" ht="13.5" thickBot="1" x14ac:dyDescent="0.25">
      <c r="V119" s="66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8"/>
    </row>
    <row r="177" spans="2:13" ht="20.25" x14ac:dyDescent="0.3">
      <c r="B177" s="116" t="s">
        <v>83</v>
      </c>
    </row>
    <row r="180" spans="2:13" x14ac:dyDescent="0.2">
      <c r="B180" s="2" t="s">
        <v>1</v>
      </c>
      <c r="C180" s="12" t="str">
        <f t="shared" ref="C180:I180" si="19">C18</f>
        <v>Larg pales</v>
      </c>
      <c r="D180" s="12" t="str">
        <f t="shared" si="19"/>
        <v>Long pales</v>
      </c>
      <c r="E180" s="83" t="str">
        <f t="shared" si="19"/>
        <v>Larg fuselage</v>
      </c>
      <c r="F180" s="12" t="str">
        <f t="shared" si="19"/>
        <v>Long fuselage</v>
      </c>
      <c r="G180" s="12" t="str">
        <f t="shared" si="19"/>
        <v>inclinaison pales</v>
      </c>
      <c r="H180" s="12" t="str">
        <f t="shared" si="19"/>
        <v>Nbre trombones</v>
      </c>
      <c r="I180" s="12" t="str">
        <f t="shared" si="19"/>
        <v/>
      </c>
      <c r="J180" s="104" t="s">
        <v>61</v>
      </c>
      <c r="K180" s="102" t="s">
        <v>63</v>
      </c>
      <c r="L180" s="96" t="s">
        <v>71</v>
      </c>
      <c r="M180" s="106" t="s">
        <v>72</v>
      </c>
    </row>
    <row r="181" spans="2:13" ht="13.5" thickBot="1" x14ac:dyDescent="0.25">
      <c r="B181" s="6" t="s">
        <v>7</v>
      </c>
      <c r="C181" s="3">
        <v>1</v>
      </c>
      <c r="D181" s="3">
        <v>2</v>
      </c>
      <c r="E181" s="3">
        <v>3</v>
      </c>
      <c r="F181" s="3">
        <v>4</v>
      </c>
      <c r="G181" s="3">
        <v>5</v>
      </c>
      <c r="H181" s="3">
        <v>6</v>
      </c>
      <c r="I181" s="3">
        <v>7</v>
      </c>
      <c r="J181" s="105" t="s">
        <v>62</v>
      </c>
      <c r="K181" s="103" t="s">
        <v>70</v>
      </c>
      <c r="L181" s="96" t="s">
        <v>70</v>
      </c>
      <c r="M181" s="106" t="s">
        <v>62</v>
      </c>
    </row>
    <row r="182" spans="2:13" ht="13.5" thickTop="1" x14ac:dyDescent="0.2">
      <c r="B182" s="3">
        <v>86</v>
      </c>
      <c r="C182" s="95">
        <v>2</v>
      </c>
      <c r="D182" s="95">
        <v>1</v>
      </c>
      <c r="E182" s="95">
        <v>2</v>
      </c>
      <c r="F182" s="95">
        <v>1</v>
      </c>
      <c r="G182" s="95">
        <v>2</v>
      </c>
      <c r="H182" s="95">
        <v>1</v>
      </c>
      <c r="I182" s="95">
        <v>2</v>
      </c>
      <c r="J182" s="100">
        <f t="shared" ref="J182:J245" si="20">$J$28+IF(C182=1,$D$33,$D$34)+IF(D182=1,$D$36,$D$37)+IF(E182=1,$D$39,$D$40)+IF(F182=1,$D$42,$D$43)+IF(G182=1,$D$45,$D$46)+IF(H182=1,$D$48,$D$49)+IF(I182=1,$D$51,$D$52)</f>
        <v>53.78</v>
      </c>
      <c r="K182" s="101">
        <f t="shared" ref="K182:K245" si="21">$Q$28+IF(D182=1,$F$33,$F$34)+IF(E182=1,$F$36,$F$37)+IF(F182=1,$F$39,$F$40)+IF(G182=1,$F$42,$F$43)+IF(H182=1,$F$45,$F$46)+IF(I182=1,$F$48,$F$49)+IF(J182=1,$F$51,$F$52)</f>
        <v>-8.2721989151612902</v>
      </c>
      <c r="L182" s="97">
        <f t="shared" ref="L182:L245" si="22">SQRT((J182^2)/(10^(K182/10)+0.2))</f>
        <v>91.053105563155839</v>
      </c>
      <c r="M182" s="107">
        <f t="shared" ref="M182:M245" si="23">6*L182</f>
        <v>546.31863337893503</v>
      </c>
    </row>
    <row r="183" spans="2:13" x14ac:dyDescent="0.2">
      <c r="B183" s="3">
        <v>118</v>
      </c>
      <c r="C183" s="95">
        <v>2</v>
      </c>
      <c r="D183" s="95">
        <v>2</v>
      </c>
      <c r="E183" s="95">
        <v>2</v>
      </c>
      <c r="F183" s="95">
        <v>1</v>
      </c>
      <c r="G183" s="95">
        <v>2</v>
      </c>
      <c r="H183" s="95">
        <v>1</v>
      </c>
      <c r="I183" s="95">
        <v>2</v>
      </c>
      <c r="J183" s="100">
        <f t="shared" si="20"/>
        <v>45.1</v>
      </c>
      <c r="K183" s="101">
        <f t="shared" si="21"/>
        <v>-3.7346368602568822</v>
      </c>
      <c r="L183" s="97">
        <f t="shared" si="22"/>
        <v>57.130232637305369</v>
      </c>
      <c r="M183" s="107">
        <f t="shared" si="23"/>
        <v>342.78139582383221</v>
      </c>
    </row>
    <row r="184" spans="2:13" x14ac:dyDescent="0.2">
      <c r="B184" s="3">
        <v>94</v>
      </c>
      <c r="C184" s="95">
        <v>2</v>
      </c>
      <c r="D184" s="95">
        <v>1</v>
      </c>
      <c r="E184" s="95">
        <v>2</v>
      </c>
      <c r="F184" s="95">
        <v>2</v>
      </c>
      <c r="G184" s="95">
        <v>2</v>
      </c>
      <c r="H184" s="95">
        <v>1</v>
      </c>
      <c r="I184" s="95">
        <v>2</v>
      </c>
      <c r="J184" s="100">
        <f t="shared" si="20"/>
        <v>39.620000000000005</v>
      </c>
      <c r="K184" s="101">
        <f t="shared" si="21"/>
        <v>-5.2660034911734614</v>
      </c>
      <c r="L184" s="97">
        <f t="shared" si="22"/>
        <v>56.175123464077672</v>
      </c>
      <c r="M184" s="107">
        <f t="shared" si="23"/>
        <v>337.05074078446603</v>
      </c>
    </row>
    <row r="185" spans="2:13" x14ac:dyDescent="0.2">
      <c r="B185" s="3">
        <v>126</v>
      </c>
      <c r="C185" s="95">
        <v>2</v>
      </c>
      <c r="D185" s="95">
        <v>2</v>
      </c>
      <c r="E185" s="95">
        <v>2</v>
      </c>
      <c r="F185" s="95">
        <v>2</v>
      </c>
      <c r="G185" s="95">
        <v>2</v>
      </c>
      <c r="H185" s="95">
        <v>1</v>
      </c>
      <c r="I185" s="95">
        <v>2</v>
      </c>
      <c r="J185" s="100">
        <f t="shared" si="20"/>
        <v>30.940000000000005</v>
      </c>
      <c r="K185" s="101">
        <f t="shared" si="21"/>
        <v>-0.72844143626905522</v>
      </c>
      <c r="L185" s="97">
        <f t="shared" si="22"/>
        <v>30.258069007164824</v>
      </c>
      <c r="M185" s="107">
        <f t="shared" si="23"/>
        <v>181.54841404298895</v>
      </c>
    </row>
    <row r="186" spans="2:13" x14ac:dyDescent="0.2">
      <c r="B186" s="3">
        <v>85</v>
      </c>
      <c r="C186" s="95">
        <v>2</v>
      </c>
      <c r="D186" s="95">
        <v>1</v>
      </c>
      <c r="E186" s="95">
        <v>2</v>
      </c>
      <c r="F186" s="95">
        <v>1</v>
      </c>
      <c r="G186" s="95">
        <v>2</v>
      </c>
      <c r="H186" s="95">
        <v>1</v>
      </c>
      <c r="I186" s="95">
        <v>1</v>
      </c>
      <c r="J186" s="100">
        <f t="shared" si="20"/>
        <v>43.78</v>
      </c>
      <c r="K186" s="101">
        <f t="shared" si="21"/>
        <v>-6.1470599253595291</v>
      </c>
      <c r="L186" s="97">
        <f t="shared" si="22"/>
        <v>65.789945149586174</v>
      </c>
      <c r="M186" s="107">
        <f t="shared" si="23"/>
        <v>394.73967089751704</v>
      </c>
    </row>
    <row r="187" spans="2:13" x14ac:dyDescent="0.2">
      <c r="B187" s="3">
        <v>117</v>
      </c>
      <c r="C187" s="95">
        <v>2</v>
      </c>
      <c r="D187" s="95">
        <v>2</v>
      </c>
      <c r="E187" s="95">
        <v>2</v>
      </c>
      <c r="F187" s="95">
        <v>1</v>
      </c>
      <c r="G187" s="95">
        <v>2</v>
      </c>
      <c r="H187" s="95">
        <v>1</v>
      </c>
      <c r="I187" s="95">
        <v>1</v>
      </c>
      <c r="J187" s="100">
        <f t="shared" si="20"/>
        <v>35.1</v>
      </c>
      <c r="K187" s="101">
        <f t="shared" si="21"/>
        <v>-1.6094978704551219</v>
      </c>
      <c r="L187" s="97">
        <f t="shared" si="22"/>
        <v>37.199246755737065</v>
      </c>
      <c r="M187" s="107">
        <f t="shared" si="23"/>
        <v>223.19548053442239</v>
      </c>
    </row>
    <row r="188" spans="2:13" x14ac:dyDescent="0.2">
      <c r="B188" s="3">
        <v>93</v>
      </c>
      <c r="C188" s="95">
        <v>2</v>
      </c>
      <c r="D188" s="95">
        <v>1</v>
      </c>
      <c r="E188" s="95">
        <v>2</v>
      </c>
      <c r="F188" s="95">
        <v>2</v>
      </c>
      <c r="G188" s="95">
        <v>2</v>
      </c>
      <c r="H188" s="95">
        <v>1</v>
      </c>
      <c r="I188" s="95">
        <v>1</v>
      </c>
      <c r="J188" s="100">
        <f t="shared" si="20"/>
        <v>29.620000000000005</v>
      </c>
      <c r="K188" s="101">
        <f t="shared" si="21"/>
        <v>-3.1408645013717007</v>
      </c>
      <c r="L188" s="97">
        <f t="shared" si="22"/>
        <v>35.783180672040523</v>
      </c>
      <c r="M188" s="107">
        <f t="shared" si="23"/>
        <v>214.69908403224315</v>
      </c>
    </row>
    <row r="189" spans="2:13" x14ac:dyDescent="0.2">
      <c r="B189" s="3">
        <v>125</v>
      </c>
      <c r="C189" s="95">
        <v>2</v>
      </c>
      <c r="D189" s="95">
        <v>2</v>
      </c>
      <c r="E189" s="95">
        <v>2</v>
      </c>
      <c r="F189" s="95">
        <v>2</v>
      </c>
      <c r="G189" s="95">
        <v>2</v>
      </c>
      <c r="H189" s="95">
        <v>1</v>
      </c>
      <c r="I189" s="95">
        <v>1</v>
      </c>
      <c r="J189" s="100">
        <f t="shared" si="20"/>
        <v>20.940000000000005</v>
      </c>
      <c r="K189" s="101">
        <f t="shared" si="21"/>
        <v>1.3966975535327051</v>
      </c>
      <c r="L189" s="97">
        <f t="shared" si="22"/>
        <v>16.662476418923955</v>
      </c>
      <c r="M189" s="107">
        <f t="shared" si="23"/>
        <v>99.974858513543722</v>
      </c>
    </row>
    <row r="190" spans="2:13" x14ac:dyDescent="0.2">
      <c r="B190" s="3">
        <v>82</v>
      </c>
      <c r="C190" s="95">
        <v>2</v>
      </c>
      <c r="D190" s="95">
        <v>1</v>
      </c>
      <c r="E190" s="95">
        <v>2</v>
      </c>
      <c r="F190" s="95">
        <v>1</v>
      </c>
      <c r="G190" s="95">
        <v>1</v>
      </c>
      <c r="H190" s="95">
        <v>1</v>
      </c>
      <c r="I190" s="95">
        <v>2</v>
      </c>
      <c r="J190" s="100">
        <f t="shared" si="20"/>
        <v>39.950000000000003</v>
      </c>
      <c r="K190" s="101">
        <f t="shared" si="21"/>
        <v>-6.9612442359333935</v>
      </c>
      <c r="L190" s="97">
        <f t="shared" si="22"/>
        <v>63.062941999642831</v>
      </c>
      <c r="M190" s="107">
        <f t="shared" si="23"/>
        <v>378.37765199785701</v>
      </c>
    </row>
    <row r="191" spans="2:13" x14ac:dyDescent="0.2">
      <c r="B191" s="3">
        <v>22</v>
      </c>
      <c r="C191" s="95">
        <v>1</v>
      </c>
      <c r="D191" s="95">
        <v>1</v>
      </c>
      <c r="E191" s="95">
        <v>2</v>
      </c>
      <c r="F191" s="95">
        <v>1</v>
      </c>
      <c r="G191" s="95">
        <v>2</v>
      </c>
      <c r="H191" s="95">
        <v>1</v>
      </c>
      <c r="I191" s="95">
        <v>2</v>
      </c>
      <c r="J191" s="100">
        <f t="shared" si="20"/>
        <v>40.64</v>
      </c>
      <c r="K191" s="101">
        <f t="shared" si="21"/>
        <v>-8.2721989151612902</v>
      </c>
      <c r="L191" s="97">
        <f t="shared" si="22"/>
        <v>68.806214393578529</v>
      </c>
      <c r="M191" s="107">
        <f t="shared" si="23"/>
        <v>412.83728636147117</v>
      </c>
    </row>
    <row r="192" spans="2:13" x14ac:dyDescent="0.2">
      <c r="B192" s="3">
        <v>114</v>
      </c>
      <c r="C192" s="95">
        <v>2</v>
      </c>
      <c r="D192" s="95">
        <v>2</v>
      </c>
      <c r="E192" s="95">
        <v>2</v>
      </c>
      <c r="F192" s="95">
        <v>1</v>
      </c>
      <c r="G192" s="95">
        <v>1</v>
      </c>
      <c r="H192" s="95">
        <v>1</v>
      </c>
      <c r="I192" s="95">
        <v>2</v>
      </c>
      <c r="J192" s="100">
        <f t="shared" si="20"/>
        <v>31.270000000000003</v>
      </c>
      <c r="K192" s="101">
        <f t="shared" si="21"/>
        <v>-2.4236821810289864</v>
      </c>
      <c r="L192" s="97">
        <f t="shared" si="22"/>
        <v>35.582125436444436</v>
      </c>
      <c r="M192" s="107">
        <f t="shared" si="23"/>
        <v>213.4927526186666</v>
      </c>
    </row>
    <row r="193" spans="2:13" x14ac:dyDescent="0.2">
      <c r="B193" s="3">
        <v>90</v>
      </c>
      <c r="C193" s="95">
        <v>2</v>
      </c>
      <c r="D193" s="95">
        <v>1</v>
      </c>
      <c r="E193" s="95">
        <v>2</v>
      </c>
      <c r="F193" s="95">
        <v>2</v>
      </c>
      <c r="G193" s="95">
        <v>1</v>
      </c>
      <c r="H193" s="95">
        <v>1</v>
      </c>
      <c r="I193" s="95">
        <v>2</v>
      </c>
      <c r="J193" s="100">
        <f t="shared" si="20"/>
        <v>25.790000000000006</v>
      </c>
      <c r="K193" s="101">
        <f t="shared" si="21"/>
        <v>-3.9550488119455651</v>
      </c>
      <c r="L193" s="97">
        <f t="shared" si="22"/>
        <v>33.232518080516378</v>
      </c>
      <c r="M193" s="107">
        <f t="shared" si="23"/>
        <v>199.39510848309828</v>
      </c>
    </row>
    <row r="194" spans="2:13" x14ac:dyDescent="0.2">
      <c r="B194" s="3">
        <v>54</v>
      </c>
      <c r="C194" s="95">
        <v>1</v>
      </c>
      <c r="D194" s="95">
        <v>2</v>
      </c>
      <c r="E194" s="95">
        <v>2</v>
      </c>
      <c r="F194" s="95">
        <v>1</v>
      </c>
      <c r="G194" s="95">
        <v>2</v>
      </c>
      <c r="H194" s="95">
        <v>1</v>
      </c>
      <c r="I194" s="95">
        <v>2</v>
      </c>
      <c r="J194" s="100">
        <f t="shared" si="20"/>
        <v>31.96</v>
      </c>
      <c r="K194" s="101">
        <f t="shared" si="21"/>
        <v>-3.7346368602568822</v>
      </c>
      <c r="L194" s="97">
        <f t="shared" si="22"/>
        <v>40.485193682666953</v>
      </c>
      <c r="M194" s="107">
        <f t="shared" si="23"/>
        <v>242.9111620960017</v>
      </c>
    </row>
    <row r="195" spans="2:13" x14ac:dyDescent="0.2">
      <c r="B195" s="3">
        <v>30</v>
      </c>
      <c r="C195" s="95">
        <v>1</v>
      </c>
      <c r="D195" s="95">
        <v>1</v>
      </c>
      <c r="E195" s="95">
        <v>2</v>
      </c>
      <c r="F195" s="95">
        <v>2</v>
      </c>
      <c r="G195" s="95">
        <v>2</v>
      </c>
      <c r="H195" s="95">
        <v>1</v>
      </c>
      <c r="I195" s="95">
        <v>2</v>
      </c>
      <c r="J195" s="100">
        <f t="shared" si="20"/>
        <v>26.479999999999997</v>
      </c>
      <c r="K195" s="101">
        <f t="shared" si="21"/>
        <v>-5.2660034911734614</v>
      </c>
      <c r="L195" s="97">
        <f t="shared" si="22"/>
        <v>37.544605485330045</v>
      </c>
      <c r="M195" s="107">
        <f t="shared" si="23"/>
        <v>225.26763291198029</v>
      </c>
    </row>
    <row r="196" spans="2:13" x14ac:dyDescent="0.2">
      <c r="B196" s="3">
        <v>122</v>
      </c>
      <c r="C196" s="95">
        <v>2</v>
      </c>
      <c r="D196" s="95">
        <v>2</v>
      </c>
      <c r="E196" s="95">
        <v>2</v>
      </c>
      <c r="F196" s="95">
        <v>2</v>
      </c>
      <c r="G196" s="95">
        <v>1</v>
      </c>
      <c r="H196" s="95">
        <v>1</v>
      </c>
      <c r="I196" s="95">
        <v>2</v>
      </c>
      <c r="J196" s="100">
        <f t="shared" si="20"/>
        <v>17.110000000000003</v>
      </c>
      <c r="K196" s="101">
        <f t="shared" si="21"/>
        <v>0.58251324295884066</v>
      </c>
      <c r="L196" s="97">
        <f t="shared" si="22"/>
        <v>14.761304005338433</v>
      </c>
      <c r="M196" s="107">
        <f t="shared" si="23"/>
        <v>88.5678240320306</v>
      </c>
    </row>
    <row r="197" spans="2:13" x14ac:dyDescent="0.2">
      <c r="B197" s="3">
        <v>62</v>
      </c>
      <c r="C197" s="95">
        <v>1</v>
      </c>
      <c r="D197" s="95">
        <v>2</v>
      </c>
      <c r="E197" s="95">
        <v>2</v>
      </c>
      <c r="F197" s="95">
        <v>2</v>
      </c>
      <c r="G197" s="95">
        <v>2</v>
      </c>
      <c r="H197" s="95">
        <v>1</v>
      </c>
      <c r="I197" s="95">
        <v>2</v>
      </c>
      <c r="J197" s="100">
        <f t="shared" si="20"/>
        <v>17.799999999999997</v>
      </c>
      <c r="K197" s="101">
        <f t="shared" si="21"/>
        <v>-0.72844143626905522</v>
      </c>
      <c r="L197" s="97">
        <f t="shared" si="22"/>
        <v>17.407680295007555</v>
      </c>
      <c r="M197" s="107">
        <f t="shared" si="23"/>
        <v>104.44608177004534</v>
      </c>
    </row>
    <row r="198" spans="2:13" x14ac:dyDescent="0.2">
      <c r="B198" s="3">
        <v>81</v>
      </c>
      <c r="C198" s="95">
        <v>2</v>
      </c>
      <c r="D198" s="95">
        <v>1</v>
      </c>
      <c r="E198" s="95">
        <v>2</v>
      </c>
      <c r="F198" s="95">
        <v>1</v>
      </c>
      <c r="G198" s="95">
        <v>1</v>
      </c>
      <c r="H198" s="95">
        <v>1</v>
      </c>
      <c r="I198" s="95">
        <v>1</v>
      </c>
      <c r="J198" s="100">
        <f t="shared" si="20"/>
        <v>29.950000000000003</v>
      </c>
      <c r="K198" s="101">
        <f t="shared" si="21"/>
        <v>-4.8361052461316332</v>
      </c>
      <c r="L198" s="97">
        <f t="shared" si="22"/>
        <v>41.202130291135937</v>
      </c>
      <c r="M198" s="107">
        <f t="shared" si="23"/>
        <v>247.21278174681561</v>
      </c>
    </row>
    <row r="199" spans="2:13" x14ac:dyDescent="0.2">
      <c r="B199" s="84">
        <v>21</v>
      </c>
      <c r="C199" s="95">
        <v>1</v>
      </c>
      <c r="D199" s="95">
        <v>1</v>
      </c>
      <c r="E199" s="95">
        <v>2</v>
      </c>
      <c r="F199" s="95">
        <v>1</v>
      </c>
      <c r="G199" s="95">
        <v>2</v>
      </c>
      <c r="H199" s="95">
        <v>1</v>
      </c>
      <c r="I199" s="95">
        <v>1</v>
      </c>
      <c r="J199" s="100">
        <f t="shared" si="20"/>
        <v>30.64</v>
      </c>
      <c r="K199" s="101">
        <f t="shared" si="21"/>
        <v>-6.1470599253595291</v>
      </c>
      <c r="L199" s="97">
        <f t="shared" si="22"/>
        <v>46.043945166361816</v>
      </c>
      <c r="M199" s="107">
        <f t="shared" si="23"/>
        <v>276.26367099817088</v>
      </c>
    </row>
    <row r="200" spans="2:13" x14ac:dyDescent="0.2">
      <c r="B200" s="3">
        <v>70</v>
      </c>
      <c r="C200" s="95">
        <v>2</v>
      </c>
      <c r="D200" s="95">
        <v>1</v>
      </c>
      <c r="E200" s="95">
        <v>1</v>
      </c>
      <c r="F200" s="95">
        <v>1</v>
      </c>
      <c r="G200" s="95">
        <v>2</v>
      </c>
      <c r="H200" s="95">
        <v>1</v>
      </c>
      <c r="I200" s="95">
        <v>2</v>
      </c>
      <c r="J200" s="100">
        <f t="shared" si="20"/>
        <v>41.07</v>
      </c>
      <c r="K200" s="101">
        <f t="shared" si="21"/>
        <v>0.23523324547262137</v>
      </c>
      <c r="L200" s="97">
        <f t="shared" si="22"/>
        <v>36.651266350381036</v>
      </c>
      <c r="M200" s="107">
        <f t="shared" si="23"/>
        <v>219.90759810228622</v>
      </c>
    </row>
    <row r="201" spans="2:13" x14ac:dyDescent="0.2">
      <c r="B201" s="3">
        <v>113</v>
      </c>
      <c r="C201" s="95">
        <v>2</v>
      </c>
      <c r="D201" s="95">
        <v>2</v>
      </c>
      <c r="E201" s="95">
        <v>2</v>
      </c>
      <c r="F201" s="95">
        <v>1</v>
      </c>
      <c r="G201" s="95">
        <v>1</v>
      </c>
      <c r="H201" s="95">
        <v>1</v>
      </c>
      <c r="I201" s="95">
        <v>1</v>
      </c>
      <c r="J201" s="100">
        <f t="shared" si="20"/>
        <v>21.270000000000003</v>
      </c>
      <c r="K201" s="101">
        <f t="shared" si="21"/>
        <v>-0.29854319122722606</v>
      </c>
      <c r="L201" s="97">
        <f t="shared" si="22"/>
        <v>19.977623072280871</v>
      </c>
      <c r="M201" s="107">
        <f t="shared" si="23"/>
        <v>119.86573843368522</v>
      </c>
    </row>
    <row r="202" spans="2:13" x14ac:dyDescent="0.2">
      <c r="B202" s="3">
        <v>88</v>
      </c>
      <c r="C202" s="95">
        <v>2</v>
      </c>
      <c r="D202" s="95">
        <v>1</v>
      </c>
      <c r="E202" s="95">
        <v>2</v>
      </c>
      <c r="F202" s="95">
        <v>1</v>
      </c>
      <c r="G202" s="95">
        <v>2</v>
      </c>
      <c r="H202" s="95">
        <v>2</v>
      </c>
      <c r="I202" s="95">
        <v>2</v>
      </c>
      <c r="J202" s="100">
        <f t="shared" si="20"/>
        <v>41.55</v>
      </c>
      <c r="K202" s="101">
        <f t="shared" si="21"/>
        <v>-6.0443054690976608</v>
      </c>
      <c r="L202" s="97">
        <f t="shared" si="22"/>
        <v>62.032953615206885</v>
      </c>
      <c r="M202" s="107">
        <f t="shared" si="23"/>
        <v>372.19772169124133</v>
      </c>
    </row>
    <row r="203" spans="2:13" x14ac:dyDescent="0.2">
      <c r="B203" s="3">
        <v>89</v>
      </c>
      <c r="C203" s="95">
        <v>2</v>
      </c>
      <c r="D203" s="95">
        <v>1</v>
      </c>
      <c r="E203" s="95">
        <v>2</v>
      </c>
      <c r="F203" s="95">
        <v>2</v>
      </c>
      <c r="G203" s="95">
        <v>1</v>
      </c>
      <c r="H203" s="95">
        <v>1</v>
      </c>
      <c r="I203" s="95">
        <v>1</v>
      </c>
      <c r="J203" s="100">
        <f t="shared" si="20"/>
        <v>15.790000000000006</v>
      </c>
      <c r="K203" s="101">
        <f t="shared" si="21"/>
        <v>-1.8299098221438048</v>
      </c>
      <c r="L203" s="97">
        <f t="shared" si="22"/>
        <v>17.064947028647886</v>
      </c>
      <c r="M203" s="107">
        <f t="shared" si="23"/>
        <v>102.38968217188732</v>
      </c>
    </row>
    <row r="204" spans="2:13" x14ac:dyDescent="0.2">
      <c r="B204" s="3">
        <v>102</v>
      </c>
      <c r="C204" s="95">
        <v>2</v>
      </c>
      <c r="D204" s="95">
        <v>2</v>
      </c>
      <c r="E204" s="95">
        <v>1</v>
      </c>
      <c r="F204" s="95">
        <v>1</v>
      </c>
      <c r="G204" s="95">
        <v>2</v>
      </c>
      <c r="H204" s="95">
        <v>1</v>
      </c>
      <c r="I204" s="95">
        <v>2</v>
      </c>
      <c r="J204" s="100">
        <f t="shared" si="20"/>
        <v>32.39</v>
      </c>
      <c r="K204" s="101">
        <f t="shared" si="21"/>
        <v>4.7727953003770276</v>
      </c>
      <c r="L204" s="97">
        <f t="shared" si="22"/>
        <v>18.10346749015795</v>
      </c>
      <c r="M204" s="107">
        <f t="shared" si="23"/>
        <v>108.62080494094769</v>
      </c>
    </row>
    <row r="205" spans="2:13" x14ac:dyDescent="0.2">
      <c r="B205" s="3">
        <v>53</v>
      </c>
      <c r="C205" s="95">
        <v>1</v>
      </c>
      <c r="D205" s="95">
        <v>2</v>
      </c>
      <c r="E205" s="95">
        <v>2</v>
      </c>
      <c r="F205" s="95">
        <v>1</v>
      </c>
      <c r="G205" s="95">
        <v>2</v>
      </c>
      <c r="H205" s="95">
        <v>1</v>
      </c>
      <c r="I205" s="95">
        <v>1</v>
      </c>
      <c r="J205" s="100">
        <f t="shared" si="20"/>
        <v>21.96</v>
      </c>
      <c r="K205" s="101">
        <f t="shared" si="21"/>
        <v>-1.6094978704551219</v>
      </c>
      <c r="L205" s="97">
        <f t="shared" si="22"/>
        <v>23.273374893332935</v>
      </c>
      <c r="M205" s="107">
        <f t="shared" si="23"/>
        <v>139.6402493599976</v>
      </c>
    </row>
    <row r="206" spans="2:13" x14ac:dyDescent="0.2">
      <c r="B206" s="3">
        <v>29</v>
      </c>
      <c r="C206" s="95">
        <v>1</v>
      </c>
      <c r="D206" s="95">
        <v>1</v>
      </c>
      <c r="E206" s="95">
        <v>2</v>
      </c>
      <c r="F206" s="95">
        <v>2</v>
      </c>
      <c r="G206" s="95">
        <v>2</v>
      </c>
      <c r="H206" s="95">
        <v>1</v>
      </c>
      <c r="I206" s="95">
        <v>1</v>
      </c>
      <c r="J206" s="100">
        <f t="shared" si="20"/>
        <v>16.479999999999997</v>
      </c>
      <c r="K206" s="101">
        <f t="shared" si="21"/>
        <v>-3.1408645013717007</v>
      </c>
      <c r="L206" s="97">
        <f t="shared" si="22"/>
        <v>19.909075539339216</v>
      </c>
      <c r="M206" s="107">
        <f t="shared" si="23"/>
        <v>119.45445323603531</v>
      </c>
    </row>
    <row r="207" spans="2:13" x14ac:dyDescent="0.2">
      <c r="B207" s="3">
        <v>78</v>
      </c>
      <c r="C207" s="95">
        <v>2</v>
      </c>
      <c r="D207" s="95">
        <v>1</v>
      </c>
      <c r="E207" s="95">
        <v>1</v>
      </c>
      <c r="F207" s="95">
        <v>2</v>
      </c>
      <c r="G207" s="95">
        <v>2</v>
      </c>
      <c r="H207" s="95">
        <v>1</v>
      </c>
      <c r="I207" s="95">
        <v>2</v>
      </c>
      <c r="J207" s="100">
        <f t="shared" si="20"/>
        <v>26.909999999999997</v>
      </c>
      <c r="K207" s="101">
        <f t="shared" si="21"/>
        <v>3.2414286694604484</v>
      </c>
      <c r="L207" s="97">
        <f t="shared" si="22"/>
        <v>17.708079306513916</v>
      </c>
      <c r="M207" s="107">
        <f t="shared" si="23"/>
        <v>106.2484758390835</v>
      </c>
    </row>
    <row r="208" spans="2:13" x14ac:dyDescent="0.2">
      <c r="B208" s="3">
        <v>121</v>
      </c>
      <c r="C208" s="95">
        <v>2</v>
      </c>
      <c r="D208" s="95">
        <v>2</v>
      </c>
      <c r="E208" s="95">
        <v>2</v>
      </c>
      <c r="F208" s="95">
        <v>2</v>
      </c>
      <c r="G208" s="95">
        <v>1</v>
      </c>
      <c r="H208" s="95">
        <v>1</v>
      </c>
      <c r="I208" s="95">
        <v>1</v>
      </c>
      <c r="J208" s="100">
        <f t="shared" si="20"/>
        <v>7.1100000000000048</v>
      </c>
      <c r="K208" s="101">
        <f t="shared" si="21"/>
        <v>2.707652232760601</v>
      </c>
      <c r="L208" s="97">
        <f t="shared" si="22"/>
        <v>4.9473263804988843</v>
      </c>
      <c r="M208" s="107">
        <f t="shared" si="23"/>
        <v>29.683958282993306</v>
      </c>
    </row>
    <row r="209" spans="2:13" x14ac:dyDescent="0.2">
      <c r="B209" s="3">
        <v>120</v>
      </c>
      <c r="C209" s="95">
        <v>2</v>
      </c>
      <c r="D209" s="95">
        <v>2</v>
      </c>
      <c r="E209" s="95">
        <v>2</v>
      </c>
      <c r="F209" s="95">
        <v>1</v>
      </c>
      <c r="G209" s="95">
        <v>2</v>
      </c>
      <c r="H209" s="95">
        <v>2</v>
      </c>
      <c r="I209" s="95">
        <v>2</v>
      </c>
      <c r="J209" s="100">
        <f t="shared" si="20"/>
        <v>32.869999999999997</v>
      </c>
      <c r="K209" s="101">
        <f t="shared" si="21"/>
        <v>-1.5067434141932545</v>
      </c>
      <c r="L209" s="97">
        <f t="shared" si="22"/>
        <v>34.516964862330376</v>
      </c>
      <c r="M209" s="107">
        <f t="shared" si="23"/>
        <v>207.10178917398224</v>
      </c>
    </row>
    <row r="210" spans="2:13" x14ac:dyDescent="0.2">
      <c r="B210" s="3">
        <v>96</v>
      </c>
      <c r="C210" s="95">
        <v>2</v>
      </c>
      <c r="D210" s="95">
        <v>1</v>
      </c>
      <c r="E210" s="95">
        <v>2</v>
      </c>
      <c r="F210" s="95">
        <v>2</v>
      </c>
      <c r="G210" s="95">
        <v>2</v>
      </c>
      <c r="H210" s="95">
        <v>2</v>
      </c>
      <c r="I210" s="95">
        <v>2</v>
      </c>
      <c r="J210" s="100">
        <f t="shared" si="20"/>
        <v>27.39</v>
      </c>
      <c r="K210" s="101">
        <f t="shared" si="21"/>
        <v>-3.0381100451098333</v>
      </c>
      <c r="L210" s="97">
        <f t="shared" si="22"/>
        <v>32.812197751529396</v>
      </c>
      <c r="M210" s="107">
        <f t="shared" si="23"/>
        <v>196.87318650917638</v>
      </c>
    </row>
    <row r="211" spans="2:13" x14ac:dyDescent="0.2">
      <c r="B211" s="3">
        <v>61</v>
      </c>
      <c r="C211" s="95">
        <v>1</v>
      </c>
      <c r="D211" s="95">
        <v>2</v>
      </c>
      <c r="E211" s="95">
        <v>2</v>
      </c>
      <c r="F211" s="95">
        <v>2</v>
      </c>
      <c r="G211" s="95">
        <v>2</v>
      </c>
      <c r="H211" s="95">
        <v>1</v>
      </c>
      <c r="I211" s="95">
        <v>1</v>
      </c>
      <c r="J211" s="100">
        <f t="shared" si="20"/>
        <v>7.7999999999999972</v>
      </c>
      <c r="K211" s="101">
        <f t="shared" si="21"/>
        <v>1.3966975535327051</v>
      </c>
      <c r="L211" s="97">
        <f t="shared" si="22"/>
        <v>6.2066531073355664</v>
      </c>
      <c r="M211" s="107">
        <f t="shared" si="23"/>
        <v>37.2399186440134</v>
      </c>
    </row>
    <row r="212" spans="2:13" x14ac:dyDescent="0.2">
      <c r="B212" s="84">
        <v>110</v>
      </c>
      <c r="C212" s="95">
        <v>2</v>
      </c>
      <c r="D212" s="95">
        <v>2</v>
      </c>
      <c r="E212" s="95">
        <v>1</v>
      </c>
      <c r="F212" s="95">
        <v>2</v>
      </c>
      <c r="G212" s="95">
        <v>2</v>
      </c>
      <c r="H212" s="95">
        <v>1</v>
      </c>
      <c r="I212" s="95">
        <v>2</v>
      </c>
      <c r="J212" s="100">
        <f t="shared" si="20"/>
        <v>18.229999999999997</v>
      </c>
      <c r="K212" s="101">
        <f t="shared" si="21"/>
        <v>7.7789907243648537</v>
      </c>
      <c r="L212" s="97">
        <f t="shared" si="22"/>
        <v>7.3234014947905006</v>
      </c>
      <c r="M212" s="107">
        <f t="shared" si="23"/>
        <v>43.940408968743</v>
      </c>
    </row>
    <row r="213" spans="2:13" x14ac:dyDescent="0.2">
      <c r="B213" s="3">
        <v>128</v>
      </c>
      <c r="C213" s="95">
        <v>2</v>
      </c>
      <c r="D213" s="95">
        <v>2</v>
      </c>
      <c r="E213" s="95">
        <v>2</v>
      </c>
      <c r="F213" s="95">
        <v>2</v>
      </c>
      <c r="G213" s="95">
        <v>2</v>
      </c>
      <c r="H213" s="95">
        <v>2</v>
      </c>
      <c r="I213" s="95">
        <v>2</v>
      </c>
      <c r="J213" s="100">
        <f t="shared" si="20"/>
        <v>18.71</v>
      </c>
      <c r="K213" s="101">
        <f t="shared" si="21"/>
        <v>1.4994520097945725</v>
      </c>
      <c r="L213" s="97">
        <f t="shared" si="22"/>
        <v>14.734753367907713</v>
      </c>
      <c r="M213" s="107">
        <f t="shared" si="23"/>
        <v>88.408520207446273</v>
      </c>
    </row>
    <row r="214" spans="2:13" x14ac:dyDescent="0.2">
      <c r="B214" s="3">
        <v>18</v>
      </c>
      <c r="C214" s="95">
        <v>1</v>
      </c>
      <c r="D214" s="95">
        <v>1</v>
      </c>
      <c r="E214" s="95">
        <v>2</v>
      </c>
      <c r="F214" s="95">
        <v>1</v>
      </c>
      <c r="G214" s="95">
        <v>1</v>
      </c>
      <c r="H214" s="95">
        <v>1</v>
      </c>
      <c r="I214" s="95">
        <v>2</v>
      </c>
      <c r="J214" s="100">
        <f t="shared" si="20"/>
        <v>26.810000000000002</v>
      </c>
      <c r="K214" s="101">
        <f t="shared" si="21"/>
        <v>-6.9612442359333935</v>
      </c>
      <c r="L214" s="97">
        <f t="shared" si="22"/>
        <v>42.320837922663941</v>
      </c>
      <c r="M214" s="107">
        <f t="shared" si="23"/>
        <v>253.92502753598365</v>
      </c>
    </row>
    <row r="215" spans="2:13" x14ac:dyDescent="0.2">
      <c r="B215" s="3">
        <v>50</v>
      </c>
      <c r="C215" s="95">
        <v>1</v>
      </c>
      <c r="D215" s="95">
        <v>2</v>
      </c>
      <c r="E215" s="95">
        <v>2</v>
      </c>
      <c r="F215" s="95">
        <v>1</v>
      </c>
      <c r="G215" s="95">
        <v>1</v>
      </c>
      <c r="H215" s="95">
        <v>1</v>
      </c>
      <c r="I215" s="95">
        <v>2</v>
      </c>
      <c r="J215" s="100">
        <f t="shared" si="20"/>
        <v>18.13</v>
      </c>
      <c r="K215" s="101">
        <f t="shared" si="21"/>
        <v>-2.4236821810289864</v>
      </c>
      <c r="L215" s="97">
        <f t="shared" si="22"/>
        <v>20.630122614734169</v>
      </c>
      <c r="M215" s="107">
        <f t="shared" si="23"/>
        <v>123.78073568840502</v>
      </c>
    </row>
    <row r="216" spans="2:13" x14ac:dyDescent="0.2">
      <c r="B216" s="3">
        <v>69</v>
      </c>
      <c r="C216" s="95">
        <v>2</v>
      </c>
      <c r="D216" s="95">
        <v>1</v>
      </c>
      <c r="E216" s="95">
        <v>1</v>
      </c>
      <c r="F216" s="95">
        <v>1</v>
      </c>
      <c r="G216" s="95">
        <v>2</v>
      </c>
      <c r="H216" s="95">
        <v>1</v>
      </c>
      <c r="I216" s="95">
        <v>1</v>
      </c>
      <c r="J216" s="100">
        <f t="shared" si="20"/>
        <v>31.07</v>
      </c>
      <c r="K216" s="101">
        <f t="shared" si="21"/>
        <v>2.3603722352743817</v>
      </c>
      <c r="L216" s="97">
        <f t="shared" si="22"/>
        <v>22.411077398656662</v>
      </c>
      <c r="M216" s="107">
        <f t="shared" si="23"/>
        <v>134.46646439193998</v>
      </c>
    </row>
    <row r="217" spans="2:13" x14ac:dyDescent="0.2">
      <c r="B217" s="3">
        <v>26</v>
      </c>
      <c r="C217" s="95">
        <v>1</v>
      </c>
      <c r="D217" s="95">
        <v>1</v>
      </c>
      <c r="E217" s="95">
        <v>2</v>
      </c>
      <c r="F217" s="95">
        <v>2</v>
      </c>
      <c r="G217" s="95">
        <v>1</v>
      </c>
      <c r="H217" s="95">
        <v>1</v>
      </c>
      <c r="I217" s="95">
        <v>2</v>
      </c>
      <c r="J217" s="100">
        <f t="shared" si="20"/>
        <v>12.649999999999999</v>
      </c>
      <c r="K217" s="101">
        <f t="shared" si="21"/>
        <v>-3.9550488119455651</v>
      </c>
      <c r="L217" s="97">
        <f t="shared" si="22"/>
        <v>16.30055656140101</v>
      </c>
      <c r="M217" s="107">
        <f t="shared" si="23"/>
        <v>97.803339368406057</v>
      </c>
    </row>
    <row r="218" spans="2:13" x14ac:dyDescent="0.2">
      <c r="B218" s="3">
        <v>87</v>
      </c>
      <c r="C218" s="95">
        <v>2</v>
      </c>
      <c r="D218" s="95">
        <v>1</v>
      </c>
      <c r="E218" s="95">
        <v>2</v>
      </c>
      <c r="F218" s="95">
        <v>1</v>
      </c>
      <c r="G218" s="95">
        <v>2</v>
      </c>
      <c r="H218" s="95">
        <v>2</v>
      </c>
      <c r="I218" s="95">
        <v>1</v>
      </c>
      <c r="J218" s="100">
        <f t="shared" si="20"/>
        <v>31.549999999999997</v>
      </c>
      <c r="K218" s="101">
        <f t="shared" si="21"/>
        <v>-3.9191664792959</v>
      </c>
      <c r="L218" s="97">
        <f t="shared" si="22"/>
        <v>40.542573951116495</v>
      </c>
      <c r="M218" s="107">
        <f t="shared" si="23"/>
        <v>243.25544370669897</v>
      </c>
    </row>
    <row r="219" spans="2:13" x14ac:dyDescent="0.2">
      <c r="B219" s="3">
        <v>101</v>
      </c>
      <c r="C219" s="95">
        <v>2</v>
      </c>
      <c r="D219" s="95">
        <v>2</v>
      </c>
      <c r="E219" s="95">
        <v>1</v>
      </c>
      <c r="F219" s="95">
        <v>1</v>
      </c>
      <c r="G219" s="95">
        <v>2</v>
      </c>
      <c r="H219" s="95">
        <v>1</v>
      </c>
      <c r="I219" s="95">
        <v>1</v>
      </c>
      <c r="J219" s="100">
        <f t="shared" si="20"/>
        <v>22.39</v>
      </c>
      <c r="K219" s="101">
        <f t="shared" si="21"/>
        <v>6.8979342901787879</v>
      </c>
      <c r="L219" s="97">
        <f t="shared" si="22"/>
        <v>9.918875346818103</v>
      </c>
      <c r="M219" s="107">
        <f t="shared" si="23"/>
        <v>59.513252080908615</v>
      </c>
    </row>
    <row r="220" spans="2:13" x14ac:dyDescent="0.2">
      <c r="B220" s="3">
        <v>58</v>
      </c>
      <c r="C220" s="95">
        <v>1</v>
      </c>
      <c r="D220" s="95">
        <v>2</v>
      </c>
      <c r="E220" s="95">
        <v>2</v>
      </c>
      <c r="F220" s="95">
        <v>2</v>
      </c>
      <c r="G220" s="95">
        <v>1</v>
      </c>
      <c r="H220" s="95">
        <v>1</v>
      </c>
      <c r="I220" s="95">
        <v>2</v>
      </c>
      <c r="J220" s="100">
        <f t="shared" si="20"/>
        <v>3.9699999999999989</v>
      </c>
      <c r="K220" s="101">
        <f t="shared" si="21"/>
        <v>0.58251324295884066</v>
      </c>
      <c r="L220" s="97">
        <f t="shared" si="22"/>
        <v>3.4250366394619256</v>
      </c>
      <c r="M220" s="107">
        <f t="shared" si="23"/>
        <v>20.550219836771554</v>
      </c>
    </row>
    <row r="221" spans="2:13" x14ac:dyDescent="0.2">
      <c r="B221" s="3">
        <v>77</v>
      </c>
      <c r="C221" s="95">
        <v>2</v>
      </c>
      <c r="D221" s="95">
        <v>1</v>
      </c>
      <c r="E221" s="95">
        <v>1</v>
      </c>
      <c r="F221" s="95">
        <v>2</v>
      </c>
      <c r="G221" s="95">
        <v>2</v>
      </c>
      <c r="H221" s="95">
        <v>1</v>
      </c>
      <c r="I221" s="95">
        <v>1</v>
      </c>
      <c r="J221" s="100">
        <f t="shared" si="20"/>
        <v>16.91</v>
      </c>
      <c r="K221" s="101">
        <f t="shared" si="21"/>
        <v>5.3665676592622082</v>
      </c>
      <c r="L221" s="97">
        <f t="shared" si="22"/>
        <v>8.8623001558866363</v>
      </c>
      <c r="M221" s="107">
        <f t="shared" si="23"/>
        <v>53.173800935319818</v>
      </c>
    </row>
    <row r="222" spans="2:13" x14ac:dyDescent="0.2">
      <c r="B222" s="3">
        <v>119</v>
      </c>
      <c r="C222" s="95">
        <v>2</v>
      </c>
      <c r="D222" s="95">
        <v>2</v>
      </c>
      <c r="E222" s="95">
        <v>2</v>
      </c>
      <c r="F222" s="95">
        <v>1</v>
      </c>
      <c r="G222" s="95">
        <v>2</v>
      </c>
      <c r="H222" s="95">
        <v>2</v>
      </c>
      <c r="I222" s="95">
        <v>1</v>
      </c>
      <c r="J222" s="100">
        <f t="shared" si="20"/>
        <v>22.87</v>
      </c>
      <c r="K222" s="101">
        <f t="shared" si="21"/>
        <v>0.61839557560850578</v>
      </c>
      <c r="L222" s="97">
        <f t="shared" si="22"/>
        <v>19.661330281432644</v>
      </c>
      <c r="M222" s="107">
        <f t="shared" si="23"/>
        <v>117.96798168859587</v>
      </c>
    </row>
    <row r="223" spans="2:13" x14ac:dyDescent="0.2">
      <c r="B223" s="3">
        <v>95</v>
      </c>
      <c r="C223" s="95">
        <v>2</v>
      </c>
      <c r="D223" s="95">
        <v>1</v>
      </c>
      <c r="E223" s="95">
        <v>2</v>
      </c>
      <c r="F223" s="95">
        <v>2</v>
      </c>
      <c r="G223" s="95">
        <v>2</v>
      </c>
      <c r="H223" s="95">
        <v>2</v>
      </c>
      <c r="I223" s="95">
        <v>1</v>
      </c>
      <c r="J223" s="100">
        <f t="shared" si="20"/>
        <v>17.390000000000004</v>
      </c>
      <c r="K223" s="101">
        <f t="shared" si="21"/>
        <v>-0.91297105530807299</v>
      </c>
      <c r="L223" s="97">
        <f t="shared" si="22"/>
        <v>17.300215972817039</v>
      </c>
      <c r="M223" s="107">
        <f t="shared" si="23"/>
        <v>103.80129583690223</v>
      </c>
    </row>
    <row r="224" spans="2:13" x14ac:dyDescent="0.2">
      <c r="B224" s="3">
        <v>109</v>
      </c>
      <c r="C224" s="95">
        <v>2</v>
      </c>
      <c r="D224" s="95">
        <v>2</v>
      </c>
      <c r="E224" s="95">
        <v>1</v>
      </c>
      <c r="F224" s="95">
        <v>2</v>
      </c>
      <c r="G224" s="95">
        <v>2</v>
      </c>
      <c r="H224" s="95">
        <v>1</v>
      </c>
      <c r="I224" s="95">
        <v>1</v>
      </c>
      <c r="J224" s="100">
        <f t="shared" si="20"/>
        <v>8.23</v>
      </c>
      <c r="K224" s="101">
        <f t="shared" si="21"/>
        <v>9.9041297141666149</v>
      </c>
      <c r="L224" s="97">
        <f t="shared" si="22"/>
        <v>2.604943144606465</v>
      </c>
      <c r="M224" s="107">
        <f t="shared" si="23"/>
        <v>15.62965886763879</v>
      </c>
    </row>
    <row r="225" spans="2:13" x14ac:dyDescent="0.2">
      <c r="B225" s="3">
        <v>127</v>
      </c>
      <c r="C225" s="95">
        <v>2</v>
      </c>
      <c r="D225" s="95">
        <v>2</v>
      </c>
      <c r="E225" s="95">
        <v>2</v>
      </c>
      <c r="F225" s="95">
        <v>2</v>
      </c>
      <c r="G225" s="95">
        <v>2</v>
      </c>
      <c r="H225" s="95">
        <v>2</v>
      </c>
      <c r="I225" s="95">
        <v>1</v>
      </c>
      <c r="J225" s="100">
        <f t="shared" si="20"/>
        <v>8.7100000000000044</v>
      </c>
      <c r="K225" s="101">
        <f t="shared" si="21"/>
        <v>3.6245909995963328</v>
      </c>
      <c r="L225" s="97">
        <f t="shared" si="22"/>
        <v>5.5044223123938432</v>
      </c>
      <c r="M225" s="107">
        <f t="shared" si="23"/>
        <v>33.026533874363061</v>
      </c>
    </row>
    <row r="226" spans="2:13" x14ac:dyDescent="0.2">
      <c r="B226" s="3">
        <v>17</v>
      </c>
      <c r="C226" s="95">
        <v>1</v>
      </c>
      <c r="D226" s="95">
        <v>1</v>
      </c>
      <c r="E226" s="95">
        <v>2</v>
      </c>
      <c r="F226" s="95">
        <v>1</v>
      </c>
      <c r="G226" s="95">
        <v>1</v>
      </c>
      <c r="H226" s="95">
        <v>1</v>
      </c>
      <c r="I226" s="95">
        <v>1</v>
      </c>
      <c r="J226" s="100">
        <f t="shared" si="20"/>
        <v>16.810000000000002</v>
      </c>
      <c r="K226" s="101">
        <f t="shared" si="21"/>
        <v>-4.8361052461316332</v>
      </c>
      <c r="L226" s="97">
        <f t="shared" si="22"/>
        <v>23.125469455559102</v>
      </c>
      <c r="M226" s="107">
        <f t="shared" si="23"/>
        <v>138.75281673335462</v>
      </c>
    </row>
    <row r="227" spans="2:13" x14ac:dyDescent="0.2">
      <c r="B227" s="3">
        <v>66</v>
      </c>
      <c r="C227" s="95">
        <v>2</v>
      </c>
      <c r="D227" s="95">
        <v>1</v>
      </c>
      <c r="E227" s="95">
        <v>1</v>
      </c>
      <c r="F227" s="95">
        <v>1</v>
      </c>
      <c r="G227" s="95">
        <v>1</v>
      </c>
      <c r="H227" s="95">
        <v>1</v>
      </c>
      <c r="I227" s="95">
        <v>2</v>
      </c>
      <c r="J227" s="100">
        <f t="shared" si="20"/>
        <v>27.240000000000002</v>
      </c>
      <c r="K227" s="101">
        <f t="shared" si="21"/>
        <v>1.5461879247005172</v>
      </c>
      <c r="L227" s="97">
        <f t="shared" si="22"/>
        <v>21.35147532493767</v>
      </c>
      <c r="M227" s="107">
        <f t="shared" si="23"/>
        <v>128.10885194962603</v>
      </c>
    </row>
    <row r="228" spans="2:13" x14ac:dyDescent="0.2">
      <c r="B228" s="3">
        <v>84</v>
      </c>
      <c r="C228" s="95">
        <v>2</v>
      </c>
      <c r="D228" s="95">
        <v>1</v>
      </c>
      <c r="E228" s="95">
        <v>2</v>
      </c>
      <c r="F228" s="95">
        <v>1</v>
      </c>
      <c r="G228" s="95">
        <v>1</v>
      </c>
      <c r="H228" s="95">
        <v>2</v>
      </c>
      <c r="I228" s="95">
        <v>2</v>
      </c>
      <c r="J228" s="100">
        <f t="shared" si="20"/>
        <v>27.72</v>
      </c>
      <c r="K228" s="101">
        <f t="shared" si="21"/>
        <v>-4.7333507898697649</v>
      </c>
      <c r="L228" s="97">
        <f t="shared" si="22"/>
        <v>37.853736041262749</v>
      </c>
      <c r="M228" s="107">
        <f t="shared" si="23"/>
        <v>227.1224162475765</v>
      </c>
    </row>
    <row r="229" spans="2:13" x14ac:dyDescent="0.2">
      <c r="B229" s="3">
        <v>6</v>
      </c>
      <c r="C229" s="95">
        <v>1</v>
      </c>
      <c r="D229" s="95">
        <v>1</v>
      </c>
      <c r="E229" s="95">
        <v>1</v>
      </c>
      <c r="F229" s="95">
        <v>1</v>
      </c>
      <c r="G229" s="95">
        <v>2</v>
      </c>
      <c r="H229" s="95">
        <v>1</v>
      </c>
      <c r="I229" s="95">
        <v>2</v>
      </c>
      <c r="J229" s="100">
        <f t="shared" si="20"/>
        <v>27.93</v>
      </c>
      <c r="K229" s="101">
        <f t="shared" si="21"/>
        <v>0.23523324547262137</v>
      </c>
      <c r="L229" s="97">
        <f t="shared" si="22"/>
        <v>24.925002901537436</v>
      </c>
      <c r="M229" s="107">
        <f t="shared" si="23"/>
        <v>149.55001740922461</v>
      </c>
    </row>
    <row r="230" spans="2:13" x14ac:dyDescent="0.2">
      <c r="B230" s="3">
        <v>49</v>
      </c>
      <c r="C230" s="95">
        <v>1</v>
      </c>
      <c r="D230" s="95">
        <v>2</v>
      </c>
      <c r="E230" s="95">
        <v>2</v>
      </c>
      <c r="F230" s="95">
        <v>1</v>
      </c>
      <c r="G230" s="95">
        <v>1</v>
      </c>
      <c r="H230" s="95">
        <v>1</v>
      </c>
      <c r="I230" s="95">
        <v>1</v>
      </c>
      <c r="J230" s="100">
        <f t="shared" si="20"/>
        <v>8.1300000000000008</v>
      </c>
      <c r="K230" s="101">
        <f t="shared" si="21"/>
        <v>-0.29854319122722606</v>
      </c>
      <c r="L230" s="97">
        <f t="shared" si="22"/>
        <v>7.636016717331616</v>
      </c>
      <c r="M230" s="107">
        <f t="shared" si="23"/>
        <v>45.8161003039897</v>
      </c>
    </row>
    <row r="231" spans="2:13" x14ac:dyDescent="0.2">
      <c r="B231" s="3">
        <v>98</v>
      </c>
      <c r="C231" s="95">
        <v>2</v>
      </c>
      <c r="D231" s="95">
        <v>2</v>
      </c>
      <c r="E231" s="95">
        <v>1</v>
      </c>
      <c r="F231" s="95">
        <v>1</v>
      </c>
      <c r="G231" s="95">
        <v>1</v>
      </c>
      <c r="H231" s="95">
        <v>1</v>
      </c>
      <c r="I231" s="95">
        <v>2</v>
      </c>
      <c r="J231" s="100">
        <f t="shared" si="20"/>
        <v>18.560000000000002</v>
      </c>
      <c r="K231" s="101">
        <f t="shared" si="21"/>
        <v>6.0837499796049235</v>
      </c>
      <c r="L231" s="97">
        <f t="shared" si="22"/>
        <v>8.9938397285747254</v>
      </c>
      <c r="M231" s="107">
        <f t="shared" si="23"/>
        <v>53.963038371448349</v>
      </c>
    </row>
    <row r="232" spans="2:13" x14ac:dyDescent="0.2">
      <c r="B232" s="3">
        <v>25</v>
      </c>
      <c r="C232" s="95">
        <v>1</v>
      </c>
      <c r="D232" s="95">
        <v>1</v>
      </c>
      <c r="E232" s="95">
        <v>2</v>
      </c>
      <c r="F232" s="95">
        <v>2</v>
      </c>
      <c r="G232" s="95">
        <v>1</v>
      </c>
      <c r="H232" s="95">
        <v>1</v>
      </c>
      <c r="I232" s="95">
        <v>1</v>
      </c>
      <c r="J232" s="100">
        <f t="shared" si="20"/>
        <v>2.6500000000000004</v>
      </c>
      <c r="K232" s="101">
        <f t="shared" si="21"/>
        <v>-1.8299098221438048</v>
      </c>
      <c r="L232" s="97">
        <f t="shared" si="22"/>
        <v>2.8639714772588278</v>
      </c>
      <c r="M232" s="107">
        <f t="shared" si="23"/>
        <v>17.183828863552968</v>
      </c>
    </row>
    <row r="233" spans="2:13" x14ac:dyDescent="0.2">
      <c r="B233" s="3">
        <v>74</v>
      </c>
      <c r="C233" s="95">
        <v>2</v>
      </c>
      <c r="D233" s="95">
        <v>1</v>
      </c>
      <c r="E233" s="95">
        <v>1</v>
      </c>
      <c r="F233" s="95">
        <v>2</v>
      </c>
      <c r="G233" s="95">
        <v>1</v>
      </c>
      <c r="H233" s="95">
        <v>1</v>
      </c>
      <c r="I233" s="95">
        <v>2</v>
      </c>
      <c r="J233" s="100">
        <f t="shared" si="20"/>
        <v>13.080000000000002</v>
      </c>
      <c r="K233" s="101">
        <f t="shared" si="21"/>
        <v>4.5523833486883438</v>
      </c>
      <c r="L233" s="97">
        <f t="shared" si="22"/>
        <v>7.48641645190063</v>
      </c>
      <c r="M233" s="107">
        <f t="shared" si="23"/>
        <v>44.918498711403778</v>
      </c>
    </row>
    <row r="234" spans="2:13" x14ac:dyDescent="0.2">
      <c r="B234" s="3">
        <v>24</v>
      </c>
      <c r="C234" s="95">
        <v>1</v>
      </c>
      <c r="D234" s="95">
        <v>1</v>
      </c>
      <c r="E234" s="95">
        <v>2</v>
      </c>
      <c r="F234" s="95">
        <v>1</v>
      </c>
      <c r="G234" s="95">
        <v>2</v>
      </c>
      <c r="H234" s="95">
        <v>2</v>
      </c>
      <c r="I234" s="95">
        <v>2</v>
      </c>
      <c r="J234" s="100">
        <f t="shared" si="20"/>
        <v>28.409999999999997</v>
      </c>
      <c r="K234" s="101">
        <f t="shared" si="21"/>
        <v>-6.0443054690976608</v>
      </c>
      <c r="L234" s="97">
        <f t="shared" si="22"/>
        <v>42.415311966498862</v>
      </c>
      <c r="M234" s="107">
        <f t="shared" si="23"/>
        <v>254.49187179899317</v>
      </c>
    </row>
    <row r="235" spans="2:13" x14ac:dyDescent="0.2">
      <c r="B235" s="3">
        <v>116</v>
      </c>
      <c r="C235" s="95">
        <v>2</v>
      </c>
      <c r="D235" s="95">
        <v>2</v>
      </c>
      <c r="E235" s="95">
        <v>2</v>
      </c>
      <c r="F235" s="95">
        <v>1</v>
      </c>
      <c r="G235" s="95">
        <v>1</v>
      </c>
      <c r="H235" s="95">
        <v>2</v>
      </c>
      <c r="I235" s="95">
        <v>2</v>
      </c>
      <c r="J235" s="100">
        <f t="shared" si="20"/>
        <v>19.04</v>
      </c>
      <c r="K235" s="101">
        <f t="shared" si="21"/>
        <v>-0.19578873496535865</v>
      </c>
      <c r="L235" s="97">
        <f t="shared" si="22"/>
        <v>17.709374797313636</v>
      </c>
      <c r="M235" s="107">
        <f t="shared" si="23"/>
        <v>106.25624878388182</v>
      </c>
    </row>
    <row r="236" spans="2:13" x14ac:dyDescent="0.2">
      <c r="B236" s="3">
        <v>38</v>
      </c>
      <c r="C236" s="95">
        <v>1</v>
      </c>
      <c r="D236" s="95">
        <v>2</v>
      </c>
      <c r="E236" s="95">
        <v>1</v>
      </c>
      <c r="F236" s="95">
        <v>1</v>
      </c>
      <c r="G236" s="95">
        <v>2</v>
      </c>
      <c r="H236" s="95">
        <v>1</v>
      </c>
      <c r="I236" s="95">
        <v>2</v>
      </c>
      <c r="J236" s="100">
        <f t="shared" si="20"/>
        <v>19.249999999999996</v>
      </c>
      <c r="K236" s="101">
        <f t="shared" si="21"/>
        <v>4.7727953003770276</v>
      </c>
      <c r="L236" s="97">
        <f t="shared" si="22"/>
        <v>10.75923893749739</v>
      </c>
      <c r="M236" s="107">
        <f t="shared" si="23"/>
        <v>64.555433624984346</v>
      </c>
    </row>
    <row r="237" spans="2:13" x14ac:dyDescent="0.2">
      <c r="B237" s="3">
        <v>92</v>
      </c>
      <c r="C237" s="95">
        <v>2</v>
      </c>
      <c r="D237" s="95">
        <v>1</v>
      </c>
      <c r="E237" s="95">
        <v>2</v>
      </c>
      <c r="F237" s="95">
        <v>2</v>
      </c>
      <c r="G237" s="95">
        <v>1</v>
      </c>
      <c r="H237" s="95">
        <v>2</v>
      </c>
      <c r="I237" s="95">
        <v>2</v>
      </c>
      <c r="J237" s="100">
        <f t="shared" si="20"/>
        <v>13.560000000000004</v>
      </c>
      <c r="K237" s="101">
        <f t="shared" si="21"/>
        <v>-1.7271553658819374</v>
      </c>
      <c r="L237" s="97">
        <f t="shared" si="22"/>
        <v>14.522257237091635</v>
      </c>
      <c r="M237" s="107">
        <f t="shared" si="23"/>
        <v>87.133543422549806</v>
      </c>
    </row>
    <row r="238" spans="2:13" x14ac:dyDescent="0.2">
      <c r="B238" s="3">
        <v>14</v>
      </c>
      <c r="C238" s="95">
        <v>1</v>
      </c>
      <c r="D238" s="95">
        <v>1</v>
      </c>
      <c r="E238" s="95">
        <v>1</v>
      </c>
      <c r="F238" s="95">
        <v>2</v>
      </c>
      <c r="G238" s="95">
        <v>2</v>
      </c>
      <c r="H238" s="95">
        <v>1</v>
      </c>
      <c r="I238" s="95">
        <v>2</v>
      </c>
      <c r="J238" s="100">
        <f t="shared" si="20"/>
        <v>13.769999999999998</v>
      </c>
      <c r="K238" s="101">
        <f t="shared" si="21"/>
        <v>3.2414286694604484</v>
      </c>
      <c r="L238" s="97">
        <f t="shared" si="22"/>
        <v>9.0613248625305314</v>
      </c>
      <c r="M238" s="107">
        <f t="shared" si="23"/>
        <v>54.367949175183185</v>
      </c>
    </row>
    <row r="239" spans="2:13" x14ac:dyDescent="0.2">
      <c r="B239" s="3">
        <v>57</v>
      </c>
      <c r="C239" s="95">
        <v>1</v>
      </c>
      <c r="D239" s="95">
        <v>2</v>
      </c>
      <c r="E239" s="95">
        <v>2</v>
      </c>
      <c r="F239" s="95">
        <v>2</v>
      </c>
      <c r="G239" s="95">
        <v>1</v>
      </c>
      <c r="H239" s="95">
        <v>1</v>
      </c>
      <c r="I239" s="95">
        <v>1</v>
      </c>
      <c r="J239" s="100">
        <f t="shared" si="20"/>
        <v>-6.0299999999999994</v>
      </c>
      <c r="K239" s="101">
        <f t="shared" si="21"/>
        <v>2.707652232760601</v>
      </c>
      <c r="L239" s="97">
        <f t="shared" si="22"/>
        <v>4.1958337657395566</v>
      </c>
      <c r="M239" s="107">
        <f t="shared" si="23"/>
        <v>25.175002594437338</v>
      </c>
    </row>
    <row r="240" spans="2:13" x14ac:dyDescent="0.2">
      <c r="B240" s="3">
        <v>106</v>
      </c>
      <c r="C240" s="95">
        <v>2</v>
      </c>
      <c r="D240" s="95">
        <v>2</v>
      </c>
      <c r="E240" s="95">
        <v>1</v>
      </c>
      <c r="F240" s="95">
        <v>2</v>
      </c>
      <c r="G240" s="95">
        <v>1</v>
      </c>
      <c r="H240" s="95">
        <v>1</v>
      </c>
      <c r="I240" s="95">
        <v>2</v>
      </c>
      <c r="J240" s="100">
        <f t="shared" si="20"/>
        <v>4.400000000000003</v>
      </c>
      <c r="K240" s="101">
        <f t="shared" si="21"/>
        <v>9.0899454035927505</v>
      </c>
      <c r="L240" s="97">
        <f t="shared" si="22"/>
        <v>1.5263882171205043</v>
      </c>
      <c r="M240" s="107">
        <f t="shared" si="23"/>
        <v>9.1583293027230255</v>
      </c>
    </row>
    <row r="241" spans="1:59" x14ac:dyDescent="0.2">
      <c r="B241" s="3">
        <v>56</v>
      </c>
      <c r="C241" s="95">
        <v>1</v>
      </c>
      <c r="D241" s="95">
        <v>2</v>
      </c>
      <c r="E241" s="95">
        <v>2</v>
      </c>
      <c r="F241" s="95">
        <v>1</v>
      </c>
      <c r="G241" s="95">
        <v>2</v>
      </c>
      <c r="H241" s="95">
        <v>2</v>
      </c>
      <c r="I241" s="95">
        <v>2</v>
      </c>
      <c r="J241" s="100">
        <f t="shared" si="20"/>
        <v>19.729999999999997</v>
      </c>
      <c r="K241" s="101">
        <f t="shared" si="21"/>
        <v>-1.5067434141932545</v>
      </c>
      <c r="L241" s="97">
        <f t="shared" si="22"/>
        <v>20.718579760686897</v>
      </c>
      <c r="M241" s="107">
        <f t="shared" si="23"/>
        <v>124.31147856412139</v>
      </c>
    </row>
    <row r="242" spans="1:59" x14ac:dyDescent="0.2">
      <c r="B242" s="84">
        <v>32</v>
      </c>
      <c r="C242" s="95">
        <v>1</v>
      </c>
      <c r="D242" s="95">
        <v>1</v>
      </c>
      <c r="E242" s="95">
        <v>2</v>
      </c>
      <c r="F242" s="95">
        <v>2</v>
      </c>
      <c r="G242" s="95">
        <v>2</v>
      </c>
      <c r="H242" s="95">
        <v>2</v>
      </c>
      <c r="I242" s="95">
        <v>2</v>
      </c>
      <c r="J242" s="100">
        <f t="shared" si="20"/>
        <v>14.249999999999995</v>
      </c>
      <c r="K242" s="101">
        <f t="shared" si="21"/>
        <v>-3.0381100451098333</v>
      </c>
      <c r="L242" s="97">
        <f t="shared" si="22"/>
        <v>17.070968162077168</v>
      </c>
      <c r="M242" s="107">
        <f t="shared" si="23"/>
        <v>102.42580897246302</v>
      </c>
    </row>
    <row r="243" spans="1:59" x14ac:dyDescent="0.2">
      <c r="B243" s="3">
        <v>124</v>
      </c>
      <c r="C243" s="95">
        <v>2</v>
      </c>
      <c r="D243" s="95">
        <v>2</v>
      </c>
      <c r="E243" s="95">
        <v>2</v>
      </c>
      <c r="F243" s="95">
        <v>2</v>
      </c>
      <c r="G243" s="95">
        <v>1</v>
      </c>
      <c r="H243" s="95">
        <v>2</v>
      </c>
      <c r="I243" s="95">
        <v>2</v>
      </c>
      <c r="J243" s="100">
        <f t="shared" si="20"/>
        <v>4.8800000000000034</v>
      </c>
      <c r="K243" s="101">
        <f t="shared" si="21"/>
        <v>2.8104066890224684</v>
      </c>
      <c r="L243" s="97">
        <f t="shared" si="22"/>
        <v>3.3595049828343591</v>
      </c>
      <c r="M243" s="107">
        <f t="shared" si="23"/>
        <v>20.157029897006154</v>
      </c>
    </row>
    <row r="244" spans="1:59" x14ac:dyDescent="0.2">
      <c r="B244" s="3">
        <v>46</v>
      </c>
      <c r="C244" s="95">
        <v>1</v>
      </c>
      <c r="D244" s="95">
        <v>2</v>
      </c>
      <c r="E244" s="95">
        <v>1</v>
      </c>
      <c r="F244" s="95">
        <v>2</v>
      </c>
      <c r="G244" s="95">
        <v>2</v>
      </c>
      <c r="H244" s="95">
        <v>1</v>
      </c>
      <c r="I244" s="95">
        <v>2</v>
      </c>
      <c r="J244" s="100">
        <f t="shared" si="20"/>
        <v>5.0899999999999981</v>
      </c>
      <c r="K244" s="101">
        <f t="shared" si="21"/>
        <v>7.7789907243648537</v>
      </c>
      <c r="L244" s="97">
        <f t="shared" si="22"/>
        <v>2.0447676142887352</v>
      </c>
      <c r="M244" s="107">
        <f t="shared" si="23"/>
        <v>12.26860568573241</v>
      </c>
    </row>
    <row r="245" spans="1:59" x14ac:dyDescent="0.2">
      <c r="B245" s="3">
        <v>64</v>
      </c>
      <c r="C245" s="95">
        <v>1</v>
      </c>
      <c r="D245" s="95">
        <v>2</v>
      </c>
      <c r="E245" s="95">
        <v>2</v>
      </c>
      <c r="F245" s="95">
        <v>2</v>
      </c>
      <c r="G245" s="95">
        <v>2</v>
      </c>
      <c r="H245" s="95">
        <v>2</v>
      </c>
      <c r="I245" s="95">
        <v>2</v>
      </c>
      <c r="J245" s="100">
        <f t="shared" si="20"/>
        <v>5.5699999999999958</v>
      </c>
      <c r="K245" s="101">
        <f t="shared" si="21"/>
        <v>1.4994520097945725</v>
      </c>
      <c r="L245" s="97">
        <f t="shared" si="22"/>
        <v>4.386562066234414</v>
      </c>
      <c r="M245" s="107">
        <f t="shared" si="23"/>
        <v>26.319372397406482</v>
      </c>
    </row>
    <row r="246" spans="1:59" x14ac:dyDescent="0.2">
      <c r="B246" s="123"/>
      <c r="C246" s="10">
        <f t="shared" ref="C246:I246" si="24">C116</f>
        <v>0</v>
      </c>
      <c r="D246" s="10">
        <f t="shared" si="24"/>
        <v>0</v>
      </c>
      <c r="E246" s="10">
        <f t="shared" si="24"/>
        <v>0</v>
      </c>
      <c r="F246" s="10">
        <f t="shared" si="24"/>
        <v>0</v>
      </c>
      <c r="G246" s="10">
        <f t="shared" si="24"/>
        <v>0</v>
      </c>
      <c r="H246" s="10">
        <f t="shared" si="24"/>
        <v>0</v>
      </c>
      <c r="I246" s="10">
        <f t="shared" si="24"/>
        <v>0</v>
      </c>
      <c r="J246" s="9">
        <f>AVERAGE(J118:J245)</f>
        <v>22.261250000000008</v>
      </c>
      <c r="K246" s="101">
        <f>AVERAGE(K118:K245)</f>
        <v>-0.52795364815466628</v>
      </c>
      <c r="L246" s="123"/>
      <c r="M246" s="123"/>
    </row>
    <row r="247" spans="1:59" x14ac:dyDescent="0.2">
      <c r="B247" s="3">
        <v>65</v>
      </c>
      <c r="C247" s="95">
        <v>2</v>
      </c>
      <c r="D247" s="95">
        <v>1</v>
      </c>
      <c r="E247" s="95">
        <v>1</v>
      </c>
      <c r="F247" s="95">
        <v>1</v>
      </c>
      <c r="G247" s="95">
        <v>1</v>
      </c>
      <c r="H247" s="95">
        <v>1</v>
      </c>
      <c r="I247" s="95">
        <v>1</v>
      </c>
      <c r="J247" s="100">
        <f t="shared" ref="J247:J310" si="25">$J$28+IF(C247=1,$D$33,$D$34)+IF(D247=1,$D$36,$D$37)+IF(E247=1,$D$39,$D$40)+IF(F247=1,$D$42,$D$43)+IF(G247=1,$D$45,$D$46)+IF(H247=1,$D$48,$D$49)+IF(I247=1,$D$51,$D$52)</f>
        <v>17.240000000000002</v>
      </c>
      <c r="K247" s="101">
        <f t="shared" ref="K247:K310" si="26">$Q$28+IF(D247=1,$F$33,$F$34)+IF(E247=1,$F$36,$F$37)+IF(F247=1,$F$39,$F$40)+IF(G247=1,$F$42,$F$43)+IF(H247=1,$F$45,$F$46)+IF(I247=1,$F$48,$F$49)+IF(J247=1,$F$51,$F$52)</f>
        <v>3.6713269145022775</v>
      </c>
      <c r="L247" s="97">
        <f t="shared" ref="L247:L310" si="27">SQRT((J247^2)/(10^(K247/10)+0.2))</f>
        <v>10.841260756475739</v>
      </c>
      <c r="M247" s="107">
        <f t="shared" ref="M247:M310" si="28">6*L247</f>
        <v>65.047564538854431</v>
      </c>
    </row>
    <row r="248" spans="1:59" x14ac:dyDescent="0.2">
      <c r="B248" s="3">
        <v>83</v>
      </c>
      <c r="C248" s="95">
        <v>2</v>
      </c>
      <c r="D248" s="95">
        <v>1</v>
      </c>
      <c r="E248" s="95">
        <v>2</v>
      </c>
      <c r="F248" s="95">
        <v>1</v>
      </c>
      <c r="G248" s="95">
        <v>1</v>
      </c>
      <c r="H248" s="95">
        <v>2</v>
      </c>
      <c r="I248" s="95">
        <v>1</v>
      </c>
      <c r="J248" s="100">
        <f t="shared" si="25"/>
        <v>17.720000000000002</v>
      </c>
      <c r="K248" s="101">
        <f t="shared" si="26"/>
        <v>-2.6082118000680046</v>
      </c>
      <c r="L248" s="97">
        <f t="shared" si="27"/>
        <v>20.481747767218373</v>
      </c>
      <c r="M248" s="107">
        <f t="shared" si="28"/>
        <v>122.89048660331024</v>
      </c>
    </row>
    <row r="249" spans="1:59" x14ac:dyDescent="0.2">
      <c r="B249" s="3">
        <v>5</v>
      </c>
      <c r="C249" s="95">
        <v>1</v>
      </c>
      <c r="D249" s="95">
        <v>1</v>
      </c>
      <c r="E249" s="95">
        <v>1</v>
      </c>
      <c r="F249" s="95">
        <v>1</v>
      </c>
      <c r="G249" s="95">
        <v>2</v>
      </c>
      <c r="H249" s="95">
        <v>1</v>
      </c>
      <c r="I249" s="95">
        <v>1</v>
      </c>
      <c r="J249" s="100">
        <f t="shared" si="25"/>
        <v>17.93</v>
      </c>
      <c r="K249" s="101">
        <f t="shared" si="26"/>
        <v>2.3603722352743817</v>
      </c>
      <c r="L249" s="97">
        <f t="shared" si="27"/>
        <v>12.933074276083488</v>
      </c>
      <c r="M249" s="107">
        <f t="shared" si="28"/>
        <v>77.598445656500928</v>
      </c>
    </row>
    <row r="250" spans="1:59" x14ac:dyDescent="0.2">
      <c r="B250" s="3">
        <v>97</v>
      </c>
      <c r="C250" s="95">
        <v>2</v>
      </c>
      <c r="D250" s="95">
        <v>2</v>
      </c>
      <c r="E250" s="95">
        <v>1</v>
      </c>
      <c r="F250" s="95">
        <v>1</v>
      </c>
      <c r="G250" s="95">
        <v>1</v>
      </c>
      <c r="H250" s="95">
        <v>1</v>
      </c>
      <c r="I250" s="95">
        <v>1</v>
      </c>
      <c r="J250" s="100">
        <f t="shared" si="25"/>
        <v>8.5600000000000041</v>
      </c>
      <c r="K250" s="101">
        <f t="shared" si="26"/>
        <v>8.2088889694066829</v>
      </c>
      <c r="L250" s="97">
        <f t="shared" si="27"/>
        <v>3.2776801935958444</v>
      </c>
      <c r="M250" s="107">
        <f t="shared" si="28"/>
        <v>19.666081161575065</v>
      </c>
    </row>
    <row r="251" spans="1:59" x14ac:dyDescent="0.2">
      <c r="B251" s="3">
        <v>73</v>
      </c>
      <c r="C251" s="95">
        <v>2</v>
      </c>
      <c r="D251" s="95">
        <v>1</v>
      </c>
      <c r="E251" s="95">
        <v>1</v>
      </c>
      <c r="F251" s="95">
        <v>2</v>
      </c>
      <c r="G251" s="95">
        <v>1</v>
      </c>
      <c r="H251" s="95">
        <v>1</v>
      </c>
      <c r="I251" s="95">
        <v>1</v>
      </c>
      <c r="J251" s="100">
        <f t="shared" si="25"/>
        <v>3.0800000000000036</v>
      </c>
      <c r="K251" s="101">
        <f t="shared" si="26"/>
        <v>6.6775223384901041</v>
      </c>
      <c r="L251" s="97">
        <f t="shared" si="27"/>
        <v>1.3980940112878724</v>
      </c>
      <c r="M251" s="107">
        <f t="shared" si="28"/>
        <v>8.3885640677272342</v>
      </c>
    </row>
    <row r="252" spans="1:59" s="113" customFormat="1" x14ac:dyDescent="0.2">
      <c r="A252"/>
      <c r="B252" s="3">
        <v>23</v>
      </c>
      <c r="C252" s="95">
        <v>1</v>
      </c>
      <c r="D252" s="95">
        <v>1</v>
      </c>
      <c r="E252" s="95">
        <v>2</v>
      </c>
      <c r="F252" s="95">
        <v>1</v>
      </c>
      <c r="G252" s="95">
        <v>2</v>
      </c>
      <c r="H252" s="95">
        <v>2</v>
      </c>
      <c r="I252" s="95">
        <v>1</v>
      </c>
      <c r="J252" s="100">
        <f t="shared" si="25"/>
        <v>18.41</v>
      </c>
      <c r="K252" s="101">
        <f t="shared" si="26"/>
        <v>-3.9191664792959</v>
      </c>
      <c r="L252" s="97">
        <f t="shared" si="27"/>
        <v>23.65733079049302</v>
      </c>
      <c r="M252" s="107">
        <f t="shared" si="28"/>
        <v>141.94398474295812</v>
      </c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</row>
    <row r="253" spans="1:59" x14ac:dyDescent="0.2">
      <c r="B253" s="3">
        <v>72</v>
      </c>
      <c r="C253" s="95">
        <v>2</v>
      </c>
      <c r="D253" s="95">
        <v>1</v>
      </c>
      <c r="E253" s="95">
        <v>1</v>
      </c>
      <c r="F253" s="95">
        <v>1</v>
      </c>
      <c r="G253" s="95">
        <v>2</v>
      </c>
      <c r="H253" s="95">
        <v>2</v>
      </c>
      <c r="I253" s="95">
        <v>2</v>
      </c>
      <c r="J253" s="100">
        <f t="shared" si="25"/>
        <v>28.839999999999996</v>
      </c>
      <c r="K253" s="101">
        <f t="shared" si="26"/>
        <v>2.4631266915362491</v>
      </c>
      <c r="L253" s="97">
        <f t="shared" si="27"/>
        <v>20.582968165752877</v>
      </c>
      <c r="M253" s="107">
        <f t="shared" si="28"/>
        <v>123.49780899451727</v>
      </c>
    </row>
    <row r="254" spans="1:59" x14ac:dyDescent="0.2">
      <c r="B254" s="3">
        <v>115</v>
      </c>
      <c r="C254" s="95">
        <v>2</v>
      </c>
      <c r="D254" s="95">
        <v>2</v>
      </c>
      <c r="E254" s="95">
        <v>2</v>
      </c>
      <c r="F254" s="95">
        <v>1</v>
      </c>
      <c r="G254" s="95">
        <v>1</v>
      </c>
      <c r="H254" s="95">
        <v>2</v>
      </c>
      <c r="I254" s="95">
        <v>1</v>
      </c>
      <c r="J254" s="100">
        <f t="shared" si="25"/>
        <v>9.0400000000000027</v>
      </c>
      <c r="K254" s="101">
        <f t="shared" si="26"/>
        <v>1.9293502548364017</v>
      </c>
      <c r="L254" s="97">
        <f t="shared" si="27"/>
        <v>6.8154746962292405</v>
      </c>
      <c r="M254" s="107">
        <f t="shared" si="28"/>
        <v>40.892848177375441</v>
      </c>
    </row>
    <row r="255" spans="1:59" x14ac:dyDescent="0.2">
      <c r="B255" s="3">
        <v>37</v>
      </c>
      <c r="C255" s="95">
        <v>1</v>
      </c>
      <c r="D255" s="95">
        <v>2</v>
      </c>
      <c r="E255" s="95">
        <v>1</v>
      </c>
      <c r="F255" s="95">
        <v>1</v>
      </c>
      <c r="G255" s="95">
        <v>2</v>
      </c>
      <c r="H255" s="95">
        <v>1</v>
      </c>
      <c r="I255" s="95">
        <v>1</v>
      </c>
      <c r="J255" s="100">
        <f t="shared" si="25"/>
        <v>9.2499999999999982</v>
      </c>
      <c r="K255" s="101">
        <f t="shared" si="26"/>
        <v>6.8979342901787879</v>
      </c>
      <c r="L255" s="97">
        <f t="shared" si="27"/>
        <v>4.0977935220217701</v>
      </c>
      <c r="M255" s="107">
        <f t="shared" si="28"/>
        <v>24.586761132130619</v>
      </c>
    </row>
    <row r="256" spans="1:59" x14ac:dyDescent="0.2">
      <c r="B256" s="3">
        <v>91</v>
      </c>
      <c r="C256" s="95">
        <v>2</v>
      </c>
      <c r="D256" s="95">
        <v>1</v>
      </c>
      <c r="E256" s="95">
        <v>2</v>
      </c>
      <c r="F256" s="95">
        <v>2</v>
      </c>
      <c r="G256" s="95">
        <v>1</v>
      </c>
      <c r="H256" s="95">
        <v>2</v>
      </c>
      <c r="I256" s="95">
        <v>1</v>
      </c>
      <c r="J256" s="100">
        <f t="shared" si="25"/>
        <v>3.5600000000000058</v>
      </c>
      <c r="K256" s="101">
        <f t="shared" si="26"/>
        <v>0.39798362391982289</v>
      </c>
      <c r="L256" s="97">
        <f t="shared" si="27"/>
        <v>3.1271783616098947</v>
      </c>
      <c r="M256" s="107">
        <f t="shared" si="28"/>
        <v>18.763070169659368</v>
      </c>
    </row>
    <row r="257" spans="2:13" x14ac:dyDescent="0.2">
      <c r="B257" s="3">
        <v>13</v>
      </c>
      <c r="C257" s="95">
        <v>1</v>
      </c>
      <c r="D257" s="95">
        <v>1</v>
      </c>
      <c r="E257" s="95">
        <v>1</v>
      </c>
      <c r="F257" s="95">
        <v>2</v>
      </c>
      <c r="G257" s="95">
        <v>2</v>
      </c>
      <c r="H257" s="95">
        <v>1</v>
      </c>
      <c r="I257" s="95">
        <v>1</v>
      </c>
      <c r="J257" s="100">
        <f t="shared" si="25"/>
        <v>3.7699999999999996</v>
      </c>
      <c r="K257" s="101">
        <f t="shared" si="26"/>
        <v>5.3665676592622082</v>
      </c>
      <c r="L257" s="97">
        <f t="shared" si="27"/>
        <v>1.9758055344584631</v>
      </c>
      <c r="M257" s="107">
        <f t="shared" si="28"/>
        <v>11.854833206750779</v>
      </c>
    </row>
    <row r="258" spans="2:13" x14ac:dyDescent="0.2">
      <c r="B258" s="3">
        <v>105</v>
      </c>
      <c r="C258" s="95">
        <v>2</v>
      </c>
      <c r="D258" s="95">
        <v>2</v>
      </c>
      <c r="E258" s="95">
        <v>1</v>
      </c>
      <c r="F258" s="95">
        <v>2</v>
      </c>
      <c r="G258" s="95">
        <v>1</v>
      </c>
      <c r="H258" s="95">
        <v>1</v>
      </c>
      <c r="I258" s="95">
        <v>1</v>
      </c>
      <c r="J258" s="100">
        <f t="shared" si="25"/>
        <v>-5.5999999999999952</v>
      </c>
      <c r="K258" s="101">
        <f t="shared" si="26"/>
        <v>11.215084393394509</v>
      </c>
      <c r="L258" s="97">
        <f t="shared" si="27"/>
        <v>1.528182916146996</v>
      </c>
      <c r="M258" s="107">
        <f t="shared" si="28"/>
        <v>9.1690974968819763</v>
      </c>
    </row>
    <row r="259" spans="2:13" x14ac:dyDescent="0.2">
      <c r="B259" s="3">
        <v>55</v>
      </c>
      <c r="C259" s="95">
        <v>1</v>
      </c>
      <c r="D259" s="95">
        <v>2</v>
      </c>
      <c r="E259" s="95">
        <v>2</v>
      </c>
      <c r="F259" s="95">
        <v>1</v>
      </c>
      <c r="G259" s="95">
        <v>2</v>
      </c>
      <c r="H259" s="95">
        <v>2</v>
      </c>
      <c r="I259" s="95">
        <v>1</v>
      </c>
      <c r="J259" s="100">
        <f t="shared" si="25"/>
        <v>9.73</v>
      </c>
      <c r="K259" s="101">
        <f t="shared" si="26"/>
        <v>0.61839557560850578</v>
      </c>
      <c r="L259" s="97">
        <f t="shared" si="27"/>
        <v>8.3648772907013402</v>
      </c>
      <c r="M259" s="107">
        <f t="shared" si="28"/>
        <v>50.189263744208041</v>
      </c>
    </row>
    <row r="260" spans="2:13" x14ac:dyDescent="0.2">
      <c r="B260" s="3">
        <v>104</v>
      </c>
      <c r="C260" s="95">
        <v>2</v>
      </c>
      <c r="D260" s="95">
        <v>2</v>
      </c>
      <c r="E260" s="95">
        <v>1</v>
      </c>
      <c r="F260" s="95">
        <v>1</v>
      </c>
      <c r="G260" s="95">
        <v>2</v>
      </c>
      <c r="H260" s="95">
        <v>2</v>
      </c>
      <c r="I260" s="95">
        <v>2</v>
      </c>
      <c r="J260" s="100">
        <f t="shared" si="25"/>
        <v>20.159999999999997</v>
      </c>
      <c r="K260" s="101">
        <f t="shared" si="26"/>
        <v>7.0006887464406562</v>
      </c>
      <c r="L260" s="97">
        <f t="shared" si="27"/>
        <v>8.8299964146736603</v>
      </c>
      <c r="M260" s="107">
        <f t="shared" si="28"/>
        <v>52.979978488041965</v>
      </c>
    </row>
    <row r="261" spans="2:13" x14ac:dyDescent="0.2">
      <c r="B261" s="3">
        <v>31</v>
      </c>
      <c r="C261" s="95">
        <v>1</v>
      </c>
      <c r="D261" s="95">
        <v>1</v>
      </c>
      <c r="E261" s="95">
        <v>2</v>
      </c>
      <c r="F261" s="95">
        <v>2</v>
      </c>
      <c r="G261" s="95">
        <v>2</v>
      </c>
      <c r="H261" s="95">
        <v>2</v>
      </c>
      <c r="I261" s="95">
        <v>1</v>
      </c>
      <c r="J261" s="100">
        <f t="shared" si="25"/>
        <v>4.2499999999999964</v>
      </c>
      <c r="K261" s="101">
        <f t="shared" si="26"/>
        <v>-0.91297105530807299</v>
      </c>
      <c r="L261" s="97">
        <f t="shared" si="27"/>
        <v>4.2280573826608592</v>
      </c>
      <c r="M261" s="107">
        <f t="shared" si="28"/>
        <v>25.368344295965155</v>
      </c>
    </row>
    <row r="262" spans="2:13" x14ac:dyDescent="0.2">
      <c r="B262" s="3">
        <v>80</v>
      </c>
      <c r="C262" s="95">
        <v>2</v>
      </c>
      <c r="D262" s="95">
        <v>1</v>
      </c>
      <c r="E262" s="95">
        <v>1</v>
      </c>
      <c r="F262" s="95">
        <v>2</v>
      </c>
      <c r="G262" s="95">
        <v>2</v>
      </c>
      <c r="H262" s="95">
        <v>2</v>
      </c>
      <c r="I262" s="95">
        <v>2</v>
      </c>
      <c r="J262" s="100">
        <f t="shared" si="25"/>
        <v>14.679999999999998</v>
      </c>
      <c r="K262" s="101">
        <f t="shared" si="26"/>
        <v>5.4693221155240765</v>
      </c>
      <c r="L262" s="97">
        <f t="shared" si="27"/>
        <v>7.6079960576005297</v>
      </c>
      <c r="M262" s="107">
        <f t="shared" si="28"/>
        <v>45.647976345603176</v>
      </c>
    </row>
    <row r="263" spans="2:13" x14ac:dyDescent="0.2">
      <c r="B263" s="3">
        <v>123</v>
      </c>
      <c r="C263" s="95">
        <v>2</v>
      </c>
      <c r="D263" s="95">
        <v>2</v>
      </c>
      <c r="E263" s="95">
        <v>2</v>
      </c>
      <c r="F263" s="95">
        <v>2</v>
      </c>
      <c r="G263" s="95">
        <v>1</v>
      </c>
      <c r="H263" s="95">
        <v>2</v>
      </c>
      <c r="I263" s="95">
        <v>1</v>
      </c>
      <c r="J263" s="100">
        <f t="shared" si="25"/>
        <v>-5.1199999999999948</v>
      </c>
      <c r="K263" s="101">
        <f t="shared" si="26"/>
        <v>4.9355456788242291</v>
      </c>
      <c r="L263" s="97">
        <f t="shared" si="27"/>
        <v>2.8117897755222372</v>
      </c>
      <c r="M263" s="107">
        <f t="shared" si="28"/>
        <v>16.870738653133422</v>
      </c>
    </row>
    <row r="264" spans="2:13" x14ac:dyDescent="0.2">
      <c r="B264" s="3">
        <v>45</v>
      </c>
      <c r="C264" s="95">
        <v>1</v>
      </c>
      <c r="D264" s="95">
        <v>2</v>
      </c>
      <c r="E264" s="95">
        <v>1</v>
      </c>
      <c r="F264" s="95">
        <v>2</v>
      </c>
      <c r="G264" s="95">
        <v>2</v>
      </c>
      <c r="H264" s="95">
        <v>1</v>
      </c>
      <c r="I264" s="95">
        <v>1</v>
      </c>
      <c r="J264" s="100">
        <f t="shared" si="25"/>
        <v>-4.91</v>
      </c>
      <c r="K264" s="101">
        <f t="shared" si="26"/>
        <v>9.9041297141666149</v>
      </c>
      <c r="L264" s="97">
        <f t="shared" si="27"/>
        <v>1.5541033827482069</v>
      </c>
      <c r="M264" s="107">
        <f t="shared" si="28"/>
        <v>9.3246202964892415</v>
      </c>
    </row>
    <row r="265" spans="2:13" x14ac:dyDescent="0.2">
      <c r="B265" s="3">
        <v>63</v>
      </c>
      <c r="C265" s="95">
        <v>1</v>
      </c>
      <c r="D265" s="95">
        <v>2</v>
      </c>
      <c r="E265" s="95">
        <v>2</v>
      </c>
      <c r="F265" s="95">
        <v>2</v>
      </c>
      <c r="G265" s="95">
        <v>2</v>
      </c>
      <c r="H265" s="95">
        <v>2</v>
      </c>
      <c r="I265" s="95">
        <v>1</v>
      </c>
      <c r="J265" s="100">
        <f t="shared" si="25"/>
        <v>-4.4300000000000024</v>
      </c>
      <c r="K265" s="101">
        <f t="shared" si="26"/>
        <v>3.6245909995963328</v>
      </c>
      <c r="L265" s="97">
        <f t="shared" si="27"/>
        <v>2.7996085928708068</v>
      </c>
      <c r="M265" s="107">
        <f t="shared" si="28"/>
        <v>16.797651557224839</v>
      </c>
    </row>
    <row r="266" spans="2:13" x14ac:dyDescent="0.2">
      <c r="B266" s="3">
        <v>112</v>
      </c>
      <c r="C266" s="95">
        <v>2</v>
      </c>
      <c r="D266" s="95">
        <v>2</v>
      </c>
      <c r="E266" s="95">
        <v>1</v>
      </c>
      <c r="F266" s="95">
        <v>2</v>
      </c>
      <c r="G266" s="95">
        <v>2</v>
      </c>
      <c r="H266" s="95">
        <v>2</v>
      </c>
      <c r="I266" s="95">
        <v>2</v>
      </c>
      <c r="J266" s="100">
        <f t="shared" si="25"/>
        <v>6</v>
      </c>
      <c r="K266" s="101">
        <f t="shared" si="26"/>
        <v>10.006884170428481</v>
      </c>
      <c r="L266" s="97">
        <f t="shared" si="27"/>
        <v>1.8772136346070765</v>
      </c>
      <c r="M266" s="107">
        <f t="shared" si="28"/>
        <v>11.263281807642459</v>
      </c>
    </row>
    <row r="267" spans="2:13" x14ac:dyDescent="0.2">
      <c r="B267" s="3">
        <v>2</v>
      </c>
      <c r="C267" s="95">
        <v>1</v>
      </c>
      <c r="D267" s="95">
        <v>1</v>
      </c>
      <c r="E267" s="95">
        <v>1</v>
      </c>
      <c r="F267" s="95">
        <v>1</v>
      </c>
      <c r="G267" s="95">
        <v>1</v>
      </c>
      <c r="H267" s="95">
        <v>1</v>
      </c>
      <c r="I267" s="95">
        <v>2</v>
      </c>
      <c r="J267" s="100">
        <f t="shared" si="25"/>
        <v>14.100000000000001</v>
      </c>
      <c r="K267" s="101">
        <f t="shared" si="26"/>
        <v>1.5461879247005172</v>
      </c>
      <c r="L267" s="97">
        <f t="shared" si="27"/>
        <v>11.051975113128529</v>
      </c>
      <c r="M267" s="107">
        <f t="shared" si="28"/>
        <v>66.311850678771179</v>
      </c>
    </row>
    <row r="268" spans="2:13" x14ac:dyDescent="0.2">
      <c r="B268" s="3">
        <v>20</v>
      </c>
      <c r="C268" s="95">
        <v>1</v>
      </c>
      <c r="D268" s="95">
        <v>1</v>
      </c>
      <c r="E268" s="95">
        <v>2</v>
      </c>
      <c r="F268" s="95">
        <v>1</v>
      </c>
      <c r="G268" s="95">
        <v>1</v>
      </c>
      <c r="H268" s="95">
        <v>2</v>
      </c>
      <c r="I268" s="95">
        <v>2</v>
      </c>
      <c r="J268" s="100">
        <f t="shared" si="25"/>
        <v>14.58</v>
      </c>
      <c r="K268" s="101">
        <f t="shared" si="26"/>
        <v>-4.7333507898697649</v>
      </c>
      <c r="L268" s="97">
        <f t="shared" si="27"/>
        <v>19.910081943781059</v>
      </c>
      <c r="M268" s="107">
        <f t="shared" si="28"/>
        <v>119.46049166268635</v>
      </c>
    </row>
    <row r="269" spans="2:13" x14ac:dyDescent="0.2">
      <c r="B269" s="3">
        <v>34</v>
      </c>
      <c r="C269" s="95">
        <v>1</v>
      </c>
      <c r="D269" s="95">
        <v>2</v>
      </c>
      <c r="E269" s="95">
        <v>1</v>
      </c>
      <c r="F269" s="95">
        <v>1</v>
      </c>
      <c r="G269" s="95">
        <v>1</v>
      </c>
      <c r="H269" s="95">
        <v>1</v>
      </c>
      <c r="I269" s="95">
        <v>2</v>
      </c>
      <c r="J269" s="100">
        <f t="shared" si="25"/>
        <v>5.4200000000000008</v>
      </c>
      <c r="K269" s="101">
        <f t="shared" si="26"/>
        <v>6.0837499796049235</v>
      </c>
      <c r="L269" s="97">
        <f t="shared" si="27"/>
        <v>2.626433800047145</v>
      </c>
      <c r="M269" s="107">
        <f t="shared" si="28"/>
        <v>15.758602800282869</v>
      </c>
    </row>
    <row r="270" spans="2:13" x14ac:dyDescent="0.2">
      <c r="B270" s="3">
        <v>10</v>
      </c>
      <c r="C270" s="95">
        <v>1</v>
      </c>
      <c r="D270" s="95">
        <v>1</v>
      </c>
      <c r="E270" s="95">
        <v>1</v>
      </c>
      <c r="F270" s="95">
        <v>2</v>
      </c>
      <c r="G270" s="95">
        <v>1</v>
      </c>
      <c r="H270" s="95">
        <v>1</v>
      </c>
      <c r="I270" s="95">
        <v>2</v>
      </c>
      <c r="J270" s="100">
        <f t="shared" si="25"/>
        <v>-5.9999999999998721E-2</v>
      </c>
      <c r="K270" s="101">
        <f t="shared" si="26"/>
        <v>4.5523833486883438</v>
      </c>
      <c r="L270" s="97">
        <f t="shared" si="27"/>
        <v>3.4341359871103067E-2</v>
      </c>
      <c r="M270" s="107">
        <f t="shared" si="28"/>
        <v>0.2060481592266184</v>
      </c>
    </row>
    <row r="271" spans="2:13" x14ac:dyDescent="0.2">
      <c r="B271" s="3">
        <v>52</v>
      </c>
      <c r="C271" s="95">
        <v>1</v>
      </c>
      <c r="D271" s="95">
        <v>2</v>
      </c>
      <c r="E271" s="95">
        <v>2</v>
      </c>
      <c r="F271" s="95">
        <v>1</v>
      </c>
      <c r="G271" s="95">
        <v>1</v>
      </c>
      <c r="H271" s="95">
        <v>2</v>
      </c>
      <c r="I271" s="95">
        <v>2</v>
      </c>
      <c r="J271" s="100">
        <f t="shared" si="25"/>
        <v>5.8999999999999995</v>
      </c>
      <c r="K271" s="101">
        <f t="shared" si="26"/>
        <v>-0.19578873496535865</v>
      </c>
      <c r="L271" s="97">
        <f t="shared" si="27"/>
        <v>5.4876739130331114</v>
      </c>
      <c r="M271" s="107">
        <f t="shared" si="28"/>
        <v>32.926043478198665</v>
      </c>
    </row>
    <row r="272" spans="2:13" x14ac:dyDescent="0.2">
      <c r="B272" s="84">
        <v>71</v>
      </c>
      <c r="C272" s="95">
        <v>2</v>
      </c>
      <c r="D272" s="95">
        <v>1</v>
      </c>
      <c r="E272" s="95">
        <v>1</v>
      </c>
      <c r="F272" s="95">
        <v>1</v>
      </c>
      <c r="G272" s="95">
        <v>2</v>
      </c>
      <c r="H272" s="95">
        <v>2</v>
      </c>
      <c r="I272" s="95">
        <v>1</v>
      </c>
      <c r="J272" s="100">
        <f t="shared" si="25"/>
        <v>18.84</v>
      </c>
      <c r="K272" s="101">
        <f t="shared" si="26"/>
        <v>4.5882656813380089</v>
      </c>
      <c r="L272" s="97">
        <f t="shared" si="27"/>
        <v>10.741628168922059</v>
      </c>
      <c r="M272" s="107">
        <f t="shared" si="28"/>
        <v>64.449769013532347</v>
      </c>
    </row>
    <row r="273" spans="2:13" x14ac:dyDescent="0.2">
      <c r="B273" s="3">
        <v>28</v>
      </c>
      <c r="C273" s="95">
        <v>1</v>
      </c>
      <c r="D273" s="95">
        <v>1</v>
      </c>
      <c r="E273" s="95">
        <v>2</v>
      </c>
      <c r="F273" s="95">
        <v>2</v>
      </c>
      <c r="G273" s="95">
        <v>1</v>
      </c>
      <c r="H273" s="95">
        <v>2</v>
      </c>
      <c r="I273" s="95">
        <v>2</v>
      </c>
      <c r="J273" s="100">
        <f t="shared" si="25"/>
        <v>0.41999999999999904</v>
      </c>
      <c r="K273" s="101">
        <f t="shared" si="26"/>
        <v>-1.7271553658819374</v>
      </c>
      <c r="L273" s="97">
        <f t="shared" si="27"/>
        <v>0.44980442769752738</v>
      </c>
      <c r="M273" s="107">
        <f t="shared" si="28"/>
        <v>2.698826566185164</v>
      </c>
    </row>
    <row r="274" spans="2:13" x14ac:dyDescent="0.2">
      <c r="B274" s="3">
        <v>42</v>
      </c>
      <c r="C274" s="95">
        <v>1</v>
      </c>
      <c r="D274" s="95">
        <v>2</v>
      </c>
      <c r="E274" s="95">
        <v>1</v>
      </c>
      <c r="F274" s="95">
        <v>2</v>
      </c>
      <c r="G274" s="95">
        <v>1</v>
      </c>
      <c r="H274" s="95">
        <v>1</v>
      </c>
      <c r="I274" s="95">
        <v>2</v>
      </c>
      <c r="J274" s="100">
        <f t="shared" si="25"/>
        <v>-8.7399999999999984</v>
      </c>
      <c r="K274" s="101">
        <f t="shared" si="26"/>
        <v>9.0899454035927505</v>
      </c>
      <c r="L274" s="97">
        <f t="shared" si="27"/>
        <v>3.03196204946209</v>
      </c>
      <c r="M274" s="107">
        <f t="shared" si="28"/>
        <v>18.191772296772541</v>
      </c>
    </row>
    <row r="275" spans="2:13" x14ac:dyDescent="0.2">
      <c r="B275" s="3">
        <v>103</v>
      </c>
      <c r="C275" s="95">
        <v>2</v>
      </c>
      <c r="D275" s="95">
        <v>2</v>
      </c>
      <c r="E275" s="95">
        <v>1</v>
      </c>
      <c r="F275" s="95">
        <v>1</v>
      </c>
      <c r="G275" s="95">
        <v>2</v>
      </c>
      <c r="H275" s="95">
        <v>2</v>
      </c>
      <c r="I275" s="95">
        <v>1</v>
      </c>
      <c r="J275" s="100">
        <f t="shared" si="25"/>
        <v>10.16</v>
      </c>
      <c r="K275" s="101">
        <f t="shared" si="26"/>
        <v>9.1258277362424174</v>
      </c>
      <c r="L275" s="97">
        <f t="shared" si="27"/>
        <v>3.5103864400499178</v>
      </c>
      <c r="M275" s="107">
        <f t="shared" si="28"/>
        <v>21.062318640299509</v>
      </c>
    </row>
    <row r="276" spans="2:13" x14ac:dyDescent="0.2">
      <c r="B276" s="3">
        <v>60</v>
      </c>
      <c r="C276" s="95">
        <v>1</v>
      </c>
      <c r="D276" s="95">
        <v>2</v>
      </c>
      <c r="E276" s="95">
        <v>2</v>
      </c>
      <c r="F276" s="95">
        <v>2</v>
      </c>
      <c r="G276" s="95">
        <v>1</v>
      </c>
      <c r="H276" s="95">
        <v>2</v>
      </c>
      <c r="I276" s="95">
        <v>2</v>
      </c>
      <c r="J276" s="100">
        <f t="shared" si="25"/>
        <v>-8.26</v>
      </c>
      <c r="K276" s="101">
        <f t="shared" si="26"/>
        <v>2.8104066890224684</v>
      </c>
      <c r="L276" s="97">
        <f t="shared" si="27"/>
        <v>5.6863752373384813</v>
      </c>
      <c r="M276" s="107">
        <f t="shared" si="28"/>
        <v>34.118251424030888</v>
      </c>
    </row>
    <row r="277" spans="2:13" x14ac:dyDescent="0.2">
      <c r="B277" s="3">
        <v>79</v>
      </c>
      <c r="C277" s="95">
        <v>2</v>
      </c>
      <c r="D277" s="95">
        <v>1</v>
      </c>
      <c r="E277" s="95">
        <v>1</v>
      </c>
      <c r="F277" s="95">
        <v>2</v>
      </c>
      <c r="G277" s="95">
        <v>2</v>
      </c>
      <c r="H277" s="95">
        <v>2</v>
      </c>
      <c r="I277" s="95">
        <v>1</v>
      </c>
      <c r="J277" s="100">
        <f t="shared" si="25"/>
        <v>4.68</v>
      </c>
      <c r="K277" s="101">
        <f t="shared" si="26"/>
        <v>7.5944611053258368</v>
      </c>
      <c r="L277" s="97">
        <f t="shared" si="27"/>
        <v>1.9190863205193422</v>
      </c>
      <c r="M277" s="107">
        <f t="shared" si="28"/>
        <v>11.514517923116053</v>
      </c>
    </row>
    <row r="278" spans="2:13" x14ac:dyDescent="0.2">
      <c r="B278" s="3">
        <v>111</v>
      </c>
      <c r="C278" s="95">
        <v>2</v>
      </c>
      <c r="D278" s="95">
        <v>2</v>
      </c>
      <c r="E278" s="95">
        <v>1</v>
      </c>
      <c r="F278" s="95">
        <v>2</v>
      </c>
      <c r="G278" s="95">
        <v>2</v>
      </c>
      <c r="H278" s="95">
        <v>2</v>
      </c>
      <c r="I278" s="95">
        <v>1</v>
      </c>
      <c r="J278" s="100">
        <f t="shared" si="25"/>
        <v>-3.9999999999999982</v>
      </c>
      <c r="K278" s="101">
        <f t="shared" si="26"/>
        <v>12.132023160230244</v>
      </c>
      <c r="L278" s="97">
        <f t="shared" si="27"/>
        <v>0.98359611814756809</v>
      </c>
      <c r="M278" s="107">
        <f t="shared" si="28"/>
        <v>5.9015767088854085</v>
      </c>
    </row>
    <row r="279" spans="2:13" x14ac:dyDescent="0.2">
      <c r="B279" s="3">
        <v>1</v>
      </c>
      <c r="C279" s="95">
        <v>1</v>
      </c>
      <c r="D279" s="95">
        <v>1</v>
      </c>
      <c r="E279" s="95">
        <v>1</v>
      </c>
      <c r="F279" s="95">
        <v>1</v>
      </c>
      <c r="G279" s="95">
        <v>1</v>
      </c>
      <c r="H279" s="95">
        <v>1</v>
      </c>
      <c r="I279" s="95">
        <v>1</v>
      </c>
      <c r="J279" s="100">
        <f t="shared" si="25"/>
        <v>4.1000000000000032</v>
      </c>
      <c r="K279" s="101">
        <f t="shared" si="26"/>
        <v>3.6713269145022775</v>
      </c>
      <c r="L279" s="97">
        <f t="shared" si="27"/>
        <v>2.5782580685354155</v>
      </c>
      <c r="M279" s="107">
        <f t="shared" si="28"/>
        <v>15.469548411212493</v>
      </c>
    </row>
    <row r="280" spans="2:13" x14ac:dyDescent="0.2">
      <c r="B280" s="3">
        <v>19</v>
      </c>
      <c r="C280" s="95">
        <v>1</v>
      </c>
      <c r="D280" s="95">
        <v>1</v>
      </c>
      <c r="E280" s="95">
        <v>2</v>
      </c>
      <c r="F280" s="95">
        <v>1</v>
      </c>
      <c r="G280" s="95">
        <v>1</v>
      </c>
      <c r="H280" s="95">
        <v>2</v>
      </c>
      <c r="I280" s="95">
        <v>1</v>
      </c>
      <c r="J280" s="100">
        <f t="shared" si="25"/>
        <v>4.5800000000000018</v>
      </c>
      <c r="K280" s="101">
        <f t="shared" si="26"/>
        <v>-2.6082118000680046</v>
      </c>
      <c r="L280" s="97">
        <f t="shared" si="27"/>
        <v>5.2938151678250671</v>
      </c>
      <c r="M280" s="107">
        <f t="shared" si="28"/>
        <v>31.762891006950404</v>
      </c>
    </row>
    <row r="281" spans="2:13" x14ac:dyDescent="0.2">
      <c r="B281" s="3">
        <v>68</v>
      </c>
      <c r="C281" s="95">
        <v>2</v>
      </c>
      <c r="D281" s="95">
        <v>1</v>
      </c>
      <c r="E281" s="95">
        <v>1</v>
      </c>
      <c r="F281" s="95">
        <v>1</v>
      </c>
      <c r="G281" s="95">
        <v>1</v>
      </c>
      <c r="H281" s="95">
        <v>2</v>
      </c>
      <c r="I281" s="95">
        <v>2</v>
      </c>
      <c r="J281" s="100">
        <f t="shared" si="25"/>
        <v>15.010000000000003</v>
      </c>
      <c r="K281" s="101">
        <f t="shared" si="26"/>
        <v>3.774081370764145</v>
      </c>
      <c r="L281" s="97">
        <f t="shared" si="27"/>
        <v>9.3365717084963258</v>
      </c>
      <c r="M281" s="107">
        <f t="shared" si="28"/>
        <v>56.019430250977955</v>
      </c>
    </row>
    <row r="282" spans="2:13" x14ac:dyDescent="0.2">
      <c r="B282" s="3">
        <v>33</v>
      </c>
      <c r="C282" s="95">
        <v>1</v>
      </c>
      <c r="D282" s="95">
        <v>2</v>
      </c>
      <c r="E282" s="95">
        <v>1</v>
      </c>
      <c r="F282" s="95">
        <v>1</v>
      </c>
      <c r="G282" s="95">
        <v>1</v>
      </c>
      <c r="H282" s="95">
        <v>1</v>
      </c>
      <c r="I282" s="95">
        <v>1</v>
      </c>
      <c r="J282" s="100">
        <f t="shared" si="25"/>
        <v>-4.5799999999999974</v>
      </c>
      <c r="K282" s="101">
        <f t="shared" si="26"/>
        <v>8.2088889694066829</v>
      </c>
      <c r="L282" s="97">
        <f t="shared" si="27"/>
        <v>1.7537120661996439</v>
      </c>
      <c r="M282" s="107">
        <f t="shared" si="28"/>
        <v>10.522272397197863</v>
      </c>
    </row>
    <row r="283" spans="2:13" x14ac:dyDescent="0.2">
      <c r="B283" s="3">
        <v>9</v>
      </c>
      <c r="C283" s="95">
        <v>1</v>
      </c>
      <c r="D283" s="95">
        <v>1</v>
      </c>
      <c r="E283" s="95">
        <v>1</v>
      </c>
      <c r="F283" s="95">
        <v>2</v>
      </c>
      <c r="G283" s="95">
        <v>1</v>
      </c>
      <c r="H283" s="95">
        <v>1</v>
      </c>
      <c r="I283" s="95">
        <v>1</v>
      </c>
      <c r="J283" s="100">
        <f t="shared" si="25"/>
        <v>-10.059999999999997</v>
      </c>
      <c r="K283" s="101">
        <f t="shared" si="26"/>
        <v>6.6775223384901041</v>
      </c>
      <c r="L283" s="97">
        <f t="shared" si="27"/>
        <v>4.5665018680376539</v>
      </c>
      <c r="M283" s="107">
        <f t="shared" si="28"/>
        <v>27.399011208225922</v>
      </c>
    </row>
    <row r="284" spans="2:13" x14ac:dyDescent="0.2">
      <c r="B284" s="3">
        <v>8</v>
      </c>
      <c r="C284" s="95">
        <v>1</v>
      </c>
      <c r="D284" s="95">
        <v>1</v>
      </c>
      <c r="E284" s="95">
        <v>1</v>
      </c>
      <c r="F284" s="95">
        <v>1</v>
      </c>
      <c r="G284" s="95">
        <v>2</v>
      </c>
      <c r="H284" s="95">
        <v>2</v>
      </c>
      <c r="I284" s="95">
        <v>2</v>
      </c>
      <c r="J284" s="100">
        <f t="shared" si="25"/>
        <v>15.699999999999998</v>
      </c>
      <c r="K284" s="101">
        <f t="shared" si="26"/>
        <v>2.4631266915362491</v>
      </c>
      <c r="L284" s="97">
        <f t="shared" si="27"/>
        <v>11.205013876640782</v>
      </c>
      <c r="M284" s="107">
        <f t="shared" si="28"/>
        <v>67.23008325984469</v>
      </c>
    </row>
    <row r="285" spans="2:13" x14ac:dyDescent="0.2">
      <c r="B285" s="3">
        <v>51</v>
      </c>
      <c r="C285" s="95">
        <v>1</v>
      </c>
      <c r="D285" s="95">
        <v>2</v>
      </c>
      <c r="E285" s="95">
        <v>2</v>
      </c>
      <c r="F285" s="95">
        <v>1</v>
      </c>
      <c r="G285" s="95">
        <v>1</v>
      </c>
      <c r="H285" s="95">
        <v>2</v>
      </c>
      <c r="I285" s="95">
        <v>1</v>
      </c>
      <c r="J285" s="100">
        <f t="shared" si="25"/>
        <v>-4.0999999999999988</v>
      </c>
      <c r="K285" s="101">
        <f t="shared" si="26"/>
        <v>1.9293502548364017</v>
      </c>
      <c r="L285" s="97">
        <f t="shared" si="27"/>
        <v>3.0910891874491004</v>
      </c>
      <c r="M285" s="107">
        <f t="shared" si="28"/>
        <v>18.546535124694604</v>
      </c>
    </row>
    <row r="286" spans="2:13" x14ac:dyDescent="0.2">
      <c r="B286" s="3">
        <v>100</v>
      </c>
      <c r="C286" s="95">
        <v>2</v>
      </c>
      <c r="D286" s="95">
        <v>2</v>
      </c>
      <c r="E286" s="95">
        <v>1</v>
      </c>
      <c r="F286" s="95">
        <v>1</v>
      </c>
      <c r="G286" s="95">
        <v>1</v>
      </c>
      <c r="H286" s="95">
        <v>2</v>
      </c>
      <c r="I286" s="95">
        <v>2</v>
      </c>
      <c r="J286" s="100">
        <f t="shared" si="25"/>
        <v>6.3300000000000027</v>
      </c>
      <c r="K286" s="101">
        <f t="shared" si="26"/>
        <v>8.311643425668553</v>
      </c>
      <c r="L286" s="97">
        <f t="shared" si="27"/>
        <v>2.396115442044386</v>
      </c>
      <c r="M286" s="107">
        <f t="shared" si="28"/>
        <v>14.376692652266316</v>
      </c>
    </row>
    <row r="287" spans="2:13" x14ac:dyDescent="0.2">
      <c r="B287" s="3">
        <v>27</v>
      </c>
      <c r="C287" s="95">
        <v>1</v>
      </c>
      <c r="D287" s="95">
        <v>1</v>
      </c>
      <c r="E287" s="95">
        <v>2</v>
      </c>
      <c r="F287" s="95">
        <v>2</v>
      </c>
      <c r="G287" s="95">
        <v>1</v>
      </c>
      <c r="H287" s="95">
        <v>2</v>
      </c>
      <c r="I287" s="95">
        <v>1</v>
      </c>
      <c r="J287" s="100">
        <f t="shared" si="25"/>
        <v>-9.5799999999999983</v>
      </c>
      <c r="K287" s="101">
        <f t="shared" si="26"/>
        <v>0.39798362391982289</v>
      </c>
      <c r="L287" s="97">
        <f t="shared" si="27"/>
        <v>8.4152721079277359</v>
      </c>
      <c r="M287" s="107">
        <f t="shared" si="28"/>
        <v>50.491632647566419</v>
      </c>
    </row>
    <row r="288" spans="2:13" x14ac:dyDescent="0.2">
      <c r="B288" s="3">
        <v>76</v>
      </c>
      <c r="C288" s="95">
        <v>2</v>
      </c>
      <c r="D288" s="95">
        <v>1</v>
      </c>
      <c r="E288" s="95">
        <v>1</v>
      </c>
      <c r="F288" s="95">
        <v>2</v>
      </c>
      <c r="G288" s="95">
        <v>1</v>
      </c>
      <c r="H288" s="95">
        <v>2</v>
      </c>
      <c r="I288" s="95">
        <v>2</v>
      </c>
      <c r="J288" s="100">
        <f t="shared" si="25"/>
        <v>0.85000000000000231</v>
      </c>
      <c r="K288" s="101">
        <f t="shared" si="26"/>
        <v>6.7802767947519724</v>
      </c>
      <c r="L288" s="97">
        <f t="shared" si="27"/>
        <v>0.38148389004254912</v>
      </c>
      <c r="M288" s="107">
        <f t="shared" si="28"/>
        <v>2.2889033402552945</v>
      </c>
    </row>
    <row r="289" spans="2:13" x14ac:dyDescent="0.2">
      <c r="B289" s="3">
        <v>41</v>
      </c>
      <c r="C289" s="95">
        <v>1</v>
      </c>
      <c r="D289" s="95">
        <v>2</v>
      </c>
      <c r="E289" s="95">
        <v>1</v>
      </c>
      <c r="F289" s="95">
        <v>2</v>
      </c>
      <c r="G289" s="95">
        <v>1</v>
      </c>
      <c r="H289" s="95">
        <v>1</v>
      </c>
      <c r="I289" s="95">
        <v>1</v>
      </c>
      <c r="J289" s="100">
        <f t="shared" si="25"/>
        <v>-18.739999999999995</v>
      </c>
      <c r="K289" s="101">
        <f t="shared" si="26"/>
        <v>11.215084393394509</v>
      </c>
      <c r="L289" s="97">
        <f t="shared" si="27"/>
        <v>5.1139549729633433</v>
      </c>
      <c r="M289" s="107">
        <f t="shared" si="28"/>
        <v>30.68372983778006</v>
      </c>
    </row>
    <row r="290" spans="2:13" x14ac:dyDescent="0.2">
      <c r="B290" s="3">
        <v>40</v>
      </c>
      <c r="C290" s="95">
        <v>1</v>
      </c>
      <c r="D290" s="95">
        <v>2</v>
      </c>
      <c r="E290" s="95">
        <v>1</v>
      </c>
      <c r="F290" s="95">
        <v>1</v>
      </c>
      <c r="G290" s="95">
        <v>2</v>
      </c>
      <c r="H290" s="95">
        <v>2</v>
      </c>
      <c r="I290" s="95">
        <v>2</v>
      </c>
      <c r="J290" s="100">
        <f t="shared" si="25"/>
        <v>7.0199999999999969</v>
      </c>
      <c r="K290" s="101">
        <f t="shared" si="26"/>
        <v>7.0006887464406562</v>
      </c>
      <c r="L290" s="97">
        <f t="shared" si="27"/>
        <v>3.0747308943952918</v>
      </c>
      <c r="M290" s="107">
        <f t="shared" si="28"/>
        <v>18.448385366371753</v>
      </c>
    </row>
    <row r="291" spans="2:13" x14ac:dyDescent="0.2">
      <c r="B291" s="3">
        <v>16</v>
      </c>
      <c r="C291" s="95">
        <v>1</v>
      </c>
      <c r="D291" s="95">
        <v>1</v>
      </c>
      <c r="E291" s="95">
        <v>1</v>
      </c>
      <c r="F291" s="95">
        <v>2</v>
      </c>
      <c r="G291" s="95">
        <v>2</v>
      </c>
      <c r="H291" s="95">
        <v>2</v>
      </c>
      <c r="I291" s="95">
        <v>2</v>
      </c>
      <c r="J291" s="100">
        <f t="shared" si="25"/>
        <v>1.5399999999999991</v>
      </c>
      <c r="K291" s="101">
        <f t="shared" si="26"/>
        <v>5.4693221155240765</v>
      </c>
      <c r="L291" s="97">
        <f t="shared" si="27"/>
        <v>0.79811402784092722</v>
      </c>
      <c r="M291" s="107">
        <f t="shared" si="28"/>
        <v>4.7886841670455631</v>
      </c>
    </row>
    <row r="292" spans="2:13" x14ac:dyDescent="0.2">
      <c r="B292" s="3">
        <v>59</v>
      </c>
      <c r="C292" s="95">
        <v>1</v>
      </c>
      <c r="D292" s="95">
        <v>2</v>
      </c>
      <c r="E292" s="95">
        <v>2</v>
      </c>
      <c r="F292" s="95">
        <v>2</v>
      </c>
      <c r="G292" s="95">
        <v>1</v>
      </c>
      <c r="H292" s="95">
        <v>2</v>
      </c>
      <c r="I292" s="95">
        <v>1</v>
      </c>
      <c r="J292" s="100">
        <f t="shared" si="25"/>
        <v>-18.259999999999998</v>
      </c>
      <c r="K292" s="101">
        <f t="shared" si="26"/>
        <v>4.9355456788242291</v>
      </c>
      <c r="L292" s="97">
        <f t="shared" si="27"/>
        <v>10.027984629108612</v>
      </c>
      <c r="M292" s="107">
        <f t="shared" si="28"/>
        <v>60.167907774651674</v>
      </c>
    </row>
    <row r="293" spans="2:13" x14ac:dyDescent="0.2">
      <c r="B293" s="3">
        <v>108</v>
      </c>
      <c r="C293" s="95">
        <v>2</v>
      </c>
      <c r="D293" s="95">
        <v>2</v>
      </c>
      <c r="E293" s="95">
        <v>1</v>
      </c>
      <c r="F293" s="95">
        <v>2</v>
      </c>
      <c r="G293" s="95">
        <v>1</v>
      </c>
      <c r="H293" s="95">
        <v>2</v>
      </c>
      <c r="I293" s="95">
        <v>2</v>
      </c>
      <c r="J293" s="100">
        <f t="shared" si="25"/>
        <v>-7.8299999999999965</v>
      </c>
      <c r="K293" s="101">
        <f t="shared" si="26"/>
        <v>11.317838849656379</v>
      </c>
      <c r="L293" s="97">
        <f t="shared" si="27"/>
        <v>2.1119663176460746</v>
      </c>
      <c r="M293" s="107">
        <f t="shared" si="28"/>
        <v>12.671797905876447</v>
      </c>
    </row>
    <row r="294" spans="2:13" x14ac:dyDescent="0.2">
      <c r="B294" s="3">
        <v>48</v>
      </c>
      <c r="C294" s="95">
        <v>1</v>
      </c>
      <c r="D294" s="95">
        <v>2</v>
      </c>
      <c r="E294" s="95">
        <v>1</v>
      </c>
      <c r="F294" s="95">
        <v>2</v>
      </c>
      <c r="G294" s="95">
        <v>2</v>
      </c>
      <c r="H294" s="95">
        <v>2</v>
      </c>
      <c r="I294" s="95">
        <v>2</v>
      </c>
      <c r="J294" s="100">
        <f t="shared" si="25"/>
        <v>-7.1400000000000023</v>
      </c>
      <c r="K294" s="101">
        <f t="shared" si="26"/>
        <v>10.006884170428481</v>
      </c>
      <c r="L294" s="97">
        <f t="shared" si="27"/>
        <v>2.2338842251824218</v>
      </c>
      <c r="M294" s="107">
        <f t="shared" si="28"/>
        <v>13.403305351094531</v>
      </c>
    </row>
    <row r="295" spans="2:13" x14ac:dyDescent="0.2">
      <c r="B295" s="3">
        <v>67</v>
      </c>
      <c r="C295" s="95">
        <v>2</v>
      </c>
      <c r="D295" s="95">
        <v>1</v>
      </c>
      <c r="E295" s="95">
        <v>1</v>
      </c>
      <c r="F295" s="95">
        <v>1</v>
      </c>
      <c r="G295" s="95">
        <v>1</v>
      </c>
      <c r="H295" s="95">
        <v>2</v>
      </c>
      <c r="I295" s="95">
        <v>1</v>
      </c>
      <c r="J295" s="100">
        <f t="shared" si="25"/>
        <v>5.0100000000000051</v>
      </c>
      <c r="K295" s="101">
        <f t="shared" si="26"/>
        <v>5.8992203605659048</v>
      </c>
      <c r="L295" s="97">
        <f t="shared" si="27"/>
        <v>2.4773603388926788</v>
      </c>
      <c r="M295" s="107">
        <f t="shared" si="28"/>
        <v>14.864162033356074</v>
      </c>
    </row>
    <row r="296" spans="2:13" x14ac:dyDescent="0.2">
      <c r="B296" s="3">
        <v>7</v>
      </c>
      <c r="C296" s="95">
        <v>1</v>
      </c>
      <c r="D296" s="95">
        <v>1</v>
      </c>
      <c r="E296" s="95">
        <v>1</v>
      </c>
      <c r="F296" s="95">
        <v>1</v>
      </c>
      <c r="G296" s="95">
        <v>2</v>
      </c>
      <c r="H296" s="95">
        <v>2</v>
      </c>
      <c r="I296" s="95">
        <v>1</v>
      </c>
      <c r="J296" s="100">
        <f t="shared" si="25"/>
        <v>5.6999999999999993</v>
      </c>
      <c r="K296" s="101">
        <f t="shared" si="26"/>
        <v>4.5882656813380089</v>
      </c>
      <c r="L296" s="97">
        <f t="shared" si="27"/>
        <v>3.2498556562025334</v>
      </c>
      <c r="M296" s="107">
        <f t="shared" si="28"/>
        <v>19.499133937215198</v>
      </c>
    </row>
    <row r="297" spans="2:13" x14ac:dyDescent="0.2">
      <c r="B297" s="3">
        <v>99</v>
      </c>
      <c r="C297" s="95">
        <v>2</v>
      </c>
      <c r="D297" s="95">
        <v>2</v>
      </c>
      <c r="E297" s="95">
        <v>1</v>
      </c>
      <c r="F297" s="95">
        <v>1</v>
      </c>
      <c r="G297" s="95">
        <v>1</v>
      </c>
      <c r="H297" s="95">
        <v>2</v>
      </c>
      <c r="I297" s="95">
        <v>1</v>
      </c>
      <c r="J297" s="100">
        <f t="shared" si="25"/>
        <v>-3.6699999999999955</v>
      </c>
      <c r="K297" s="101">
        <f t="shared" si="26"/>
        <v>10.436782415470311</v>
      </c>
      <c r="L297" s="97">
        <f t="shared" si="27"/>
        <v>1.0937917134107318</v>
      </c>
      <c r="M297" s="107">
        <f t="shared" si="28"/>
        <v>6.5627502804643907</v>
      </c>
    </row>
    <row r="298" spans="2:13" x14ac:dyDescent="0.2">
      <c r="B298" s="3">
        <v>75</v>
      </c>
      <c r="C298" s="95">
        <v>2</v>
      </c>
      <c r="D298" s="95">
        <v>1</v>
      </c>
      <c r="E298" s="95">
        <v>1</v>
      </c>
      <c r="F298" s="95">
        <v>2</v>
      </c>
      <c r="G298" s="95">
        <v>1</v>
      </c>
      <c r="H298" s="95">
        <v>2</v>
      </c>
      <c r="I298" s="95">
        <v>1</v>
      </c>
      <c r="J298" s="100">
        <f t="shared" si="25"/>
        <v>-9.149999999999995</v>
      </c>
      <c r="K298" s="101">
        <f t="shared" si="26"/>
        <v>8.9054157845537318</v>
      </c>
      <c r="L298" s="97">
        <f t="shared" si="27"/>
        <v>3.2406577421278575</v>
      </c>
      <c r="M298" s="107">
        <f t="shared" si="28"/>
        <v>19.443946452767143</v>
      </c>
    </row>
    <row r="299" spans="2:13" x14ac:dyDescent="0.2">
      <c r="B299" s="3">
        <v>39</v>
      </c>
      <c r="C299" s="95">
        <v>1</v>
      </c>
      <c r="D299" s="95">
        <v>2</v>
      </c>
      <c r="E299" s="95">
        <v>1</v>
      </c>
      <c r="F299" s="95">
        <v>1</v>
      </c>
      <c r="G299" s="95">
        <v>2</v>
      </c>
      <c r="H299" s="95">
        <v>2</v>
      </c>
      <c r="I299" s="95">
        <v>1</v>
      </c>
      <c r="J299" s="100">
        <f t="shared" si="25"/>
        <v>-2.9800000000000013</v>
      </c>
      <c r="K299" s="101">
        <f t="shared" si="26"/>
        <v>9.1258277362424174</v>
      </c>
      <c r="L299" s="97">
        <f t="shared" si="27"/>
        <v>1.0296212196209409</v>
      </c>
      <c r="M299" s="107">
        <f t="shared" si="28"/>
        <v>6.1777273177256458</v>
      </c>
    </row>
    <row r="300" spans="2:13" x14ac:dyDescent="0.2">
      <c r="B300" s="3">
        <v>15</v>
      </c>
      <c r="C300" s="95">
        <v>1</v>
      </c>
      <c r="D300" s="95">
        <v>1</v>
      </c>
      <c r="E300" s="95">
        <v>1</v>
      </c>
      <c r="F300" s="95">
        <v>2</v>
      </c>
      <c r="G300" s="95">
        <v>2</v>
      </c>
      <c r="H300" s="95">
        <v>2</v>
      </c>
      <c r="I300" s="95">
        <v>1</v>
      </c>
      <c r="J300" s="100">
        <f t="shared" si="25"/>
        <v>-8.4599999999999991</v>
      </c>
      <c r="K300" s="101">
        <f t="shared" si="26"/>
        <v>7.5944611053258368</v>
      </c>
      <c r="L300" s="97">
        <f t="shared" si="27"/>
        <v>3.4691175794003493</v>
      </c>
      <c r="M300" s="107">
        <f t="shared" si="28"/>
        <v>20.814705476402096</v>
      </c>
    </row>
    <row r="301" spans="2:13" x14ac:dyDescent="0.2">
      <c r="B301" s="3">
        <v>107</v>
      </c>
      <c r="C301" s="95">
        <v>2</v>
      </c>
      <c r="D301" s="95">
        <v>2</v>
      </c>
      <c r="E301" s="95">
        <v>1</v>
      </c>
      <c r="F301" s="95">
        <v>2</v>
      </c>
      <c r="G301" s="95">
        <v>1</v>
      </c>
      <c r="H301" s="95">
        <v>2</v>
      </c>
      <c r="I301" s="95">
        <v>1</v>
      </c>
      <c r="J301" s="100">
        <f t="shared" si="25"/>
        <v>-17.829999999999995</v>
      </c>
      <c r="K301" s="101">
        <f t="shared" si="26"/>
        <v>13.442977839458138</v>
      </c>
      <c r="L301" s="97">
        <f t="shared" si="27"/>
        <v>3.7761195271424919</v>
      </c>
      <c r="M301" s="107">
        <f t="shared" si="28"/>
        <v>22.656717162854953</v>
      </c>
    </row>
    <row r="302" spans="2:13" x14ac:dyDescent="0.2">
      <c r="B302" s="3">
        <v>47</v>
      </c>
      <c r="C302" s="95">
        <v>1</v>
      </c>
      <c r="D302" s="95">
        <v>2</v>
      </c>
      <c r="E302" s="95">
        <v>1</v>
      </c>
      <c r="F302" s="95">
        <v>2</v>
      </c>
      <c r="G302" s="95">
        <v>2</v>
      </c>
      <c r="H302" s="95">
        <v>2</v>
      </c>
      <c r="I302" s="95">
        <v>1</v>
      </c>
      <c r="J302" s="100">
        <f t="shared" si="25"/>
        <v>-17.14</v>
      </c>
      <c r="K302" s="101">
        <f t="shared" si="26"/>
        <v>12.132023160230244</v>
      </c>
      <c r="L302" s="97">
        <f t="shared" si="27"/>
        <v>4.2147093662623307</v>
      </c>
      <c r="M302" s="107">
        <f t="shared" si="28"/>
        <v>25.288256197573986</v>
      </c>
    </row>
    <row r="303" spans="2:13" x14ac:dyDescent="0.2">
      <c r="B303" s="3">
        <v>4</v>
      </c>
      <c r="C303" s="95">
        <v>1</v>
      </c>
      <c r="D303" s="95">
        <v>1</v>
      </c>
      <c r="E303" s="95">
        <v>1</v>
      </c>
      <c r="F303" s="95">
        <v>1</v>
      </c>
      <c r="G303" s="95">
        <v>1</v>
      </c>
      <c r="H303" s="95">
        <v>2</v>
      </c>
      <c r="I303" s="95">
        <v>2</v>
      </c>
      <c r="J303" s="100">
        <f t="shared" si="25"/>
        <v>1.8700000000000019</v>
      </c>
      <c r="K303" s="101">
        <f t="shared" si="26"/>
        <v>3.774081370764145</v>
      </c>
      <c r="L303" s="97">
        <f t="shared" si="27"/>
        <v>1.1631838171144666</v>
      </c>
      <c r="M303" s="107">
        <f t="shared" si="28"/>
        <v>6.9791029026867992</v>
      </c>
    </row>
    <row r="304" spans="2:13" x14ac:dyDescent="0.2">
      <c r="B304" s="3">
        <v>36</v>
      </c>
      <c r="C304" s="95">
        <v>1</v>
      </c>
      <c r="D304" s="95">
        <v>2</v>
      </c>
      <c r="E304" s="95">
        <v>1</v>
      </c>
      <c r="F304" s="95">
        <v>1</v>
      </c>
      <c r="G304" s="95">
        <v>1</v>
      </c>
      <c r="H304" s="95">
        <v>2</v>
      </c>
      <c r="I304" s="95">
        <v>2</v>
      </c>
      <c r="J304" s="100">
        <f t="shared" si="25"/>
        <v>-6.8099999999999987</v>
      </c>
      <c r="K304" s="101">
        <f t="shared" si="26"/>
        <v>8.311643425668553</v>
      </c>
      <c r="L304" s="97">
        <f t="shared" si="27"/>
        <v>2.5778113997349541</v>
      </c>
      <c r="M304" s="107">
        <f t="shared" si="28"/>
        <v>15.466868398409725</v>
      </c>
    </row>
    <row r="305" spans="2:13" x14ac:dyDescent="0.2">
      <c r="B305" s="3">
        <v>12</v>
      </c>
      <c r="C305" s="95">
        <v>1</v>
      </c>
      <c r="D305" s="95">
        <v>1</v>
      </c>
      <c r="E305" s="95">
        <v>1</v>
      </c>
      <c r="F305" s="95">
        <v>2</v>
      </c>
      <c r="G305" s="95">
        <v>1</v>
      </c>
      <c r="H305" s="95">
        <v>2</v>
      </c>
      <c r="I305" s="95">
        <v>2</v>
      </c>
      <c r="J305" s="100">
        <f t="shared" si="25"/>
        <v>-12.289999999999997</v>
      </c>
      <c r="K305" s="101">
        <f t="shared" si="26"/>
        <v>6.7802767947519724</v>
      </c>
      <c r="L305" s="97">
        <f t="shared" si="27"/>
        <v>5.5158082454387234</v>
      </c>
      <c r="M305" s="107">
        <f t="shared" si="28"/>
        <v>33.09484947263234</v>
      </c>
    </row>
    <row r="306" spans="2:13" x14ac:dyDescent="0.2">
      <c r="B306" s="3">
        <v>44</v>
      </c>
      <c r="C306" s="95">
        <v>1</v>
      </c>
      <c r="D306" s="95">
        <v>2</v>
      </c>
      <c r="E306" s="95">
        <v>1</v>
      </c>
      <c r="F306" s="95">
        <v>2</v>
      </c>
      <c r="G306" s="95">
        <v>1</v>
      </c>
      <c r="H306" s="95">
        <v>2</v>
      </c>
      <c r="I306" s="95">
        <v>2</v>
      </c>
      <c r="J306" s="100">
        <f t="shared" si="25"/>
        <v>-20.97</v>
      </c>
      <c r="K306" s="101">
        <f t="shared" si="26"/>
        <v>11.317838849656379</v>
      </c>
      <c r="L306" s="97">
        <f t="shared" si="27"/>
        <v>5.6561856553050065</v>
      </c>
      <c r="M306" s="107">
        <f t="shared" si="28"/>
        <v>33.937113931830041</v>
      </c>
    </row>
    <row r="307" spans="2:13" x14ac:dyDescent="0.2">
      <c r="B307" s="3">
        <v>3</v>
      </c>
      <c r="C307" s="95">
        <v>1</v>
      </c>
      <c r="D307" s="95">
        <v>1</v>
      </c>
      <c r="E307" s="95">
        <v>1</v>
      </c>
      <c r="F307" s="95">
        <v>1</v>
      </c>
      <c r="G307" s="95">
        <v>1</v>
      </c>
      <c r="H307" s="95">
        <v>2</v>
      </c>
      <c r="I307" s="95">
        <v>1</v>
      </c>
      <c r="J307" s="100">
        <f t="shared" si="25"/>
        <v>-8.1299999999999955</v>
      </c>
      <c r="K307" s="101">
        <f t="shared" si="26"/>
        <v>5.8992203605659048</v>
      </c>
      <c r="L307" s="97">
        <f t="shared" si="27"/>
        <v>4.0201476158078737</v>
      </c>
      <c r="M307" s="107">
        <f t="shared" si="28"/>
        <v>24.120885694847242</v>
      </c>
    </row>
    <row r="308" spans="2:13" x14ac:dyDescent="0.2">
      <c r="B308" s="3">
        <v>35</v>
      </c>
      <c r="C308" s="95">
        <v>1</v>
      </c>
      <c r="D308" s="95">
        <v>2</v>
      </c>
      <c r="E308" s="95">
        <v>1</v>
      </c>
      <c r="F308" s="95">
        <v>1</v>
      </c>
      <c r="G308" s="95">
        <v>1</v>
      </c>
      <c r="H308" s="95">
        <v>2</v>
      </c>
      <c r="I308" s="95">
        <v>1</v>
      </c>
      <c r="J308" s="100">
        <f t="shared" si="25"/>
        <v>-16.809999999999995</v>
      </c>
      <c r="K308" s="101">
        <f t="shared" si="26"/>
        <v>10.436782415470311</v>
      </c>
      <c r="L308" s="97">
        <f t="shared" si="27"/>
        <v>5.0099832976660545</v>
      </c>
      <c r="M308" s="107">
        <f t="shared" si="28"/>
        <v>30.059899785996329</v>
      </c>
    </row>
    <row r="309" spans="2:13" x14ac:dyDescent="0.2">
      <c r="B309" s="3">
        <v>11</v>
      </c>
      <c r="C309" s="95">
        <v>1</v>
      </c>
      <c r="D309" s="95">
        <v>1</v>
      </c>
      <c r="E309" s="95">
        <v>1</v>
      </c>
      <c r="F309" s="95">
        <v>2</v>
      </c>
      <c r="G309" s="95">
        <v>1</v>
      </c>
      <c r="H309" s="95">
        <v>2</v>
      </c>
      <c r="I309" s="95">
        <v>1</v>
      </c>
      <c r="J309" s="100">
        <f t="shared" si="25"/>
        <v>-22.289999999999996</v>
      </c>
      <c r="K309" s="101">
        <f t="shared" si="26"/>
        <v>8.9054157845537318</v>
      </c>
      <c r="L309" s="97">
        <f t="shared" si="27"/>
        <v>7.8944547619704881</v>
      </c>
      <c r="M309" s="107">
        <f t="shared" si="28"/>
        <v>47.366728571822932</v>
      </c>
    </row>
    <row r="310" spans="2:13" x14ac:dyDescent="0.2">
      <c r="B310" s="124">
        <v>43</v>
      </c>
      <c r="C310" s="95">
        <v>1</v>
      </c>
      <c r="D310" s="95">
        <v>2</v>
      </c>
      <c r="E310" s="95">
        <v>1</v>
      </c>
      <c r="F310" s="95">
        <v>2</v>
      </c>
      <c r="G310" s="95">
        <v>1</v>
      </c>
      <c r="H310" s="95">
        <v>2</v>
      </c>
      <c r="I310" s="95">
        <v>1</v>
      </c>
      <c r="J310" s="100">
        <f t="shared" si="25"/>
        <v>-30.969999999999995</v>
      </c>
      <c r="K310" s="99">
        <f t="shared" si="26"/>
        <v>13.442977839458138</v>
      </c>
      <c r="L310" s="125">
        <f t="shared" si="27"/>
        <v>6.5589692515761646</v>
      </c>
      <c r="M310" s="126">
        <f t="shared" si="28"/>
        <v>39.353815509456986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7B8D-DDEC-4C2A-985F-A94CD94A6A34}">
  <sheetPr>
    <pageSetUpPr fitToPage="1"/>
  </sheetPr>
  <dimension ref="A1:BG310"/>
  <sheetViews>
    <sheetView tabSelected="1" topLeftCell="A21" zoomScale="25" zoomScaleNormal="25" workbookViewId="0">
      <selection activeCell="C159" sqref="C159"/>
    </sheetView>
  </sheetViews>
  <sheetFormatPr defaultColWidth="11.42578125" defaultRowHeight="12.75" x14ac:dyDescent="0.2"/>
  <cols>
    <col min="1" max="1" width="5.140625" customWidth="1"/>
    <col min="2" max="2" width="18.42578125" customWidth="1"/>
    <col min="3" max="9" width="17.42578125" customWidth="1"/>
    <col min="10" max="10" width="12.140625" customWidth="1"/>
    <col min="11" max="11" width="9" customWidth="1"/>
    <col min="12" max="12" width="10.85546875" customWidth="1"/>
    <col min="13" max="20" width="11.140625" customWidth="1"/>
    <col min="21" max="21" width="5.85546875" customWidth="1"/>
    <col min="22" max="25" width="8.7109375" customWidth="1"/>
    <col min="26" max="26" width="28.28515625" bestFit="1" customWidth="1"/>
    <col min="27" max="69" width="8.7109375" customWidth="1"/>
  </cols>
  <sheetData>
    <row r="1" spans="1:59" x14ac:dyDescent="0.2">
      <c r="A1" s="57"/>
      <c r="B1" s="58"/>
      <c r="C1" s="58"/>
      <c r="D1" s="58"/>
      <c r="E1" s="59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60"/>
      <c r="V1" s="57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60"/>
    </row>
    <row r="2" spans="1:59" s="52" customFormat="1" ht="21" customHeight="1" x14ac:dyDescent="0.4">
      <c r="A2" s="61" t="str">
        <f>"Table L8, Réponse étudiée: " &amp;K18</f>
        <v>Table L8, Réponse étudiée: Durée du vol en seconde</v>
      </c>
      <c r="B2" s="43"/>
      <c r="C2" s="43"/>
      <c r="D2" s="43"/>
      <c r="E2" s="43"/>
      <c r="F2" s="43"/>
      <c r="G2" s="43"/>
      <c r="H2" s="43"/>
      <c r="I2" s="43"/>
      <c r="J2" s="43"/>
      <c r="K2" s="44"/>
      <c r="L2" s="43"/>
      <c r="M2" s="43"/>
      <c r="N2" s="43"/>
      <c r="O2" s="43"/>
      <c r="P2" s="43"/>
      <c r="Q2" s="43"/>
      <c r="R2" s="1"/>
      <c r="S2" s="1"/>
      <c r="T2" s="1"/>
      <c r="U2" s="62"/>
      <c r="V2" s="69"/>
      <c r="W2" s="45"/>
      <c r="X2" s="46"/>
      <c r="Y2" s="46"/>
      <c r="Z2" s="46"/>
      <c r="AA2" s="46"/>
      <c r="AB2" s="46"/>
      <c r="AC2" s="46"/>
      <c r="AD2" s="46"/>
      <c r="AE2" s="46"/>
      <c r="AF2" s="51" t="s">
        <v>0</v>
      </c>
      <c r="AG2" s="46"/>
      <c r="AH2" s="46"/>
      <c r="AI2" s="46"/>
      <c r="AJ2" s="46"/>
      <c r="AK2" s="46"/>
      <c r="AL2" s="46"/>
      <c r="BG2" s="70"/>
    </row>
    <row r="3" spans="1:59" x14ac:dyDescent="0.2">
      <c r="A3" s="63"/>
      <c r="C3" s="11"/>
      <c r="D3" s="11"/>
      <c r="E3" s="11"/>
      <c r="F3" s="11"/>
      <c r="G3" s="11"/>
      <c r="H3" s="11"/>
      <c r="I3" s="11"/>
      <c r="U3" s="64"/>
      <c r="V3" s="63"/>
      <c r="W3" s="11"/>
      <c r="X3" s="11"/>
      <c r="BG3" s="64"/>
    </row>
    <row r="4" spans="1:59" x14ac:dyDescent="0.2">
      <c r="A4" s="72"/>
      <c r="B4" s="11"/>
      <c r="C4" s="114" t="s">
        <v>79</v>
      </c>
      <c r="D4" s="114" t="s">
        <v>78</v>
      </c>
      <c r="E4" s="11" t="s">
        <v>76</v>
      </c>
      <c r="F4" s="114" t="s">
        <v>77</v>
      </c>
      <c r="G4" s="114" t="s">
        <v>80</v>
      </c>
      <c r="H4" s="114" t="s">
        <v>81</v>
      </c>
      <c r="I4" s="114" t="s">
        <v>82</v>
      </c>
      <c r="J4" s="11"/>
      <c r="K4" s="11"/>
      <c r="L4" s="11"/>
      <c r="U4" s="64"/>
      <c r="V4" s="63"/>
      <c r="AY4" s="64"/>
    </row>
    <row r="5" spans="1:59" x14ac:dyDescent="0.2">
      <c r="A5" s="63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U5" s="64"/>
      <c r="V5" s="63"/>
      <c r="AY5" s="64"/>
    </row>
    <row r="6" spans="1:59" ht="13.5" thickBot="1" x14ac:dyDescent="0.25">
      <c r="A6" s="63"/>
      <c r="B6" s="71" t="s">
        <v>1</v>
      </c>
      <c r="C6" s="82" t="s">
        <v>88</v>
      </c>
      <c r="D6" s="82" t="s">
        <v>89</v>
      </c>
      <c r="E6" s="82"/>
      <c r="F6" s="82" t="s">
        <v>90</v>
      </c>
      <c r="G6" s="82"/>
      <c r="H6" s="82"/>
      <c r="I6" s="82"/>
      <c r="U6" s="64"/>
      <c r="V6" s="63"/>
      <c r="AU6" s="64"/>
    </row>
    <row r="7" spans="1:59" x14ac:dyDescent="0.2">
      <c r="A7" s="63"/>
      <c r="B7" s="3" t="s">
        <v>2</v>
      </c>
      <c r="C7" s="81">
        <v>25</v>
      </c>
      <c r="D7" s="81">
        <v>60</v>
      </c>
      <c r="E7" s="81"/>
      <c r="F7" s="81">
        <v>1</v>
      </c>
      <c r="G7" s="40"/>
      <c r="H7" s="81"/>
      <c r="I7" s="81"/>
      <c r="K7" s="56" t="s">
        <v>3</v>
      </c>
      <c r="U7" s="64"/>
      <c r="V7" s="63"/>
      <c r="AU7" s="64"/>
    </row>
    <row r="8" spans="1:59" ht="13.5" thickBot="1" x14ac:dyDescent="0.25">
      <c r="A8" s="63"/>
      <c r="B8" s="71" t="s">
        <v>4</v>
      </c>
      <c r="C8" s="82">
        <v>60</v>
      </c>
      <c r="D8" s="82">
        <v>100</v>
      </c>
      <c r="E8" s="82"/>
      <c r="F8" s="82">
        <v>2</v>
      </c>
      <c r="G8" s="82"/>
      <c r="H8" s="82"/>
      <c r="I8" s="82"/>
      <c r="L8" s="18">
        <v>1</v>
      </c>
      <c r="M8" s="18">
        <v>2</v>
      </c>
      <c r="N8" s="18">
        <v>3</v>
      </c>
      <c r="O8" s="18">
        <v>4</v>
      </c>
      <c r="P8" s="18">
        <v>5</v>
      </c>
      <c r="Q8" s="18">
        <v>6</v>
      </c>
      <c r="R8" s="18">
        <v>7</v>
      </c>
      <c r="U8" s="64"/>
      <c r="V8" s="63"/>
      <c r="AU8" s="64"/>
    </row>
    <row r="9" spans="1:59" x14ac:dyDescent="0.2">
      <c r="A9" s="63"/>
      <c r="B9" s="12" t="str">
        <f>IF(C6="","",C6)</f>
        <v>Larg pales</v>
      </c>
      <c r="C9" s="49"/>
      <c r="D9" s="81" t="s">
        <v>28</v>
      </c>
      <c r="E9" s="40"/>
      <c r="F9" s="81" t="s">
        <v>28</v>
      </c>
      <c r="G9" s="40"/>
      <c r="H9" s="40"/>
      <c r="I9" s="81"/>
      <c r="K9" s="12">
        <v>1</v>
      </c>
      <c r="L9" s="49"/>
      <c r="M9" s="12">
        <v>3</v>
      </c>
      <c r="N9" s="12">
        <v>2</v>
      </c>
      <c r="O9" s="12">
        <v>5</v>
      </c>
      <c r="P9" s="12">
        <v>4</v>
      </c>
      <c r="Q9" s="12">
        <v>7</v>
      </c>
      <c r="R9" s="12">
        <v>6</v>
      </c>
      <c r="U9" s="64"/>
      <c r="V9" s="63"/>
      <c r="AU9" s="64"/>
    </row>
    <row r="10" spans="1:59" x14ac:dyDescent="0.2">
      <c r="A10" s="63"/>
      <c r="B10" s="12" t="str">
        <f>IF(D6="","",D6)</f>
        <v>Long pales</v>
      </c>
      <c r="C10" s="49"/>
      <c r="D10" s="49"/>
      <c r="E10" s="40"/>
      <c r="F10" s="81" t="s">
        <v>28</v>
      </c>
      <c r="G10" s="40"/>
      <c r="H10" s="40"/>
      <c r="I10" s="40"/>
      <c r="K10" s="12">
        <v>2</v>
      </c>
      <c r="L10" s="49"/>
      <c r="M10" s="49"/>
      <c r="N10" s="12">
        <v>1</v>
      </c>
      <c r="O10" s="12">
        <v>6</v>
      </c>
      <c r="P10" s="12">
        <v>7</v>
      </c>
      <c r="Q10" s="12">
        <v>4</v>
      </c>
      <c r="R10" s="12">
        <v>5</v>
      </c>
      <c r="U10" s="64"/>
      <c r="V10" s="63"/>
      <c r="Y10" s="11"/>
      <c r="AU10" s="64"/>
    </row>
    <row r="11" spans="1:59" x14ac:dyDescent="0.2">
      <c r="A11" s="63"/>
      <c r="B11" s="12" t="str">
        <f>IF(E6="","",E6)</f>
        <v/>
      </c>
      <c r="C11" s="49"/>
      <c r="D11" s="49"/>
      <c r="E11" s="49"/>
      <c r="F11" s="40"/>
      <c r="G11" s="40"/>
      <c r="H11" s="40"/>
      <c r="I11" s="40"/>
      <c r="K11" s="12">
        <v>3</v>
      </c>
      <c r="L11" s="49"/>
      <c r="M11" s="49"/>
      <c r="N11" s="49"/>
      <c r="O11" s="12">
        <v>7</v>
      </c>
      <c r="P11" s="12">
        <v>6</v>
      </c>
      <c r="Q11" s="12">
        <v>5</v>
      </c>
      <c r="R11" s="12">
        <v>4</v>
      </c>
      <c r="U11" s="64"/>
      <c r="V11" s="63"/>
      <c r="Y11" s="13"/>
      <c r="AU11" s="64"/>
    </row>
    <row r="12" spans="1:59" ht="15.75" x14ac:dyDescent="0.25">
      <c r="A12" s="63"/>
      <c r="B12" s="12" t="str">
        <f>IF(F6="","",F6)</f>
        <v>Nbre trombones</v>
      </c>
      <c r="C12" s="50"/>
      <c r="D12" s="49"/>
      <c r="E12" s="49"/>
      <c r="F12" s="49"/>
      <c r="G12" s="40"/>
      <c r="H12" s="40"/>
      <c r="I12" s="40"/>
      <c r="K12" s="12">
        <v>4</v>
      </c>
      <c r="L12" s="50"/>
      <c r="M12" s="49"/>
      <c r="N12" s="49"/>
      <c r="O12" s="49"/>
      <c r="P12" s="12">
        <v>1</v>
      </c>
      <c r="Q12" s="12">
        <v>2</v>
      </c>
      <c r="R12" s="12">
        <v>3</v>
      </c>
      <c r="U12" s="64"/>
      <c r="V12" s="63"/>
      <c r="AU12" s="64"/>
    </row>
    <row r="13" spans="1:59" x14ac:dyDescent="0.2">
      <c r="A13" s="63"/>
      <c r="B13" s="12" t="str">
        <f>IF(G6="","",G6)</f>
        <v/>
      </c>
      <c r="C13" s="49"/>
      <c r="D13" s="49"/>
      <c r="E13" s="49"/>
      <c r="F13" s="49"/>
      <c r="G13" s="49"/>
      <c r="H13" s="40"/>
      <c r="I13" s="40"/>
      <c r="K13" s="12">
        <v>5</v>
      </c>
      <c r="L13" s="49"/>
      <c r="M13" s="49"/>
      <c r="N13" s="49"/>
      <c r="O13" s="49"/>
      <c r="P13" s="49"/>
      <c r="Q13" s="12">
        <v>3</v>
      </c>
      <c r="R13" s="12">
        <v>2</v>
      </c>
      <c r="U13" s="64"/>
      <c r="V13" s="63"/>
      <c r="AU13" s="64"/>
    </row>
    <row r="14" spans="1:59" x14ac:dyDescent="0.2">
      <c r="A14" s="63"/>
      <c r="B14" s="12" t="str">
        <f>IF(H6="","",H6)</f>
        <v/>
      </c>
      <c r="C14" s="49"/>
      <c r="D14" s="49"/>
      <c r="E14" s="49"/>
      <c r="F14" s="49"/>
      <c r="G14" s="49"/>
      <c r="H14" s="49"/>
      <c r="I14" s="40"/>
      <c r="K14" s="12">
        <v>6</v>
      </c>
      <c r="L14" s="49"/>
      <c r="M14" s="49"/>
      <c r="N14" s="49"/>
      <c r="O14" s="49"/>
      <c r="P14" s="49"/>
      <c r="Q14" s="49"/>
      <c r="R14" s="12">
        <v>1</v>
      </c>
      <c r="U14" s="64"/>
      <c r="V14" s="63"/>
      <c r="AY14" s="64"/>
    </row>
    <row r="15" spans="1:59" x14ac:dyDescent="0.2">
      <c r="A15" s="63"/>
      <c r="B15" s="12" t="str">
        <f>IF(I6="","",I6)</f>
        <v/>
      </c>
      <c r="C15" s="49"/>
      <c r="D15" s="48"/>
      <c r="E15" s="48"/>
      <c r="F15" s="49"/>
      <c r="G15" s="49"/>
      <c r="H15" s="49"/>
      <c r="I15" s="48"/>
      <c r="K15" s="12">
        <v>7</v>
      </c>
      <c r="L15" s="49"/>
      <c r="M15" s="48"/>
      <c r="N15" s="48"/>
      <c r="O15" s="49"/>
      <c r="P15" s="49"/>
      <c r="Q15" s="49"/>
      <c r="R15" s="48"/>
      <c r="U15" s="64"/>
      <c r="V15" s="63"/>
      <c r="BG15" s="64"/>
    </row>
    <row r="16" spans="1:59" x14ac:dyDescent="0.2">
      <c r="A16" s="63"/>
      <c r="Q16" s="11"/>
      <c r="R16" s="47"/>
      <c r="U16" s="64"/>
      <c r="V16" s="63"/>
      <c r="BG16" s="64"/>
    </row>
    <row r="17" spans="1:59" x14ac:dyDescent="0.2">
      <c r="A17" s="63"/>
      <c r="Q17" s="11"/>
      <c r="R17" s="47"/>
      <c r="U17" s="64"/>
      <c r="V17" s="63"/>
      <c r="BG17" s="64"/>
    </row>
    <row r="18" spans="1:59" s="137" customFormat="1" ht="51" x14ac:dyDescent="0.2">
      <c r="A18" s="127"/>
      <c r="B18" s="128" t="s">
        <v>1</v>
      </c>
      <c r="C18" s="129" t="str">
        <f>IF(E10="",IF(G12="",IF(I14="",IF(C6="","",C6),IF(C6="",IF(I6="",B14&amp;"/"&amp;I18,B14&amp;"/"&amp;I6),"impossible !")),IF(I14="",IF(C6="",IF(G6="",B12&amp;"/"&amp;G18,B12&amp;"/"&amp;G6),"impossible !"),"impossible !")),IF(G12="",IF(I14="",IF(C6="",IF(E6="",B10&amp;"/"&amp;E18,B10&amp;"/"&amp;E6),"impossible !"),"impossible !"),"impossible !"))</f>
        <v>Larg pales</v>
      </c>
      <c r="D18" s="129" t="str">
        <f>IF(E9="",IF(H12="",IF(I13="",IF(D6="","",D6),IF(D6="",IF(I6="",B13&amp;"/"&amp;I18,B13&amp;"/"&amp;I6),"impossible !")),IF(I13="",IF(D6="",IF(H6="",B12&amp;"/"&amp;H18,B12&amp;"/"&amp;H6),"impossible !"),"impossible !")),IF(H12="",IF(I13="",IF(D6="",IF(E6="",B9&amp;"/"&amp;E18,B9&amp;"/"&amp;E6),"impossible !"),"impossible !"),"impossible !"))</f>
        <v>Long pales</v>
      </c>
      <c r="E18" s="129" t="str">
        <f>IF(D9="",IF(H13="",IF(I12="",IF(E6="","",E6),IF(E6="",IF(I6="",B12&amp;"/"&amp;I18,B12&amp;"/"&amp;I6),"impossible !")),IF(I12="",IF(E6="",IF(H6="",B13&amp;"/"&amp;H18,B13&amp;"/"&amp;H6),"impossible !"),"impossible !")),IF(H13="",IF(I12="",IF(E6="",IF(D6="",B9&amp;"/"&amp;D18,B9&amp;"/"&amp;D6),"impossible !"),"impossible !"),"impossible !"))</f>
        <v>Larg pales/Long pales</v>
      </c>
      <c r="F18" s="129" t="str">
        <f>IF(G9="",IF(H10="",IF(I11="",IF(F6="","",F6),IF(F6="",IF(I6="",B11&amp;"/"&amp;I18,B11&amp;"/"&amp;I6),"impossible !")),IF(I11="",IF(F6="",IF(H6="",B10&amp;"/"&amp;H18,B10&amp;"/"&amp;H6),"impossible !"),"impossible !")),IF(H10="",IF(I11="",IF(F6="",IF(G6="",B9&amp;"/"&amp;G18,B9&amp;"/"&amp;G6),"impossible !"),"impossible !"),"impossible !"))</f>
        <v>Nbre trombones</v>
      </c>
      <c r="G18" s="129" t="str">
        <f>IF(F9="",IF(H11="",IF(I10="",IF(G6="","",G6),IF(G6="",IF(I6="",B10&amp;"/"&amp;I18,B10&amp;"/"&amp;I6),"impossible !")),IF(I10="",IF(G6="",IF(H6="",B11&amp;"/"&amp;H18,B11&amp;"/"&amp;H6),"impossible !"),"impossible !")),IF(H11="",IF(I10="",IF(G6="",IF(F6="",B9&amp;"/"&amp;F18,B9&amp;"/"&amp;F6),"impossible"),"impossible !"),"impossible !"))</f>
        <v>Larg pales/Nbre trombones</v>
      </c>
      <c r="H18" s="129" t="str">
        <f>IF(F10="",IF(G11="",IF(I9="",IF(H6="","",H6),IF(H6="",IF(I6="",B9&amp;"/"&amp;I18,B9&amp;"/"&amp;I6),"impossible !")),IF(I9="",IF(H6="",IF(G6="",B11&amp;"/"&amp;G18,B11&amp;"/"&amp;G6),"impossible !"),"impossible !")),IF(G11="",IF(I9="",IF(H6="",IF(F6="",B10&amp;"/"&amp;F18,B10&amp;"/"&amp;F6),"impossible !"),"impossible !"),"impossible !"))</f>
        <v>Long pales/Nbre trombones</v>
      </c>
      <c r="I18" s="129" t="str">
        <f>IF(F11="",IF(G10="",IF(H9="",IF(I6="","",I6),IF(I6="",IF(H6="",B9&amp;"/"&amp;H18,B9&amp;"/"&amp;H6),"impossible !")),IF(H9="",IF(I6="",IF(G6="",B10&amp;"/"&amp;G18,B10&amp;"/"&amp;G6),"impossible !"),"impossible !")),IF(G10="",IF(H9="",IF(I6="",IF(F6="",B11&amp;"/"&amp;F18,B11&amp;"/"&amp;F6),"impossible !"),"impossible !"),"impossible !"))</f>
        <v/>
      </c>
      <c r="J18" s="130" t="s">
        <v>5</v>
      </c>
      <c r="K18" s="131" t="s">
        <v>93</v>
      </c>
      <c r="L18" s="132"/>
      <c r="M18" s="132"/>
      <c r="N18" s="132"/>
      <c r="O18" s="133"/>
      <c r="P18" s="134" t="s">
        <v>64</v>
      </c>
      <c r="Q18" s="134" t="s">
        <v>63</v>
      </c>
      <c r="R18" s="134" t="s">
        <v>73</v>
      </c>
      <c r="S18" s="130" t="s">
        <v>6</v>
      </c>
      <c r="T18" s="135">
        <f>J28-MAX(D33:D34,D36:D37,D39:D40,D42:D43,D45:D46,D48:D49,D51:D52)*1.2</f>
        <v>1.8451666666666673</v>
      </c>
      <c r="U18" s="136"/>
      <c r="V18" s="127"/>
      <c r="BG18" s="136"/>
    </row>
    <row r="19" spans="1:59" ht="13.5" thickBot="1" x14ac:dyDescent="0.25">
      <c r="A19" s="63"/>
      <c r="B19" s="6" t="s">
        <v>7</v>
      </c>
      <c r="C19" s="3">
        <v>1</v>
      </c>
      <c r="D19" s="3">
        <v>2</v>
      </c>
      <c r="E19" s="3">
        <v>3</v>
      </c>
      <c r="F19" s="3">
        <v>4</v>
      </c>
      <c r="G19" s="3">
        <v>5</v>
      </c>
      <c r="H19" s="3">
        <v>6</v>
      </c>
      <c r="I19" s="3">
        <v>7</v>
      </c>
      <c r="J19" s="7" t="s">
        <v>8</v>
      </c>
      <c r="K19" s="8" t="s">
        <v>9</v>
      </c>
      <c r="L19" s="8" t="s">
        <v>10</v>
      </c>
      <c r="M19" s="8" t="s">
        <v>11</v>
      </c>
      <c r="N19" s="8" t="s">
        <v>12</v>
      </c>
      <c r="O19" s="6" t="s">
        <v>13</v>
      </c>
      <c r="P19" s="85"/>
      <c r="Q19" s="84" t="s">
        <v>65</v>
      </c>
      <c r="R19" s="85"/>
      <c r="S19" s="3" t="s">
        <v>14</v>
      </c>
      <c r="T19" s="41">
        <f>J28+MAX(D33:D34,D36:D37,D39:D40,D42:D43,D45:D46,D48:D49,D51:D52)*1.2</f>
        <v>2.2831666666666663</v>
      </c>
      <c r="U19" s="64"/>
      <c r="V19" s="63"/>
      <c r="BG19" s="64"/>
    </row>
    <row r="20" spans="1:59" ht="13.5" thickTop="1" x14ac:dyDescent="0.2">
      <c r="A20" s="63"/>
      <c r="B20" s="3">
        <v>1</v>
      </c>
      <c r="C20" s="108">
        <f t="shared" ref="C20:I20" si="0">IF(C$7="",1,C$7)</f>
        <v>25</v>
      </c>
      <c r="D20" s="108">
        <f t="shared" si="0"/>
        <v>60</v>
      </c>
      <c r="E20" s="108">
        <f t="shared" si="0"/>
        <v>1</v>
      </c>
      <c r="F20" s="108">
        <f t="shared" si="0"/>
        <v>1</v>
      </c>
      <c r="G20" s="108">
        <f t="shared" si="0"/>
        <v>1</v>
      </c>
      <c r="H20" s="108">
        <f t="shared" si="0"/>
        <v>1</v>
      </c>
      <c r="I20" s="108">
        <f t="shared" si="0"/>
        <v>1</v>
      </c>
      <c r="J20" s="9">
        <f t="shared" ref="J20:J27" si="1">AVERAGE(K20:O20)</f>
        <v>2.14</v>
      </c>
      <c r="K20" s="40">
        <v>2.15</v>
      </c>
      <c r="L20" s="40">
        <v>2.21</v>
      </c>
      <c r="M20" s="40">
        <v>2.06</v>
      </c>
      <c r="N20" s="40"/>
      <c r="O20" s="40"/>
      <c r="P20" s="86">
        <f>_xlfn.STDEV.S(K20:O20)</f>
        <v>7.5498344352707442E-2</v>
      </c>
      <c r="Q20" s="87">
        <f>10*(LOG10(((J20/P20)^2)-(1/5)))</f>
        <v>29.048445686261847</v>
      </c>
      <c r="R20" s="86">
        <f>_xlfn.VAR.S(K20:O20)</f>
        <v>5.6999999999999924E-3</v>
      </c>
      <c r="U20" s="64"/>
      <c r="V20" s="63"/>
      <c r="BG20" s="64"/>
    </row>
    <row r="21" spans="1:59" x14ac:dyDescent="0.2">
      <c r="A21" s="63"/>
      <c r="B21" s="3">
        <v>2</v>
      </c>
      <c r="C21" s="108">
        <f>IF(C$7="",1,C$7)</f>
        <v>25</v>
      </c>
      <c r="D21" s="108">
        <f>IF(D$7="",1,D$7)</f>
        <v>60</v>
      </c>
      <c r="E21" s="108">
        <f>IF(E$7="",1,E$7)</f>
        <v>1</v>
      </c>
      <c r="F21" s="108">
        <f>IF(F$8="",2,F$8)</f>
        <v>2</v>
      </c>
      <c r="G21" s="108">
        <f>IF(G$8="",2,G$8)</f>
        <v>2</v>
      </c>
      <c r="H21" s="108">
        <f>IF(H$8="",2,H$8)</f>
        <v>2</v>
      </c>
      <c r="I21" s="108">
        <f>IF(I$8="",2,I$8)</f>
        <v>2</v>
      </c>
      <c r="J21" s="9">
        <f t="shared" si="1"/>
        <v>1.8033333333333335</v>
      </c>
      <c r="K21" s="40">
        <v>1.87</v>
      </c>
      <c r="L21" s="40">
        <v>1.8</v>
      </c>
      <c r="M21" s="40">
        <v>1.74</v>
      </c>
      <c r="N21" s="40"/>
      <c r="O21" s="40"/>
      <c r="P21" s="86">
        <f t="shared" ref="P21:P27" si="2">_xlfn.STDEV.S(K21:O21)</f>
        <v>6.5064070986477179E-2</v>
      </c>
      <c r="Q21" s="87">
        <f t="shared" ref="Q21:Q27" si="3">10*(LOG10(((J21/P21)^2)-(1/5)))</f>
        <v>28.853564705033325</v>
      </c>
      <c r="R21" s="86">
        <f t="shared" ref="R21:R27" si="4">_xlfn.VAR.S(K21:O21)</f>
        <v>4.2333333333333407E-3</v>
      </c>
      <c r="U21" s="64"/>
      <c r="V21" s="63"/>
      <c r="X21" s="11"/>
      <c r="BG21" s="64"/>
    </row>
    <row r="22" spans="1:59" x14ac:dyDescent="0.2">
      <c r="A22" s="63"/>
      <c r="B22" s="3">
        <v>3</v>
      </c>
      <c r="C22" s="108">
        <f>IF(C$7="",1,C$7)</f>
        <v>25</v>
      </c>
      <c r="D22" s="108">
        <f>IF(D$8="",2,D$8)</f>
        <v>100</v>
      </c>
      <c r="E22" s="108">
        <f>IF(E$8="",2,E$8)</f>
        <v>2</v>
      </c>
      <c r="F22" s="108">
        <f>IF(F$7="",1,F$7)</f>
        <v>1</v>
      </c>
      <c r="G22" s="108">
        <f>IF(G$7="",1,G$7)</f>
        <v>1</v>
      </c>
      <c r="H22" s="108">
        <f>IF(H$8="",2,H$8)</f>
        <v>2</v>
      </c>
      <c r="I22" s="108">
        <f>IF(I$8="",2,I$8)</f>
        <v>2</v>
      </c>
      <c r="J22" s="9">
        <f t="shared" si="1"/>
        <v>2.56</v>
      </c>
      <c r="K22" s="40">
        <v>2.14</v>
      </c>
      <c r="L22" s="40">
        <v>2.61</v>
      </c>
      <c r="M22" s="40">
        <v>2.93</v>
      </c>
      <c r="N22" s="40"/>
      <c r="O22" s="40"/>
      <c r="P22" s="86">
        <f t="shared" si="2"/>
        <v>0.39736632972611241</v>
      </c>
      <c r="Q22" s="87">
        <f t="shared" si="3"/>
        <v>16.159999962427378</v>
      </c>
      <c r="R22" s="86">
        <f t="shared" si="4"/>
        <v>0.15790000000000148</v>
      </c>
      <c r="U22" s="64"/>
      <c r="V22" s="63"/>
      <c r="BG22" s="64"/>
    </row>
    <row r="23" spans="1:59" x14ac:dyDescent="0.2">
      <c r="A23" s="63"/>
      <c r="B23" s="3">
        <v>4</v>
      </c>
      <c r="C23" s="108">
        <f>IF(C$7="",1,C$7)</f>
        <v>25</v>
      </c>
      <c r="D23" s="108">
        <f>IF(D$8="",2,D$8)</f>
        <v>100</v>
      </c>
      <c r="E23" s="108">
        <f>IF(E$8="",2,E$8)</f>
        <v>2</v>
      </c>
      <c r="F23" s="108">
        <f>IF(F$8="",2,F$8)</f>
        <v>2</v>
      </c>
      <c r="G23" s="108">
        <f>IF(G$8="",2,G$8)</f>
        <v>2</v>
      </c>
      <c r="H23" s="108">
        <f>IF(H$7="",1,H$7)</f>
        <v>1</v>
      </c>
      <c r="I23" s="108">
        <f>IF(I$7="",1,I$7)</f>
        <v>1</v>
      </c>
      <c r="J23" s="9">
        <f t="shared" si="1"/>
        <v>2.2866666666666666</v>
      </c>
      <c r="K23" s="40">
        <v>2.14</v>
      </c>
      <c r="L23" s="40">
        <v>2.27</v>
      </c>
      <c r="M23" s="40">
        <v>2.4500000000000002</v>
      </c>
      <c r="N23" s="40"/>
      <c r="O23" s="40"/>
      <c r="P23" s="86">
        <f t="shared" si="2"/>
        <v>0.15567059238447492</v>
      </c>
      <c r="Q23" s="87">
        <f t="shared" si="3"/>
        <v>23.335898273843316</v>
      </c>
      <c r="R23" s="86">
        <f t="shared" si="4"/>
        <v>2.4233333333333343E-2</v>
      </c>
      <c r="U23" s="64"/>
      <c r="V23" s="63"/>
      <c r="BG23" s="64"/>
    </row>
    <row r="24" spans="1:59" x14ac:dyDescent="0.2">
      <c r="A24" s="63"/>
      <c r="B24" s="3">
        <v>5</v>
      </c>
      <c r="C24" s="108">
        <f>IF(C$8="",2,C$8)</f>
        <v>60</v>
      </c>
      <c r="D24" s="108">
        <f>IF(D$7="",1,D$7)</f>
        <v>60</v>
      </c>
      <c r="E24" s="108">
        <f>IF(E$8="",2,E$8)</f>
        <v>2</v>
      </c>
      <c r="F24" s="108">
        <f>IF(F$7="",1,F$7)</f>
        <v>1</v>
      </c>
      <c r="G24" s="108">
        <f>IF(G$8="",2,G$8)</f>
        <v>2</v>
      </c>
      <c r="H24" s="108">
        <f>IF(H$7="",1,H$7)</f>
        <v>1</v>
      </c>
      <c r="I24" s="108">
        <f>IF(I$8="",2,I$8)</f>
        <v>2</v>
      </c>
      <c r="J24" s="9">
        <f t="shared" si="1"/>
        <v>2.0033333333333334</v>
      </c>
      <c r="K24" s="40">
        <v>1.81</v>
      </c>
      <c r="L24" s="40">
        <v>2.14</v>
      </c>
      <c r="M24" s="40">
        <v>2.06</v>
      </c>
      <c r="N24" s="40"/>
      <c r="O24" s="40"/>
      <c r="P24" s="86">
        <f t="shared" si="2"/>
        <v>0.17214335111567144</v>
      </c>
      <c r="Q24" s="87">
        <f t="shared" si="3"/>
        <v>21.310841142269787</v>
      </c>
      <c r="R24" s="86">
        <f t="shared" si="4"/>
        <v>2.9633333333333345E-2</v>
      </c>
      <c r="U24" s="64"/>
      <c r="V24" s="63"/>
      <c r="Y24" s="11"/>
      <c r="Z24" s="11"/>
      <c r="AA24" s="11"/>
      <c r="AB24" s="11"/>
      <c r="AC24" s="11"/>
      <c r="AD24" s="11"/>
      <c r="AE24" s="11"/>
      <c r="BG24" s="64"/>
    </row>
    <row r="25" spans="1:59" x14ac:dyDescent="0.2">
      <c r="A25" s="63"/>
      <c r="B25" s="3">
        <v>6</v>
      </c>
      <c r="C25" s="108">
        <f>IF(C$8="",2,C$8)</f>
        <v>60</v>
      </c>
      <c r="D25" s="108">
        <f>IF(D$7="",1,D$7)</f>
        <v>60</v>
      </c>
      <c r="E25" s="108">
        <f>IF(E$8="",2,E$8)</f>
        <v>2</v>
      </c>
      <c r="F25" s="108">
        <f>IF(F$8="",2,F$8)</f>
        <v>2</v>
      </c>
      <c r="G25" s="108">
        <f>IF(G$7="",1,G$7)</f>
        <v>1</v>
      </c>
      <c r="H25" s="108">
        <f>IF(H$8="",2,H$8)</f>
        <v>2</v>
      </c>
      <c r="I25" s="108">
        <f>IF(I$7="",1,I$7)</f>
        <v>1</v>
      </c>
      <c r="J25" s="9">
        <f t="shared" si="1"/>
        <v>1.58</v>
      </c>
      <c r="K25" s="40">
        <v>1.54</v>
      </c>
      <c r="L25" s="40">
        <v>1.67</v>
      </c>
      <c r="M25" s="40">
        <v>1.53</v>
      </c>
      <c r="N25" s="40"/>
      <c r="O25" s="40"/>
      <c r="P25" s="86">
        <f t="shared" si="2"/>
        <v>7.8102496759066484E-2</v>
      </c>
      <c r="Q25" s="87">
        <f t="shared" si="3"/>
        <v>26.117720456849192</v>
      </c>
      <c r="R25" s="86">
        <f t="shared" si="4"/>
        <v>6.0999999999999908E-3</v>
      </c>
      <c r="U25" s="64"/>
      <c r="V25" s="63"/>
      <c r="BG25" s="64"/>
    </row>
    <row r="26" spans="1:59" x14ac:dyDescent="0.2">
      <c r="A26" s="63"/>
      <c r="B26" s="3">
        <v>7</v>
      </c>
      <c r="C26" s="108">
        <f>IF(C$8="",2,C$8)</f>
        <v>60</v>
      </c>
      <c r="D26" s="108">
        <f>IF(D$8="",2,D$8)</f>
        <v>100</v>
      </c>
      <c r="E26" s="108">
        <f>IF(E$7="",1,E$7)</f>
        <v>1</v>
      </c>
      <c r="F26" s="108">
        <f>IF(F$7="",1,F$7)</f>
        <v>1</v>
      </c>
      <c r="G26" s="108">
        <f>IF(G$8="",2,G$8)</f>
        <v>2</v>
      </c>
      <c r="H26" s="108">
        <f>IF(H$8="",2,H$8)</f>
        <v>2</v>
      </c>
      <c r="I26" s="108">
        <f>IF(I$7="",1,I$7)</f>
        <v>1</v>
      </c>
      <c r="J26" s="9">
        <f t="shared" si="1"/>
        <v>2.16</v>
      </c>
      <c r="K26" s="40">
        <v>2.2000000000000002</v>
      </c>
      <c r="L26" s="40">
        <v>2.08</v>
      </c>
      <c r="M26" s="40">
        <v>2.2000000000000002</v>
      </c>
      <c r="N26" s="40"/>
      <c r="O26" s="40"/>
      <c r="P26" s="86">
        <f t="shared" si="2"/>
        <v>6.9282032302755148E-2</v>
      </c>
      <c r="Q26" s="87">
        <f t="shared" si="3"/>
        <v>29.875768947269869</v>
      </c>
      <c r="R26" s="86">
        <f t="shared" si="4"/>
        <v>4.8000000000000083E-3</v>
      </c>
      <c r="U26" s="64"/>
      <c r="V26" s="63"/>
      <c r="BG26" s="64"/>
    </row>
    <row r="27" spans="1:59" x14ac:dyDescent="0.2">
      <c r="A27" s="63"/>
      <c r="B27" s="3">
        <v>8</v>
      </c>
      <c r="C27" s="108">
        <f>IF(C$8="",2,C$8)</f>
        <v>60</v>
      </c>
      <c r="D27" s="108">
        <f>IF(D$8="",2,D$8)</f>
        <v>100</v>
      </c>
      <c r="E27" s="108">
        <f>IF(E$7="",1,E$7)</f>
        <v>1</v>
      </c>
      <c r="F27" s="108">
        <f>IF(F$8="",2,F$8)</f>
        <v>2</v>
      </c>
      <c r="G27" s="108">
        <f>IF(G$7="",1,G$7)</f>
        <v>1</v>
      </c>
      <c r="H27" s="108">
        <f>IF(H$7="",1,H$7)</f>
        <v>1</v>
      </c>
      <c r="I27" s="108">
        <f>IF(I$8="",2,I$8)</f>
        <v>2</v>
      </c>
      <c r="J27" s="9">
        <f t="shared" si="1"/>
        <v>1.9799999999999998</v>
      </c>
      <c r="K27" s="40">
        <v>1.93</v>
      </c>
      <c r="L27" s="40">
        <v>1.93</v>
      </c>
      <c r="M27" s="40">
        <v>2.08</v>
      </c>
      <c r="N27" s="40"/>
      <c r="O27" s="40"/>
      <c r="P27" s="86">
        <f t="shared" si="2"/>
        <v>8.6602540378443948E-2</v>
      </c>
      <c r="Q27" s="87">
        <f t="shared" si="3"/>
        <v>27.181029181771677</v>
      </c>
      <c r="R27" s="86">
        <f t="shared" si="4"/>
        <v>7.5000000000000136E-3</v>
      </c>
      <c r="U27" s="64"/>
      <c r="V27" s="63"/>
      <c r="BG27" s="64"/>
    </row>
    <row r="28" spans="1:59" x14ac:dyDescent="0.2">
      <c r="A28" s="63"/>
      <c r="C28" s="10" t="str">
        <f t="shared" ref="C28:I28" si="5">C18</f>
        <v>Larg pales</v>
      </c>
      <c r="D28" s="10" t="str">
        <f t="shared" si="5"/>
        <v>Long pales</v>
      </c>
      <c r="E28" s="10" t="str">
        <f t="shared" si="5"/>
        <v>Larg pales/Long pales</v>
      </c>
      <c r="F28" s="10" t="str">
        <f t="shared" si="5"/>
        <v>Nbre trombones</v>
      </c>
      <c r="G28" s="10" t="str">
        <f t="shared" si="5"/>
        <v>Larg pales/Nbre trombones</v>
      </c>
      <c r="H28" s="10" t="str">
        <f t="shared" si="5"/>
        <v>Long pales/Nbre trombones</v>
      </c>
      <c r="I28" s="10" t="str">
        <f t="shared" si="5"/>
        <v/>
      </c>
      <c r="J28" s="93">
        <f>AVERAGE(J20:J27)</f>
        <v>2.0641666666666669</v>
      </c>
      <c r="K28" s="11"/>
      <c r="L28" s="11"/>
      <c r="M28" s="11"/>
      <c r="N28" s="11"/>
      <c r="O28" s="11"/>
      <c r="Q28" s="94">
        <f>AVERAGE(Q20:Q27)</f>
        <v>25.235408544465798</v>
      </c>
      <c r="R28" s="98">
        <f>AVERAGE(R20:R27)</f>
        <v>3.0012500000000188E-2</v>
      </c>
      <c r="U28" s="64"/>
      <c r="V28" s="63"/>
      <c r="BG28" s="64"/>
    </row>
    <row r="29" spans="1:59" x14ac:dyDescent="0.2">
      <c r="A29" s="63"/>
      <c r="B29" s="55"/>
      <c r="C29" s="9">
        <f>IF($D59="o",$D34,0)</f>
        <v>-0.13333333333333353</v>
      </c>
      <c r="D29" s="9">
        <f>IF($D60="o",$D37,0)</f>
        <v>0.18249999999999966</v>
      </c>
      <c r="E29" s="9">
        <f>IF($D61="o",$D40,0)</f>
        <v>4.3333333333333002E-2</v>
      </c>
      <c r="F29" s="9">
        <f>IF($D62="o",$D43,0)</f>
        <v>-0.15166666666666706</v>
      </c>
      <c r="G29" s="9">
        <f>IF($D63="o",$D46,0)</f>
        <v>-8.333333333334636E-4</v>
      </c>
      <c r="H29" s="9">
        <f>IF($D64="o",$D49,0)</f>
        <v>-3.8333333333333552E-2</v>
      </c>
      <c r="I29" s="9">
        <f>IF($D65="o",$D52,0)</f>
        <v>2.2499999999999964E-2</v>
      </c>
      <c r="U29" s="64"/>
      <c r="V29" s="63"/>
      <c r="BG29" s="64"/>
    </row>
    <row r="30" spans="1:59" x14ac:dyDescent="0.2">
      <c r="A30" s="63"/>
      <c r="U30" s="64"/>
      <c r="V30" s="63"/>
      <c r="BG30" s="64"/>
    </row>
    <row r="31" spans="1:59" x14ac:dyDescent="0.2">
      <c r="A31" s="63"/>
      <c r="U31" s="64"/>
      <c r="V31" s="63"/>
      <c r="BG31" s="64"/>
    </row>
    <row r="32" spans="1:59" s="91" customFormat="1" ht="36.75" customHeight="1" x14ac:dyDescent="0.2">
      <c r="A32" s="88"/>
      <c r="B32" s="89" t="s">
        <v>15</v>
      </c>
      <c r="C32" s="90" t="s">
        <v>68</v>
      </c>
      <c r="D32" s="90" t="s">
        <v>66</v>
      </c>
      <c r="E32" s="90" t="s">
        <v>69</v>
      </c>
      <c r="F32" s="90" t="s">
        <v>67</v>
      </c>
      <c r="G32" s="90" t="s">
        <v>74</v>
      </c>
      <c r="H32" s="90" t="s">
        <v>75</v>
      </c>
      <c r="V32" s="88"/>
      <c r="BG32" s="92"/>
    </row>
    <row r="33" spans="1:59" x14ac:dyDescent="0.2">
      <c r="A33" s="63"/>
      <c r="B33" s="12" t="str">
        <f>C28&amp;1</f>
        <v>Larg pales1</v>
      </c>
      <c r="C33" s="9">
        <f>AVERAGE(J20:J23)</f>
        <v>2.1975000000000002</v>
      </c>
      <c r="D33" s="118">
        <f>C33-$J$28</f>
        <v>0.1333333333333333</v>
      </c>
      <c r="E33" s="9">
        <f>AVERAGE(Q20:Q23)</f>
        <v>24.349477156891464</v>
      </c>
      <c r="F33" s="9">
        <f>E33-$Q$28</f>
        <v>-0.88593138757433465</v>
      </c>
      <c r="G33" s="9">
        <f>AVERAGE(R20:R23)</f>
        <v>4.8016666666667041E-2</v>
      </c>
      <c r="H33" s="9">
        <f>G33-$R$28</f>
        <v>1.8004166666666852E-2</v>
      </c>
      <c r="V33" s="63"/>
      <c r="BG33" s="64"/>
    </row>
    <row r="34" spans="1:59" x14ac:dyDescent="0.2">
      <c r="A34" s="63"/>
      <c r="B34" s="12" t="str">
        <f>C28&amp;2</f>
        <v>Larg pales2</v>
      </c>
      <c r="C34" s="9">
        <f>AVERAGE(J24:J27)</f>
        <v>1.9308333333333334</v>
      </c>
      <c r="D34" s="118">
        <f>C34-$J$28</f>
        <v>-0.13333333333333353</v>
      </c>
      <c r="E34" s="9">
        <f>AVERAGE(Q24:Q27)</f>
        <v>26.121339932040133</v>
      </c>
      <c r="F34" s="9">
        <f>E34-$Q$28</f>
        <v>0.88593138757433465</v>
      </c>
      <c r="G34" s="9">
        <f>AVERAGE(R24:R27)</f>
        <v>1.200833333333334E-2</v>
      </c>
      <c r="H34" s="9">
        <f>G34-$R$28</f>
        <v>-1.8004166666666849E-2</v>
      </c>
      <c r="V34" s="63"/>
      <c r="BG34" s="64"/>
    </row>
    <row r="35" spans="1:59" x14ac:dyDescent="0.2">
      <c r="A35" s="63"/>
      <c r="B35" s="11"/>
      <c r="C35" s="13"/>
      <c r="D35" s="119"/>
      <c r="E35" s="14"/>
      <c r="F35" s="14"/>
      <c r="G35" s="14"/>
      <c r="H35" s="14"/>
      <c r="V35" s="63"/>
      <c r="BG35" s="64"/>
    </row>
    <row r="36" spans="1:59" x14ac:dyDescent="0.2">
      <c r="A36" s="63"/>
      <c r="B36" s="12" t="str">
        <f>D28&amp;1</f>
        <v>Long pales1</v>
      </c>
      <c r="C36" s="9">
        <f>AVERAGE(J20,J21,J24,J25)</f>
        <v>1.8816666666666668</v>
      </c>
      <c r="D36" s="118">
        <f>C36-$J$28</f>
        <v>-0.18250000000000011</v>
      </c>
      <c r="E36" s="9">
        <f>AVERAGE(Q20,Q21,Q24,Q25)</f>
        <v>26.332642997603536</v>
      </c>
      <c r="F36" s="9">
        <f>E36-$Q$28</f>
        <v>1.0972344531377374</v>
      </c>
      <c r="G36" s="9">
        <f>AVERAGE(R20,R21,R24,R25)</f>
        <v>1.1416666666666669E-2</v>
      </c>
      <c r="H36" s="9">
        <f>G36-$R$28</f>
        <v>-1.859583333333352E-2</v>
      </c>
      <c r="V36" s="63"/>
      <c r="BG36" s="64"/>
    </row>
    <row r="37" spans="1:59" x14ac:dyDescent="0.2">
      <c r="A37" s="63"/>
      <c r="B37" s="12" t="str">
        <f>D28&amp;2</f>
        <v>Long pales2</v>
      </c>
      <c r="C37" s="9">
        <f>AVERAGE(J22,J23,J26,J27)</f>
        <v>2.2466666666666666</v>
      </c>
      <c r="D37" s="118">
        <f>C37-$J$28</f>
        <v>0.18249999999999966</v>
      </c>
      <c r="E37" s="9">
        <f>AVERAGE(Q22,Q23,Q26,Q27)</f>
        <v>24.138174091328057</v>
      </c>
      <c r="F37" s="9">
        <f>E37-$Q$28</f>
        <v>-1.0972344531377409</v>
      </c>
      <c r="G37" s="9">
        <f>AVERAGE(R22,R23,R26,R27)</f>
        <v>4.8608333333333704E-2</v>
      </c>
      <c r="H37" s="9">
        <f>G37-$R$28</f>
        <v>1.8595833333333516E-2</v>
      </c>
      <c r="V37" s="63"/>
      <c r="BG37" s="64"/>
    </row>
    <row r="38" spans="1:59" x14ac:dyDescent="0.2">
      <c r="A38" s="63"/>
      <c r="B38" s="11"/>
      <c r="C38" s="13"/>
      <c r="D38" s="119"/>
      <c r="E38" s="13"/>
      <c r="F38" s="14"/>
      <c r="G38" s="13"/>
      <c r="H38" s="14"/>
      <c r="V38" s="63"/>
      <c r="BG38" s="64"/>
    </row>
    <row r="39" spans="1:59" x14ac:dyDescent="0.2">
      <c r="A39" s="63"/>
      <c r="B39" s="12" t="str">
        <f>E28&amp;1</f>
        <v>Larg pales/Long pales1</v>
      </c>
      <c r="C39" s="9">
        <f>AVERAGE(J20,J21,J26,J27)</f>
        <v>2.0208333333333335</v>
      </c>
      <c r="D39" s="118">
        <f>C39-$J$28</f>
        <v>-4.3333333333333446E-2</v>
      </c>
      <c r="E39" s="9">
        <f>AVERAGE(Q20,Q21,Q26,Q27)</f>
        <v>28.739702130084179</v>
      </c>
      <c r="F39" s="9">
        <f>E39-$Q$28</f>
        <v>3.504293585618381</v>
      </c>
      <c r="G39" s="9">
        <f>AVERAGE(R20,R21,R26,R27)</f>
        <v>5.5583333333333387E-3</v>
      </c>
      <c r="H39" s="9">
        <f>G39-$R$28</f>
        <v>-2.445416666666685E-2</v>
      </c>
      <c r="V39" s="63"/>
      <c r="BG39" s="64"/>
    </row>
    <row r="40" spans="1:59" x14ac:dyDescent="0.2">
      <c r="A40" s="63"/>
      <c r="B40" s="12" t="str">
        <f>E28&amp;2</f>
        <v>Larg pales/Long pales2</v>
      </c>
      <c r="C40" s="9">
        <f>AVERAGE(J22:J25)</f>
        <v>2.1074999999999999</v>
      </c>
      <c r="D40" s="118">
        <f>C40-$J$28</f>
        <v>4.3333333333333002E-2</v>
      </c>
      <c r="E40" s="9">
        <f>AVERAGE(Q22:Q25)</f>
        <v>21.731114958847417</v>
      </c>
      <c r="F40" s="9">
        <f>E40-$Q$28</f>
        <v>-3.504293585618381</v>
      </c>
      <c r="G40" s="9">
        <f>AVERAGE(R22:R25)</f>
        <v>5.4466666666667038E-2</v>
      </c>
      <c r="H40" s="9">
        <f>G40-$R$28</f>
        <v>2.445416666666685E-2</v>
      </c>
      <c r="V40" s="63"/>
      <c r="BG40" s="64"/>
    </row>
    <row r="41" spans="1:59" x14ac:dyDescent="0.2">
      <c r="A41" s="63"/>
      <c r="B41" s="11"/>
      <c r="C41" s="13"/>
      <c r="D41" s="119"/>
      <c r="E41" s="13"/>
      <c r="F41" s="14"/>
      <c r="G41" s="13"/>
      <c r="H41" s="14"/>
      <c r="V41" s="63"/>
      <c r="BG41" s="64"/>
    </row>
    <row r="42" spans="1:59" x14ac:dyDescent="0.2">
      <c r="A42" s="63"/>
      <c r="B42" s="12" t="str">
        <f>F28&amp;1</f>
        <v>Nbre trombones1</v>
      </c>
      <c r="C42" s="9">
        <f>AVERAGE(J20,J22,J24,J26)</f>
        <v>2.2158333333333333</v>
      </c>
      <c r="D42" s="118">
        <f>C42-$J$28</f>
        <v>0.15166666666666639</v>
      </c>
      <c r="E42" s="9">
        <f>AVERAGE(Q20,Q22,Q24,Q26)</f>
        <v>24.098763934557219</v>
      </c>
      <c r="F42" s="9">
        <f>E42-$Q$28</f>
        <v>-1.1366446099085792</v>
      </c>
      <c r="G42" s="9">
        <f>AVERAGE(R20,R22,R24,R26)</f>
        <v>4.9508333333333703E-2</v>
      </c>
      <c r="H42" s="9">
        <f>G42-$R$28</f>
        <v>1.9495833333333514E-2</v>
      </c>
      <c r="V42" s="63"/>
      <c r="BG42" s="64"/>
    </row>
    <row r="43" spans="1:59" x14ac:dyDescent="0.2">
      <c r="A43" s="63"/>
      <c r="B43" s="12" t="str">
        <f>F28&amp;2</f>
        <v>Nbre trombones2</v>
      </c>
      <c r="C43" s="9">
        <f>AVERAGE(J21,J23,J25,J27)</f>
        <v>1.9124999999999999</v>
      </c>
      <c r="D43" s="118">
        <f>C43-$J$28</f>
        <v>-0.15166666666666706</v>
      </c>
      <c r="E43" s="9">
        <f>AVERAGE(Q21,Q23,Q25,Q27)</f>
        <v>26.372053154374377</v>
      </c>
      <c r="F43" s="9">
        <f>E43-$Q$28</f>
        <v>1.1366446099085792</v>
      </c>
      <c r="G43" s="9">
        <f>AVERAGE(R21,R23,R25,R27)</f>
        <v>1.0516666666666672E-2</v>
      </c>
      <c r="H43" s="9">
        <f>G43-$R$28</f>
        <v>-1.9495833333333518E-2</v>
      </c>
      <c r="V43" s="63"/>
      <c r="BG43" s="64"/>
    </row>
    <row r="44" spans="1:59" x14ac:dyDescent="0.2">
      <c r="A44" s="63"/>
      <c r="B44" s="11"/>
      <c r="C44" s="13"/>
      <c r="D44" s="119"/>
      <c r="E44" s="13"/>
      <c r="F44" s="14"/>
      <c r="G44" s="13"/>
      <c r="H44" s="14"/>
      <c r="V44" s="63"/>
      <c r="BG44" s="64"/>
    </row>
    <row r="45" spans="1:59" x14ac:dyDescent="0.2">
      <c r="A45" s="63"/>
      <c r="B45" s="12" t="str">
        <f>G28&amp;1</f>
        <v>Larg pales/Nbre trombones1</v>
      </c>
      <c r="C45" s="9">
        <f>AVERAGE(J20,J22,J25,J27)</f>
        <v>2.0649999999999999</v>
      </c>
      <c r="D45" s="118">
        <f>C45-$J$28</f>
        <v>8.3333333333301951E-4</v>
      </c>
      <c r="E45" s="9">
        <f>AVERAGE(Q20,Q22,Q25,Q27)</f>
        <v>24.626798821827524</v>
      </c>
      <c r="F45" s="9">
        <f>E45-$Q$28</f>
        <v>-0.60860972263827406</v>
      </c>
      <c r="G45" s="9">
        <f>AVERAGE(R20,R22,R25,R27)</f>
        <v>4.4300000000000367E-2</v>
      </c>
      <c r="H45" s="9">
        <f>G45-$R$28</f>
        <v>1.4287500000000179E-2</v>
      </c>
      <c r="V45" s="63"/>
      <c r="BG45" s="64"/>
    </row>
    <row r="46" spans="1:59" x14ac:dyDescent="0.2">
      <c r="A46" s="63"/>
      <c r="B46" s="12" t="str">
        <f>G28&amp;2</f>
        <v>Larg pales/Nbre trombones2</v>
      </c>
      <c r="C46" s="9">
        <f>+AVERAGE(J21,J23,J24,J26)</f>
        <v>2.0633333333333335</v>
      </c>
      <c r="D46" s="118">
        <f>C46-$J$28</f>
        <v>-8.333333333334636E-4</v>
      </c>
      <c r="E46" s="9">
        <f>+AVERAGE(Q21,Q23,Q24,Q26)</f>
        <v>25.844018267104076</v>
      </c>
      <c r="F46" s="9">
        <f>E46-$Q$28</f>
        <v>0.60860972263827762</v>
      </c>
      <c r="G46" s="9">
        <f>+AVERAGE(R21,R23,R24,R26)</f>
        <v>1.572500000000001E-2</v>
      </c>
      <c r="H46" s="9">
        <f>G46-$R$28</f>
        <v>-1.4287500000000179E-2</v>
      </c>
      <c r="V46" s="63"/>
      <c r="BG46" s="64"/>
    </row>
    <row r="47" spans="1:59" x14ac:dyDescent="0.2">
      <c r="A47" s="63"/>
      <c r="B47" s="11"/>
      <c r="C47" s="13"/>
      <c r="D47" s="119"/>
      <c r="E47" s="13"/>
      <c r="F47" s="14"/>
      <c r="G47" s="13"/>
      <c r="H47" s="14"/>
      <c r="V47" s="63"/>
      <c r="BG47" s="64"/>
    </row>
    <row r="48" spans="1:59" x14ac:dyDescent="0.2">
      <c r="A48" s="63"/>
      <c r="B48" s="12" t="str">
        <f>H28&amp;1</f>
        <v>Long pales/Nbre trombones1</v>
      </c>
      <c r="C48" s="9">
        <f>AVERAGE(J20,J23,J24,J27)</f>
        <v>2.1025</v>
      </c>
      <c r="D48" s="118">
        <f>C48-$J$28</f>
        <v>3.8333333333333108E-2</v>
      </c>
      <c r="E48" s="9">
        <f>AVERAGE(Q20,Q23,Q24,Q27)</f>
        <v>25.219053571036657</v>
      </c>
      <c r="F48" s="9">
        <f>E48-$Q$28</f>
        <v>-1.6354973429141495E-2</v>
      </c>
      <c r="G48" s="9">
        <f>AVERAGE(R20,R23,R24,R27)</f>
        <v>1.6766666666666673E-2</v>
      </c>
      <c r="H48" s="9">
        <f>G48-$R$28</f>
        <v>-1.3245833333333516E-2</v>
      </c>
      <c r="V48" s="63"/>
      <c r="BG48" s="64"/>
    </row>
    <row r="49" spans="1:59" x14ac:dyDescent="0.2">
      <c r="A49" s="63"/>
      <c r="B49" s="12" t="str">
        <f>H28&amp;2</f>
        <v>Long pales/Nbre trombones2</v>
      </c>
      <c r="C49" s="9">
        <f>AVERAGE(J21,J22,J25,J26)</f>
        <v>2.0258333333333334</v>
      </c>
      <c r="D49" s="118">
        <f>C49-$J$28</f>
        <v>-3.8333333333333552E-2</v>
      </c>
      <c r="E49" s="9">
        <f>AVERAGE(Q21,Q22,Q25,Q26)</f>
        <v>25.251763517894943</v>
      </c>
      <c r="F49" s="9">
        <f>E49-$Q$28</f>
        <v>1.6354973429145048E-2</v>
      </c>
      <c r="G49" s="9">
        <f>AVERAGE(R21,R22,R25,R26)</f>
        <v>4.3258333333333704E-2</v>
      </c>
      <c r="H49" s="9">
        <f>G49-$R$28</f>
        <v>1.3245833333333516E-2</v>
      </c>
      <c r="V49" s="63"/>
      <c r="BG49" s="64"/>
    </row>
    <row r="50" spans="1:59" x14ac:dyDescent="0.2">
      <c r="A50" s="63"/>
      <c r="B50" s="11"/>
      <c r="C50" s="13"/>
      <c r="D50" s="119"/>
      <c r="E50" s="13"/>
      <c r="F50" s="14"/>
      <c r="G50" s="13"/>
      <c r="H50" s="14"/>
      <c r="V50" s="63"/>
      <c r="BG50" s="64"/>
    </row>
    <row r="51" spans="1:59" x14ac:dyDescent="0.2">
      <c r="A51" s="63"/>
      <c r="B51" s="12" t="str">
        <f>I28&amp;1</f>
        <v>1</v>
      </c>
      <c r="C51" s="9">
        <f>AVERAGE(J20,J23,J25,J26)</f>
        <v>2.041666666666667</v>
      </c>
      <c r="D51" s="118">
        <f>C51-$J$28</f>
        <v>-2.2499999999999964E-2</v>
      </c>
      <c r="E51" s="9">
        <f>AVERAGE(Q20,Q23,Q25,Q26)</f>
        <v>27.094458341056054</v>
      </c>
      <c r="F51" s="9">
        <f>E51-$Q$28</f>
        <v>1.8590497965902557</v>
      </c>
      <c r="G51" s="9">
        <f>AVERAGE(R20,R23,R25,R26)</f>
        <v>1.0208333333333333E-2</v>
      </c>
      <c r="H51" s="9">
        <f>G51-$R$28</f>
        <v>-1.9804166666666855E-2</v>
      </c>
      <c r="V51" s="63"/>
      <c r="BG51" s="64"/>
    </row>
    <row r="52" spans="1:59" x14ac:dyDescent="0.2">
      <c r="A52" s="63"/>
      <c r="B52" s="12" t="str">
        <f>I28&amp;2</f>
        <v>2</v>
      </c>
      <c r="C52" s="9">
        <f>AVERAGE(J21,J22,J24,J27)</f>
        <v>2.0866666666666669</v>
      </c>
      <c r="D52" s="118">
        <f>C52-$J$28</f>
        <v>2.2499999999999964E-2</v>
      </c>
      <c r="E52" s="9">
        <f>AVERAGE(Q21,Q22,Q24,Q27)</f>
        <v>23.376358747875539</v>
      </c>
      <c r="F52" s="9">
        <f>E52-$Q$28</f>
        <v>-1.8590497965902593</v>
      </c>
      <c r="G52" s="9">
        <f>AVERAGE(R21,R22,R24,R27)</f>
        <v>4.9816666666667044E-2</v>
      </c>
      <c r="H52" s="9">
        <f>G52-$R$28</f>
        <v>1.9804166666666855E-2</v>
      </c>
      <c r="V52" s="63"/>
      <c r="BG52" s="64"/>
    </row>
    <row r="53" spans="1:59" x14ac:dyDescent="0.2">
      <c r="A53" s="63"/>
      <c r="U53" s="64"/>
      <c r="V53" s="63"/>
      <c r="BG53" s="64"/>
    </row>
    <row r="54" spans="1:59" x14ac:dyDescent="0.2">
      <c r="A54" s="63"/>
      <c r="B54" s="15" t="s">
        <v>16</v>
      </c>
      <c r="C54" s="16"/>
      <c r="D54" s="17">
        <f>COUNT(K20:O27)</f>
        <v>24</v>
      </c>
      <c r="U54" s="64"/>
      <c r="V54" s="63"/>
      <c r="BG54" s="64"/>
    </row>
    <row r="55" spans="1:59" x14ac:dyDescent="0.2">
      <c r="A55" s="63"/>
      <c r="U55" s="64"/>
      <c r="V55" s="63"/>
      <c r="BG55" s="64"/>
    </row>
    <row r="56" spans="1:59" ht="15.75" x14ac:dyDescent="0.25">
      <c r="A56" s="63"/>
      <c r="B56" s="19" t="s">
        <v>17</v>
      </c>
      <c r="L56" s="115" t="s">
        <v>18</v>
      </c>
      <c r="M56" s="12" t="s">
        <v>19</v>
      </c>
      <c r="N56" s="12" t="str">
        <f t="shared" ref="N56:T56" si="6">IF(ISNONTEXT(N57),"Analogique","Discret")</f>
        <v>Analogique</v>
      </c>
      <c r="O56" s="12" t="str">
        <f t="shared" si="6"/>
        <v>Analogique</v>
      </c>
      <c r="P56" s="12" t="str">
        <f t="shared" si="6"/>
        <v>Analogique</v>
      </c>
      <c r="Q56" s="12" t="str">
        <f t="shared" si="6"/>
        <v>Analogique</v>
      </c>
      <c r="R56" s="12" t="str">
        <f t="shared" si="6"/>
        <v>Analogique</v>
      </c>
      <c r="S56" s="12" t="str">
        <f t="shared" si="6"/>
        <v>Analogique</v>
      </c>
      <c r="T56" s="12" t="str">
        <f t="shared" si="6"/>
        <v>Analogique</v>
      </c>
      <c r="U56" s="64"/>
      <c r="V56" s="63"/>
      <c r="BG56" s="64"/>
    </row>
    <row r="57" spans="1:59" ht="15.75" x14ac:dyDescent="0.25">
      <c r="A57" s="65"/>
      <c r="C57" s="20"/>
      <c r="D57" s="20"/>
      <c r="M57" s="12" t="s">
        <v>2</v>
      </c>
      <c r="N57" s="12">
        <f t="shared" ref="N57:T57" si="7">IF(C7="",1,IF(ISNONTEXT(C7),C7,C7&amp;"=1"))</f>
        <v>25</v>
      </c>
      <c r="O57" s="12">
        <f t="shared" si="7"/>
        <v>60</v>
      </c>
      <c r="P57" s="12">
        <f t="shared" si="7"/>
        <v>1</v>
      </c>
      <c r="Q57" s="12">
        <f t="shared" si="7"/>
        <v>1</v>
      </c>
      <c r="R57" s="12">
        <f t="shared" si="7"/>
        <v>1</v>
      </c>
      <c r="S57" s="12">
        <f t="shared" si="7"/>
        <v>1</v>
      </c>
      <c r="T57" s="12">
        <f t="shared" si="7"/>
        <v>1</v>
      </c>
      <c r="U57" s="64"/>
      <c r="V57" s="63"/>
      <c r="BG57" s="64"/>
    </row>
    <row r="58" spans="1:59" ht="13.5" thickBot="1" x14ac:dyDescent="0.25">
      <c r="A58" s="63"/>
      <c r="D58" s="3" t="s">
        <v>20</v>
      </c>
      <c r="E58" s="3" t="s">
        <v>21</v>
      </c>
      <c r="F58" s="3" t="s">
        <v>22</v>
      </c>
      <c r="G58" s="3" t="s">
        <v>23</v>
      </c>
      <c r="H58" s="3" t="s">
        <v>24</v>
      </c>
      <c r="I58" s="3" t="s">
        <v>25</v>
      </c>
      <c r="J58" s="3" t="s">
        <v>26</v>
      </c>
      <c r="K58" s="3" t="s">
        <v>27</v>
      </c>
      <c r="M58" s="12" t="s">
        <v>4</v>
      </c>
      <c r="N58" s="18">
        <f t="shared" ref="N58:T58" si="8">IF(C8="",2,IF(ISNONTEXT(C8),C8,C8&amp;"=2"))</f>
        <v>60</v>
      </c>
      <c r="O58" s="18">
        <f t="shared" si="8"/>
        <v>100</v>
      </c>
      <c r="P58" s="18">
        <f t="shared" si="8"/>
        <v>2</v>
      </c>
      <c r="Q58" s="18">
        <f t="shared" si="8"/>
        <v>2</v>
      </c>
      <c r="R58" s="18">
        <f t="shared" si="8"/>
        <v>2</v>
      </c>
      <c r="S58" s="18">
        <f t="shared" si="8"/>
        <v>2</v>
      </c>
      <c r="T58" s="18">
        <f t="shared" si="8"/>
        <v>2</v>
      </c>
      <c r="U58" s="64"/>
      <c r="V58" s="63"/>
      <c r="BG58" s="64"/>
    </row>
    <row r="59" spans="1:59" x14ac:dyDescent="0.2">
      <c r="A59" s="63"/>
      <c r="B59" s="3">
        <v>1</v>
      </c>
      <c r="C59" s="3" t="str">
        <f>C28</f>
        <v>Larg pales</v>
      </c>
      <c r="D59" s="81" t="s">
        <v>28</v>
      </c>
      <c r="E59" s="109">
        <f>IF(D59="o",$D$54*D33^2,"")</f>
        <v>0.42666666666666653</v>
      </c>
      <c r="F59" s="110">
        <f t="shared" ref="F59:F65" si="9">IF(D59="o",1,"")</f>
        <v>1</v>
      </c>
      <c r="G59" s="109">
        <f t="shared" ref="G59:G65" si="10">IF(D59="o",E59/F59,"")</f>
        <v>0.42666666666666653</v>
      </c>
      <c r="H59" s="109">
        <f>IF($F$66&lt;=0,"",IF(D59="o",G59/$G$66))</f>
        <v>14.216298764403486</v>
      </c>
      <c r="I59" s="111">
        <f>IF($F$66&lt;=0,"",IF(D59="o",FDIST(H59,F59,$F$66),""))</f>
        <v>1.6739211065611068E-3</v>
      </c>
      <c r="J59" s="110" t="str">
        <f>IF($F$66&lt;=0,"",IF(H59&gt;FINV(0.05,F59,$F$66),"oui","non"))</f>
        <v>oui</v>
      </c>
      <c r="K59" s="112">
        <f>IF(D59="o",E59/$E$67,"")</f>
        <v>0.18149978376002274</v>
      </c>
      <c r="M59" s="11"/>
      <c r="N59" s="3">
        <v>1</v>
      </c>
      <c r="O59" s="3">
        <v>2</v>
      </c>
      <c r="P59" s="3">
        <v>3</v>
      </c>
      <c r="Q59" s="3">
        <v>4</v>
      </c>
      <c r="R59" s="3">
        <v>5</v>
      </c>
      <c r="S59" s="3">
        <v>6</v>
      </c>
      <c r="T59" s="3">
        <v>7</v>
      </c>
      <c r="U59" s="64"/>
      <c r="V59" s="63"/>
      <c r="AB59" s="12" t="s">
        <v>29</v>
      </c>
      <c r="AC59" s="41">
        <f>IF($D$9="",0,MIN(X80:Y81))</f>
        <v>1.7916666666666667</v>
      </c>
      <c r="AD59" s="41">
        <f>IF($E$9="",0,MIN(AA80:AB81))</f>
        <v>0</v>
      </c>
      <c r="AE59" s="41">
        <f>IF($F$9="",0,MIN(AD80:AE81))</f>
        <v>1.7799999999999998</v>
      </c>
      <c r="AF59" s="41">
        <f>IF($G$9="",0,MIN(AG80:AH81))</f>
        <v>0</v>
      </c>
      <c r="AG59" s="41">
        <f>IF($H$9="",0,MIN(AJ80:AK81))</f>
        <v>0</v>
      </c>
      <c r="AH59" s="41">
        <f>IF($I$9="",0,MIN(AM80:AN81))</f>
        <v>0</v>
      </c>
      <c r="BG59" s="64"/>
    </row>
    <row r="60" spans="1:59" x14ac:dyDescent="0.2">
      <c r="A60" s="63"/>
      <c r="B60" s="3">
        <v>2</v>
      </c>
      <c r="C60" s="3" t="str">
        <f>D28</f>
        <v>Long pales</v>
      </c>
      <c r="D60" s="40" t="s">
        <v>28</v>
      </c>
      <c r="E60" s="109">
        <f>IF(D60="o",$D$54*D36^2,"")</f>
        <v>0.79935000000000089</v>
      </c>
      <c r="F60" s="110">
        <f t="shared" si="9"/>
        <v>1</v>
      </c>
      <c r="G60" s="109">
        <f t="shared" si="10"/>
        <v>0.79935000000000089</v>
      </c>
      <c r="H60" s="109">
        <f t="shared" ref="H60:H65" si="11">IF($F$66&lt;=0,"",IF(D60="o",G60/$G$66))</f>
        <v>26.633902540607682</v>
      </c>
      <c r="I60" s="111">
        <f t="shared" ref="I60:I65" si="12">IF($F$66&lt;=0,"",IF(D60="o",FDIST(H60,F60,$F$66),""))</f>
        <v>9.4760679988569583E-5</v>
      </c>
      <c r="J60" s="110" t="str">
        <f t="shared" ref="J60:J65" si="13">IF($F$66&lt;=0,"",IF(H60&gt;FINV(0.05,F60,$F$66),"oui","non"))</f>
        <v>oui</v>
      </c>
      <c r="K60" s="112">
        <f t="shared" ref="K60:K65" si="14">IF(D60="o",E60/$E$67,"")</f>
        <v>0.34003559097322117</v>
      </c>
      <c r="M60" s="11"/>
      <c r="N60" s="3" t="str">
        <f t="shared" ref="N60:T60" si="15">C28</f>
        <v>Larg pales</v>
      </c>
      <c r="O60" s="3" t="str">
        <f t="shared" si="15"/>
        <v>Long pales</v>
      </c>
      <c r="P60" s="3" t="str">
        <f t="shared" si="15"/>
        <v>Larg pales/Long pales</v>
      </c>
      <c r="Q60" s="3" t="str">
        <f t="shared" si="15"/>
        <v>Nbre trombones</v>
      </c>
      <c r="R60" s="3" t="str">
        <f t="shared" si="15"/>
        <v>Larg pales/Nbre trombones</v>
      </c>
      <c r="S60" s="3" t="str">
        <f t="shared" si="15"/>
        <v>Long pales/Nbre trombones</v>
      </c>
      <c r="T60" s="3" t="str">
        <f t="shared" si="15"/>
        <v/>
      </c>
      <c r="U60" s="64"/>
      <c r="V60" s="63"/>
      <c r="AB60" s="12" t="s">
        <v>30</v>
      </c>
      <c r="AC60" s="41">
        <f>IF($D$9="",1,MAX(X80:Y81))</f>
        <v>2.4233333333333333</v>
      </c>
      <c r="AD60" s="41">
        <f>IF($E$9="",1,MAX(AA80:AB81))</f>
        <v>1</v>
      </c>
      <c r="AE60" s="41">
        <f>IF($F$9="",1,MAX(AD80:AE81))</f>
        <v>2.35</v>
      </c>
      <c r="AF60" s="41">
        <f>IF($G$9="",1,MAX(AG80:AH81))</f>
        <v>1</v>
      </c>
      <c r="AG60" s="41">
        <f>IF($H$9="",1,MAX(AJ80:AK81))</f>
        <v>1</v>
      </c>
      <c r="AH60" s="41">
        <f>IF($I$9="",1,MAX(AM80:AN81))</f>
        <v>1</v>
      </c>
      <c r="BG60" s="64"/>
    </row>
    <row r="61" spans="1:59" x14ac:dyDescent="0.2">
      <c r="A61" s="63"/>
      <c r="B61" s="3">
        <v>3</v>
      </c>
      <c r="C61" s="3" t="str">
        <f>E28</f>
        <v>Larg pales/Long pales</v>
      </c>
      <c r="D61" s="81" t="s">
        <v>28</v>
      </c>
      <c r="E61" s="109">
        <f>IF(D61="o",$D$54*D39^2,"")</f>
        <v>4.5066666666666901E-2</v>
      </c>
      <c r="F61" s="110">
        <f t="shared" si="9"/>
        <v>1</v>
      </c>
      <c r="G61" s="109">
        <f t="shared" si="10"/>
        <v>4.5066666666666901E-2</v>
      </c>
      <c r="H61" s="109">
        <f t="shared" si="11"/>
        <v>1.5015965569901266</v>
      </c>
      <c r="I61" s="111">
        <f t="shared" si="12"/>
        <v>0.23815890369312914</v>
      </c>
      <c r="J61" s="110" t="str">
        <f t="shared" si="13"/>
        <v>non</v>
      </c>
      <c r="K61" s="112">
        <f t="shared" si="14"/>
        <v>1.9170914659652507E-2</v>
      </c>
      <c r="M61" s="3" t="s">
        <v>2</v>
      </c>
      <c r="N61" s="12">
        <f t="shared" ref="N61:T61" si="16">IF(ISNONTEXT(N57),N57,1)</f>
        <v>25</v>
      </c>
      <c r="O61" s="12">
        <f t="shared" si="16"/>
        <v>60</v>
      </c>
      <c r="P61" s="12">
        <f t="shared" si="16"/>
        <v>1</v>
      </c>
      <c r="Q61" s="12">
        <f t="shared" si="16"/>
        <v>1</v>
      </c>
      <c r="R61" s="12">
        <f t="shared" si="16"/>
        <v>1</v>
      </c>
      <c r="S61" s="12">
        <f t="shared" si="16"/>
        <v>1</v>
      </c>
      <c r="T61" s="12">
        <f t="shared" si="16"/>
        <v>1</v>
      </c>
      <c r="U61" s="64"/>
      <c r="V61" s="63"/>
      <c r="BG61" s="64"/>
    </row>
    <row r="62" spans="1:59" x14ac:dyDescent="0.2">
      <c r="A62" s="63"/>
      <c r="B62" s="3">
        <v>4</v>
      </c>
      <c r="C62" s="3" t="str">
        <f>F28</f>
        <v>Nbre trombones</v>
      </c>
      <c r="D62" s="40" t="s">
        <v>28</v>
      </c>
      <c r="E62" s="109">
        <f>IF(D62="o",$D$54*D42^2,"")</f>
        <v>0.55206666666666471</v>
      </c>
      <c r="F62" s="110">
        <f t="shared" si="9"/>
        <v>1</v>
      </c>
      <c r="G62" s="109">
        <f t="shared" si="10"/>
        <v>0.55206666666666471</v>
      </c>
      <c r="H62" s="109">
        <f t="shared" si="11"/>
        <v>18.394557823128892</v>
      </c>
      <c r="I62" s="111">
        <f t="shared" si="12"/>
        <v>5.6356447124403708E-4</v>
      </c>
      <c r="J62" s="110" t="str">
        <f t="shared" si="13"/>
        <v>oui</v>
      </c>
      <c r="K62" s="112">
        <f t="shared" si="14"/>
        <v>0.23484370458074114</v>
      </c>
      <c r="M62" s="3" t="s">
        <v>4</v>
      </c>
      <c r="N62" s="12">
        <f t="shared" ref="N62:T62" si="17">IF(ISNONTEXT(N58),N58,2)</f>
        <v>60</v>
      </c>
      <c r="O62" s="12">
        <f t="shared" si="17"/>
        <v>100</v>
      </c>
      <c r="P62" s="12">
        <f t="shared" si="17"/>
        <v>2</v>
      </c>
      <c r="Q62" s="12">
        <f t="shared" si="17"/>
        <v>2</v>
      </c>
      <c r="R62" s="12">
        <f t="shared" si="17"/>
        <v>2</v>
      </c>
      <c r="S62" s="12">
        <f t="shared" si="17"/>
        <v>2</v>
      </c>
      <c r="T62" s="12">
        <f t="shared" si="17"/>
        <v>2</v>
      </c>
      <c r="U62" s="64"/>
      <c r="V62" s="63"/>
      <c r="AD62" s="41">
        <f>IF($E$10="",0,MIN(AA84:AB85))</f>
        <v>0</v>
      </c>
      <c r="AE62" s="41">
        <f>IF($F$10="",0,MIN(AD84:AE85))</f>
        <v>1.6916666666666669</v>
      </c>
      <c r="AF62" s="41">
        <f>IF($G$10="",0,MIN(AG84:AH85))</f>
        <v>0</v>
      </c>
      <c r="AG62" s="41">
        <f>IF($H$10="",0,MIN(AJ84:AK85))</f>
        <v>0</v>
      </c>
      <c r="AH62" s="41">
        <f>IF($I$10="",0,MIN(AM84:AN85))</f>
        <v>0</v>
      </c>
      <c r="BG62" s="64"/>
    </row>
    <row r="63" spans="1:59" x14ac:dyDescent="0.2">
      <c r="A63" s="63"/>
      <c r="B63" s="3">
        <v>5</v>
      </c>
      <c r="C63" s="3" t="str">
        <f>G28</f>
        <v>Larg pales/Nbre trombones</v>
      </c>
      <c r="D63" s="40" t="s">
        <v>28</v>
      </c>
      <c r="E63" s="109">
        <f>IF(D63="o",$D$54*D45^2,"")</f>
        <v>1.6666666666654114E-5</v>
      </c>
      <c r="F63" s="110">
        <f t="shared" si="9"/>
        <v>1</v>
      </c>
      <c r="G63" s="109">
        <f t="shared" si="10"/>
        <v>1.6666666666654114E-5</v>
      </c>
      <c r="H63" s="109">
        <f t="shared" si="11"/>
        <v>5.5532417048409315E-4</v>
      </c>
      <c r="I63" s="111">
        <f t="shared" si="12"/>
        <v>0.98149073428640343</v>
      </c>
      <c r="J63" s="110" t="str">
        <f t="shared" si="13"/>
        <v>non</v>
      </c>
      <c r="K63" s="112">
        <f t="shared" si="14"/>
        <v>7.0898353031205507E-6</v>
      </c>
      <c r="M63" s="3" t="s">
        <v>31</v>
      </c>
      <c r="N63" s="40"/>
      <c r="O63" s="40"/>
      <c r="P63" s="40"/>
      <c r="Q63" s="40"/>
      <c r="R63" s="40"/>
      <c r="S63" s="40"/>
      <c r="T63" s="40"/>
      <c r="U63" s="64"/>
      <c r="V63" s="63"/>
      <c r="AD63" s="41">
        <f>IF($E$10="",1,MAX(AA84:AB85))</f>
        <v>1</v>
      </c>
      <c r="AE63" s="41">
        <f>IF($F$10="",1,MAX(AD84:AE85))</f>
        <v>2.3600000000000003</v>
      </c>
      <c r="AF63" s="41">
        <f>IF($G$10="",1,MAX(AG84:AH85))</f>
        <v>1</v>
      </c>
      <c r="AG63" s="41">
        <f>IF($H$10="",1,MAX(AJ84:AK85))</f>
        <v>1</v>
      </c>
      <c r="AH63" s="41">
        <f>IF($I$10="",1,MAX(AM84:AN85))</f>
        <v>1</v>
      </c>
      <c r="BG63" s="64"/>
    </row>
    <row r="64" spans="1:59" x14ac:dyDescent="0.2">
      <c r="A64" s="63"/>
      <c r="B64" s="3">
        <v>6</v>
      </c>
      <c r="C64" s="3" t="str">
        <f>H28</f>
        <v>Long pales/Nbre trombones</v>
      </c>
      <c r="D64" s="40" t="s">
        <v>28</v>
      </c>
      <c r="E64" s="109">
        <f>IF(D64="o",$D$54*D48^2,"")</f>
        <v>3.5266666666666252E-2</v>
      </c>
      <c r="F64" s="110">
        <f t="shared" si="9"/>
        <v>1</v>
      </c>
      <c r="G64" s="109">
        <f t="shared" si="10"/>
        <v>3.5266666666666252E-2</v>
      </c>
      <c r="H64" s="109">
        <f t="shared" si="11"/>
        <v>1.1750659447452123</v>
      </c>
      <c r="I64" s="111">
        <f t="shared" si="12"/>
        <v>0.29442782579978183</v>
      </c>
      <c r="J64" s="110" t="str">
        <f t="shared" si="13"/>
        <v>non</v>
      </c>
      <c r="K64" s="112">
        <f t="shared" si="14"/>
        <v>1.5002091501414207E-2</v>
      </c>
      <c r="M64" s="3" t="s">
        <v>84</v>
      </c>
      <c r="N64" s="9" t="str">
        <f>IF(AND(N65="",N63=""),"",IF(N65="",2*((N63-(N61+N62)/2)/(N62-N61)),-N65))</f>
        <v/>
      </c>
      <c r="O64" s="9" t="str">
        <f t="shared" ref="O64:T64" si="18">IF(AND(O65="",O63=""),"",IF(O65="",2*((O63-(O61+O62)/2)/(O62-O61)),-O65))</f>
        <v/>
      </c>
      <c r="P64" s="9" t="str">
        <f t="shared" si="18"/>
        <v/>
      </c>
      <c r="Q64" s="9" t="str">
        <f t="shared" si="18"/>
        <v/>
      </c>
      <c r="R64" s="9" t="str">
        <f t="shared" si="18"/>
        <v/>
      </c>
      <c r="S64" s="9" t="str">
        <f t="shared" si="18"/>
        <v/>
      </c>
      <c r="T64" s="9" t="str">
        <f t="shared" si="18"/>
        <v/>
      </c>
      <c r="U64" s="64"/>
      <c r="V64" s="63"/>
      <c r="BG64" s="64"/>
    </row>
    <row r="65" spans="1:59" x14ac:dyDescent="0.2">
      <c r="A65" s="63"/>
      <c r="B65" s="3">
        <v>7</v>
      </c>
      <c r="C65" s="3" t="str">
        <f>I28</f>
        <v/>
      </c>
      <c r="D65" s="81" t="s">
        <v>28</v>
      </c>
      <c r="E65" s="109">
        <f>IF(D65="o",$D$54*D51^2,"")</f>
        <v>1.2149999999999963E-2</v>
      </c>
      <c r="F65" s="110">
        <f t="shared" si="9"/>
        <v>1</v>
      </c>
      <c r="G65" s="109">
        <f t="shared" si="10"/>
        <v>1.2149999999999963E-2</v>
      </c>
      <c r="H65" s="109">
        <f t="shared" si="11"/>
        <v>0.40483132028320756</v>
      </c>
      <c r="I65" s="111">
        <f t="shared" si="12"/>
        <v>0.53360165142586014</v>
      </c>
      <c r="J65" s="110" t="str">
        <f t="shared" si="13"/>
        <v>non</v>
      </c>
      <c r="K65" s="112">
        <f t="shared" si="14"/>
        <v>5.1684899359787581E-3</v>
      </c>
      <c r="M65" s="3" t="s">
        <v>32</v>
      </c>
      <c r="N65" s="12" t="str">
        <f>IF(E10="",IF(G12="",IF(I14="","",IF(AND(S63&lt;&gt;"",T63&lt;&gt;""),S64*T64,"")),IF(AND(Q63&lt;&gt;"",R63&lt;&gt;""),Q64*R64,"")),IF(AND(O63&lt;&gt;"",P63&lt;&gt;""),O64*P64,""))</f>
        <v/>
      </c>
      <c r="O65" s="12" t="str">
        <f>IF(E9="",IF(H12="",IF(I13="","",IF(AND(R63&lt;&gt;"",T63&lt;&gt;""),T64*R64,"")),IF(AND(Q63&lt;&gt;"",S63&lt;&gt;""),Q64*S64,"")),IF(AND(P63&lt;&gt;"",N63&lt;&gt;""),P64*N64,""))</f>
        <v/>
      </c>
      <c r="P65" s="12" t="str">
        <f>IF(D9="",IF(I12="",IF(H13="","",IF(AND(R63&lt;&gt;"",R63&lt;&gt;""),R64*S64,"")),IF(AND(Q63&lt;&gt;"",T63&lt;&gt;""),Q64*T64,"")),IF(AND(N63&lt;&gt;"",O63&lt;&gt;""),N64*O64,""))</f>
        <v/>
      </c>
      <c r="Q65" s="12" t="str">
        <f>IF(G9="",IF(H10="",IF(I11="","",IF(AND(P63&lt;&gt;"",T63&lt;&gt;""),P64*T64,"")),IF(AND(O63&lt;&gt;"",S63&lt;&gt;""),O64*S64,"")),IF(AND(R63&lt;&gt;"",N63&lt;&gt;""),R64*N64,""))</f>
        <v/>
      </c>
      <c r="R65" s="12" t="str">
        <f>IF(F9="",IF(I10="",IF(H11="","",IF(AND(P63&lt;&gt;"",S63&lt;&gt;""),P64*S64,"")),IF(AND(O63&lt;&gt;"",T63&lt;&gt;""),O64*T64,"")),IF(AND(N63&lt;&gt;"",Q63&lt;&gt;""),N64*Q64,""))</f>
        <v/>
      </c>
      <c r="S65" s="12" t="str">
        <f>IF(I9="",IF(F10="",IF(G11="","",IF(AND(P63&lt;&gt;"",R63&lt;&gt;""),P64*R64,"")),IF(AND(O63&lt;&gt;"",Q63&lt;&gt;""),O64*Q64,"")),IF(AND(N63&lt;&gt;"",T63&lt;&gt;""),N64*T64,""))</f>
        <v/>
      </c>
      <c r="T65" s="12" t="str">
        <f>IF(H9="",IF(G10="",IF(F11="","",IF(AND(P63&lt;&gt;"",Q63&lt;&gt;""),#REF!*Q64,"")),IF(AND(O63&lt;&gt;"",R63&lt;&gt;""),O64*R64,"")),IF(AND(N63&lt;&gt;"",S63&lt;&gt;""),N64*S64,""))</f>
        <v/>
      </c>
      <c r="U65" s="64"/>
      <c r="V65" s="63"/>
      <c r="AE65" s="41">
        <f>IF($F$11="",0,MIN(AD88:AE89))</f>
        <v>0</v>
      </c>
      <c r="AF65" s="41">
        <f>IF($G$11="",0,MIN(AG88:AH89))</f>
        <v>0</v>
      </c>
      <c r="AG65" s="41">
        <f>IF($H$11="",0,MIN(AJ88:AK89))</f>
        <v>0</v>
      </c>
      <c r="AH65" s="41">
        <f>IF($I$11="",0,MIN(AM88:AN89))</f>
        <v>0</v>
      </c>
      <c r="BG65" s="64"/>
    </row>
    <row r="66" spans="1:59" x14ac:dyDescent="0.2">
      <c r="A66" s="63"/>
      <c r="B66" s="56"/>
      <c r="C66" s="21" t="s">
        <v>33</v>
      </c>
      <c r="D66" s="22"/>
      <c r="E66" s="109">
        <f>E67-SUM(E59:E65)</f>
        <v>0.48020000000000773</v>
      </c>
      <c r="F66" s="110">
        <f>F67-SUM(F59:F65)</f>
        <v>16</v>
      </c>
      <c r="G66" s="109">
        <f>IF(F66=0,"",(E66/F66))</f>
        <v>3.0012500000000483E-2</v>
      </c>
      <c r="I66" s="11"/>
      <c r="J66" s="11"/>
      <c r="K66" s="112">
        <f>E66/E67</f>
        <v>0.20427233475366643</v>
      </c>
      <c r="M66" s="11"/>
      <c r="N66" s="117" t="str">
        <f>IF(AND(N63="",N65=""),"",$D34*N64)</f>
        <v/>
      </c>
      <c r="O66" s="117" t="str">
        <f>IF(AND(O63="",O65=""),"",$D37*O64)</f>
        <v/>
      </c>
      <c r="P66" s="117" t="str">
        <f>IF(AND(P63="",P65=""),"",$D40*P64)</f>
        <v/>
      </c>
      <c r="Q66" s="117" t="str">
        <f>IF(AND(Q63="",Q65=""),"",$D43*Q64)</f>
        <v/>
      </c>
      <c r="R66" s="117" t="str">
        <f>IF(AND(R63="",R65=""),"",$D46*R64)</f>
        <v/>
      </c>
      <c r="S66" s="117" t="str">
        <f>IF(AND(S63="",S65=""),"",$D49*S64)</f>
        <v/>
      </c>
      <c r="T66" s="117" t="str">
        <f>IF(AND(T63="",T65=""),"",$D52*T64)</f>
        <v/>
      </c>
      <c r="U66" s="64"/>
      <c r="V66" s="63"/>
      <c r="AE66" s="41">
        <f>IF($F$11="",1,MAX(AD88:AE89))</f>
        <v>1</v>
      </c>
      <c r="AF66" s="41">
        <f>IF($G$11="",1,MAX(AG88:AH89))</f>
        <v>1</v>
      </c>
      <c r="AG66" s="41">
        <f>IF($H$11="",1,MAX(AJ88:AK89))</f>
        <v>1</v>
      </c>
      <c r="AH66" s="41">
        <f>IF($I$11="",1,MAX(AM88:AN89))</f>
        <v>1</v>
      </c>
      <c r="BG66" s="64"/>
    </row>
    <row r="67" spans="1:59" x14ac:dyDescent="0.2">
      <c r="A67" s="63"/>
      <c r="B67" s="56"/>
      <c r="C67" s="21" t="s">
        <v>34</v>
      </c>
      <c r="D67" s="22"/>
      <c r="E67" s="109">
        <f>(D54-1)*_xlfn.VAR.S(K20:O27)</f>
        <v>2.3507833333333394</v>
      </c>
      <c r="F67" s="110">
        <f>D54-1</f>
        <v>23</v>
      </c>
      <c r="G67" s="14">
        <f>(E67/F67)</f>
        <v>0.10220797101449301</v>
      </c>
      <c r="I67" s="11"/>
      <c r="J67" s="11"/>
      <c r="M67" s="11"/>
      <c r="N67" s="11"/>
      <c r="O67" s="11"/>
      <c r="P67" s="11"/>
      <c r="Q67" s="11"/>
      <c r="R67" s="11"/>
      <c r="S67" s="11"/>
      <c r="T67" s="11"/>
      <c r="U67" s="64"/>
      <c r="V67" s="63"/>
      <c r="BG67" s="64"/>
    </row>
    <row r="68" spans="1:59" x14ac:dyDescent="0.2">
      <c r="A68" s="63"/>
      <c r="M68" s="15"/>
      <c r="N68" s="23" t="s">
        <v>35</v>
      </c>
      <c r="O68" s="24"/>
      <c r="P68" s="120">
        <f>SUM(N66:T66)+J28</f>
        <v>2.0641666666666669</v>
      </c>
      <c r="U68" s="64"/>
      <c r="AF68" s="41">
        <f>IF($G$12="",0,MIN(AG92:AH93))</f>
        <v>0</v>
      </c>
      <c r="AG68" s="41">
        <f>IF($H$12="",0,MIN(AJ92:AK93))</f>
        <v>0</v>
      </c>
      <c r="AH68" s="41">
        <f>IF($I$12="",0,MIN(AM92:AN93))</f>
        <v>0</v>
      </c>
      <c r="BG68" s="64"/>
    </row>
    <row r="69" spans="1:59" x14ac:dyDescent="0.2">
      <c r="A69" s="63"/>
      <c r="U69" s="64"/>
      <c r="AF69" s="41">
        <f>IF($G$12="",1,MAX(AG92:AH93))</f>
        <v>1</v>
      </c>
      <c r="AG69" s="41">
        <f>IF($H$12="",1,MAX(AJ92:AK93))</f>
        <v>1</v>
      </c>
      <c r="AH69" s="41">
        <f>IF($I$12="",1,MAX(AM92:AN93))</f>
        <v>1</v>
      </c>
      <c r="BG69" s="64"/>
    </row>
    <row r="70" spans="1:59" x14ac:dyDescent="0.2">
      <c r="A70" s="63"/>
      <c r="E70" s="25"/>
      <c r="F70" s="26"/>
      <c r="G70" s="26" t="s">
        <v>36</v>
      </c>
      <c r="H70" s="26"/>
      <c r="I70" s="26"/>
      <c r="J70" s="26"/>
      <c r="K70" s="26"/>
      <c r="L70" s="73"/>
      <c r="U70" s="64"/>
      <c r="BG70" s="64"/>
    </row>
    <row r="71" spans="1:59" x14ac:dyDescent="0.2">
      <c r="A71" s="63"/>
      <c r="E71" s="27"/>
      <c r="F71" s="28"/>
      <c r="G71" s="28"/>
      <c r="H71" s="28"/>
      <c r="I71" s="28"/>
      <c r="J71" s="28"/>
      <c r="K71" s="28"/>
      <c r="L71" s="74"/>
      <c r="N71" s="11"/>
      <c r="O71" s="11"/>
      <c r="P71" s="11"/>
      <c r="Q71" s="11"/>
      <c r="R71" s="11"/>
      <c r="S71" s="11"/>
      <c r="T71" s="11"/>
      <c r="U71" s="64"/>
      <c r="AG71" s="41">
        <f>IF($H$13="",0,MIN(AJ96:AK97))</f>
        <v>0</v>
      </c>
      <c r="AH71" s="41">
        <f>IF($I$13="",0,MIN(AM96:AN97))</f>
        <v>0</v>
      </c>
      <c r="BG71" s="64"/>
    </row>
    <row r="72" spans="1:59" x14ac:dyDescent="0.2">
      <c r="A72" s="63"/>
      <c r="E72" s="29" t="s">
        <v>37</v>
      </c>
      <c r="F72" s="29" t="s">
        <v>1</v>
      </c>
      <c r="G72" s="30" t="s">
        <v>38</v>
      </c>
      <c r="H72" s="31"/>
      <c r="I72" s="31"/>
      <c r="J72" s="31"/>
      <c r="K72" s="31"/>
      <c r="L72" s="31"/>
      <c r="M72" s="76"/>
      <c r="N72" s="77"/>
      <c r="O72" s="77"/>
      <c r="P72" s="77"/>
      <c r="Q72" s="77"/>
      <c r="R72" s="77"/>
      <c r="S72" s="77"/>
      <c r="T72" s="77"/>
      <c r="U72" s="64"/>
      <c r="AG72" s="41">
        <f>IF($H$13="",1,MAX(AJ96:AK97))</f>
        <v>1</v>
      </c>
      <c r="AH72" s="41">
        <f>IF($I$13="",1,MAX(AM96:AN97))</f>
        <v>1</v>
      </c>
      <c r="BG72" s="64"/>
    </row>
    <row r="73" spans="1:59" x14ac:dyDescent="0.2">
      <c r="A73" s="63"/>
      <c r="B73" s="32" t="s">
        <v>39</v>
      </c>
      <c r="C73" s="32" t="s">
        <v>40</v>
      </c>
      <c r="D73" s="32" t="s">
        <v>41</v>
      </c>
      <c r="E73" s="33">
        <v>1</v>
      </c>
      <c r="F73" s="34" t="str">
        <f>IF(C$6="","",C$6)</f>
        <v>Larg pales</v>
      </c>
      <c r="G73" s="35" t="str">
        <f>IF(OR(F74="",F75=""),"",CONCATENATE(F74,,"/",F75))</f>
        <v/>
      </c>
      <c r="H73" s="36"/>
      <c r="I73" s="35" t="str">
        <f>IF(OR($F76="",$F77=""),"",CONCATENATE($F76,,"/",$F77))</f>
        <v/>
      </c>
      <c r="J73" s="36"/>
      <c r="K73" s="35" t="str">
        <f>IF(OR($F78="",$F79=""),"",CONCATENATE($F78,,"/",$F79))</f>
        <v/>
      </c>
      <c r="L73" s="75"/>
      <c r="M73" s="76"/>
      <c r="N73" s="77"/>
      <c r="O73" s="77"/>
      <c r="P73" s="77"/>
      <c r="Q73" s="77"/>
      <c r="R73" s="77"/>
      <c r="S73" s="77"/>
      <c r="T73" s="77"/>
      <c r="U73" s="64"/>
      <c r="BG73" s="64"/>
    </row>
    <row r="74" spans="1:59" x14ac:dyDescent="0.2">
      <c r="A74" s="63"/>
      <c r="B74" s="32" t="s">
        <v>42</v>
      </c>
      <c r="C74" s="32" t="s">
        <v>43</v>
      </c>
      <c r="D74" s="32" t="s">
        <v>44</v>
      </c>
      <c r="E74" s="37">
        <v>2</v>
      </c>
      <c r="F74" s="34" t="str">
        <f>IF(D$6="","",D$6)</f>
        <v>Long pales</v>
      </c>
      <c r="G74" s="38" t="str">
        <f>IF(OR(F73="",F75=""),"",CONCATENATE(F73,,"/",F75))</f>
        <v/>
      </c>
      <c r="H74" s="38"/>
      <c r="I74" s="35" t="str">
        <f>IF(OR($F76="",$F78=""),"",CONCATENATE($F76,,"/",$F78))</f>
        <v/>
      </c>
      <c r="J74" s="36"/>
      <c r="K74" s="35" t="str">
        <f>IF(OR($F77="",$F79=""),"",CONCATENATE($F77,,"/",$F79))</f>
        <v/>
      </c>
      <c r="L74" s="75"/>
      <c r="M74" s="76"/>
      <c r="N74" s="77"/>
      <c r="O74" s="77"/>
      <c r="P74" s="77"/>
      <c r="Q74" s="77"/>
      <c r="R74" s="77"/>
      <c r="S74" s="77"/>
      <c r="T74" s="77"/>
      <c r="U74" s="64"/>
      <c r="AH74" s="41">
        <f>IF($I$14="",0,MIN(AM100:AN101))</f>
        <v>0</v>
      </c>
      <c r="BG74" s="64"/>
    </row>
    <row r="75" spans="1:59" x14ac:dyDescent="0.2">
      <c r="A75" s="63"/>
      <c r="B75" s="32" t="s">
        <v>45</v>
      </c>
      <c r="C75" s="32" t="s">
        <v>46</v>
      </c>
      <c r="D75" s="32" t="s">
        <v>47</v>
      </c>
      <c r="E75" s="37">
        <v>3</v>
      </c>
      <c r="F75" s="34" t="str">
        <f>IF(E$6="","",E$6)</f>
        <v/>
      </c>
      <c r="G75" s="35" t="str">
        <f>IF(OR(F73="",F74=""),"",CONCATENATE(F73,,"/",F74))</f>
        <v>Larg pales/Long pales</v>
      </c>
      <c r="H75" s="36"/>
      <c r="I75" s="35" t="str">
        <f>IF(OR($F76="",$F79=""),"",CONCATENATE($F76,,"/",$F79))</f>
        <v/>
      </c>
      <c r="J75" s="36"/>
      <c r="K75" s="35" t="str">
        <f>IF(OR($F77="",$F78=""),"",CONCATENATE($F77,,"/",$F78))</f>
        <v/>
      </c>
      <c r="L75" s="75"/>
      <c r="M75" s="11"/>
      <c r="N75" s="11"/>
      <c r="O75" s="77"/>
      <c r="P75" s="77"/>
      <c r="Q75" s="77"/>
      <c r="R75" s="77"/>
      <c r="S75" s="77"/>
      <c r="T75" s="77"/>
      <c r="U75" s="64"/>
      <c r="AH75" s="41">
        <f>IF($I$14="",1,MAX(AM100:AN101))</f>
        <v>1</v>
      </c>
      <c r="BG75" s="64"/>
    </row>
    <row r="76" spans="1:59" x14ac:dyDescent="0.2">
      <c r="A76" s="63"/>
      <c r="B76" s="32" t="s">
        <v>48</v>
      </c>
      <c r="C76" s="32" t="s">
        <v>49</v>
      </c>
      <c r="D76" s="32" t="s">
        <v>50</v>
      </c>
      <c r="E76" s="37">
        <v>4</v>
      </c>
      <c r="F76" s="34" t="str">
        <f>IF(F$6="","",F$6)</f>
        <v>Nbre trombones</v>
      </c>
      <c r="G76" s="35" t="str">
        <f>IF(OR(F74="",F78=""),"",CONCATENATE(F74,,"/",F78))</f>
        <v/>
      </c>
      <c r="H76" s="36"/>
      <c r="I76" s="35" t="str">
        <f>IF(OR($F73="",$F77=""),"",CONCATENATE($F73,,"/",$F77))</f>
        <v/>
      </c>
      <c r="J76" s="36"/>
      <c r="K76" s="35" t="str">
        <f>IF(OR($F75="",$F79=""),"",CONCATENATE($F75,,"/",$F79))</f>
        <v/>
      </c>
      <c r="L76" s="75"/>
      <c r="M76" s="11"/>
      <c r="N76" s="11"/>
      <c r="O76" s="11"/>
      <c r="P76" s="77"/>
      <c r="Q76" s="77"/>
      <c r="R76" s="77"/>
      <c r="S76" s="77"/>
      <c r="T76" s="77"/>
      <c r="U76" s="64"/>
      <c r="BG76" s="64"/>
    </row>
    <row r="77" spans="1:59" ht="15.75" x14ac:dyDescent="0.25">
      <c r="A77" s="63"/>
      <c r="B77" s="32" t="s">
        <v>51</v>
      </c>
      <c r="C77" s="32" t="s">
        <v>52</v>
      </c>
      <c r="D77" s="32" t="s">
        <v>53</v>
      </c>
      <c r="E77" s="37">
        <v>5</v>
      </c>
      <c r="F77" s="34" t="str">
        <f>IF(G$6="","",G$6)</f>
        <v/>
      </c>
      <c r="G77" s="35" t="str">
        <f>IF(OR(F74="",F79=""),"",CONCATENATE(F74,,"/",F79))</f>
        <v/>
      </c>
      <c r="H77" s="36"/>
      <c r="I77" s="35" t="str">
        <f>IF(OR($F73="",$F76=""),"",CONCATENATE($F73,,"/",$F76))</f>
        <v>Larg pales/Nbre trombones</v>
      </c>
      <c r="J77" s="36"/>
      <c r="K77" s="35" t="str">
        <f>IF(OR($F75="",$F78=""),"",CONCATENATE($F75,,"/",$F78))</f>
        <v/>
      </c>
      <c r="L77" s="75"/>
      <c r="M77" s="11"/>
      <c r="N77" s="11"/>
      <c r="O77" s="11"/>
      <c r="P77" s="11"/>
      <c r="Q77" s="77"/>
      <c r="R77" s="77"/>
      <c r="S77" s="77"/>
      <c r="T77" s="77"/>
      <c r="U77" s="64"/>
      <c r="W77" s="54" t="s">
        <v>54</v>
      </c>
      <c r="BG77" s="64"/>
    </row>
    <row r="78" spans="1:59" ht="15.75" x14ac:dyDescent="0.25">
      <c r="A78" s="63"/>
      <c r="B78" s="32" t="s">
        <v>55</v>
      </c>
      <c r="C78" s="32" t="s">
        <v>56</v>
      </c>
      <c r="D78" s="32" t="s">
        <v>57</v>
      </c>
      <c r="E78" s="37">
        <v>6</v>
      </c>
      <c r="F78" s="34" t="str">
        <f>IF(H$6="","",H$6)</f>
        <v/>
      </c>
      <c r="G78" s="35" t="str">
        <f>IF(OR(F74="",F76=""),"",CONCATENATE(F74,,"/",F76))</f>
        <v>Long pales/Nbre trombones</v>
      </c>
      <c r="H78" s="36"/>
      <c r="I78" s="35" t="str">
        <f>IF(OR($F73="",$F79=""),"",CONCATENATE($F73,,"/",$F79))</f>
        <v/>
      </c>
      <c r="J78" s="36"/>
      <c r="K78" s="35" t="str">
        <f>IF(OR($F75="",$F77=""),"",CONCATENATE($F75,,"/",$F77))</f>
        <v/>
      </c>
      <c r="L78" s="75"/>
      <c r="M78" s="11"/>
      <c r="N78" s="78"/>
      <c r="O78" s="11"/>
      <c r="P78" s="11"/>
      <c r="Q78" s="11"/>
      <c r="R78" s="77"/>
      <c r="S78" s="77"/>
      <c r="T78" s="77"/>
      <c r="U78" s="64"/>
      <c r="BG78" s="64"/>
    </row>
    <row r="79" spans="1:59" x14ac:dyDescent="0.2">
      <c r="A79" s="63"/>
      <c r="B79" s="32" t="s">
        <v>58</v>
      </c>
      <c r="C79" s="32" t="s">
        <v>59</v>
      </c>
      <c r="D79" s="32" t="s">
        <v>60</v>
      </c>
      <c r="E79" s="39">
        <v>7</v>
      </c>
      <c r="F79" s="34" t="str">
        <f>IF(I$6="","",I$6)</f>
        <v/>
      </c>
      <c r="G79" s="35" t="str">
        <f>IF(OR(F74="",F77=""),"",CONCATENATE(F74,,"/",F77))</f>
        <v/>
      </c>
      <c r="H79" s="36"/>
      <c r="I79" s="35" t="str">
        <f>IF(OR($F73="",$F78=""),"",CONCATENATE($F73,,"/",$F78))</f>
        <v/>
      </c>
      <c r="J79" s="36"/>
      <c r="K79" s="35" t="str">
        <f>IF(OR($F75="",$F76=""),"",CONCATENATE($F75,,"/",$F76))</f>
        <v/>
      </c>
      <c r="L79" s="75"/>
      <c r="M79" s="11"/>
      <c r="N79" s="11"/>
      <c r="O79" s="11"/>
      <c r="P79" s="11"/>
      <c r="Q79" s="11"/>
      <c r="R79" s="11"/>
      <c r="S79" s="77"/>
      <c r="T79" s="77"/>
      <c r="U79" s="64"/>
      <c r="W79" s="53" t="str">
        <f>IF($D$9="","",$W$77&amp;" "&amp;$B$9&amp;"/"&amp;$D$6)</f>
        <v>Interaction Larg pales/Long pales</v>
      </c>
      <c r="X79" s="12" t="str">
        <f>IF($D$9="","",$D$6&amp;"=1")</f>
        <v>Long pales=1</v>
      </c>
      <c r="Y79" s="12" t="str">
        <f>IF($D$9="","",$D$6&amp;"=2")</f>
        <v>Long pales=2</v>
      </c>
      <c r="Z79" s="53" t="str">
        <f>IF($E$9="","",$W$77&amp;" "&amp;$B$9&amp;"/"&amp;$E$6)</f>
        <v/>
      </c>
      <c r="AA79" s="12" t="str">
        <f>IF($E$9="","",$E$6&amp;"=1")</f>
        <v/>
      </c>
      <c r="AB79" s="12" t="str">
        <f>IF($E$9="","",$E$6&amp;"=2")</f>
        <v/>
      </c>
      <c r="AC79" s="53" t="str">
        <f>IF($F$9="","",$W$77&amp;" "&amp;$B$9&amp;"/"&amp;$F$6)</f>
        <v>Interaction Larg pales/Nbre trombones</v>
      </c>
      <c r="AD79" s="12" t="str">
        <f>IF($F$9="","",$F$6&amp;"=1")</f>
        <v>Nbre trombones=1</v>
      </c>
      <c r="AE79" s="12" t="str">
        <f>IF($F$9="","",$F$6&amp;"=2")</f>
        <v>Nbre trombones=2</v>
      </c>
      <c r="AF79" s="53" t="str">
        <f>IF($G$9="","",$W$77&amp;" "&amp;$B$9&amp;"/"&amp;$G$6)</f>
        <v/>
      </c>
      <c r="AG79" s="12" t="str">
        <f>IF($G$9="","",$G$6&amp;"=1")</f>
        <v/>
      </c>
      <c r="AH79" s="12" t="str">
        <f>IF($G$9="","",$G$6&amp;"=2")</f>
        <v/>
      </c>
      <c r="AI79" s="53" t="str">
        <f>IF($H$9="","",$W$77&amp;" "&amp;$B$9&amp;"/"&amp;$H$6)</f>
        <v/>
      </c>
      <c r="AJ79" s="12" t="str">
        <f>IF($H$9="","",$H$6&amp;"=1")</f>
        <v/>
      </c>
      <c r="AK79" s="12" t="str">
        <f>IF($H$9="","",$H$6&amp;"=2")</f>
        <v/>
      </c>
      <c r="AL79" s="53" t="str">
        <f>IF($I$9="","",$W$77&amp;" "&amp;$B$9&amp;"/"&amp;$I$6)</f>
        <v/>
      </c>
      <c r="AM79" s="12" t="str">
        <f>IF($I$9="","",$I$6&amp;"=1")</f>
        <v/>
      </c>
      <c r="AN79" s="12" t="str">
        <f>IF($I$9="","",$I$6&amp;"=2")</f>
        <v/>
      </c>
      <c r="BG79" s="64"/>
    </row>
    <row r="80" spans="1:59" ht="13.5" thickBot="1" x14ac:dyDescent="0.25">
      <c r="A80" s="66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79"/>
      <c r="N80" s="79"/>
      <c r="O80" s="79"/>
      <c r="P80" s="79"/>
      <c r="Q80" s="79"/>
      <c r="R80" s="79"/>
      <c r="S80" s="79"/>
      <c r="T80" s="80"/>
      <c r="U80" s="68"/>
      <c r="W80" s="12" t="str">
        <f>IF($D$9="","",$B$9&amp;"=1")</f>
        <v>Larg pales=1</v>
      </c>
      <c r="X80" s="9">
        <f>IF($D$9="","",AVERAGE(J20,J21))</f>
        <v>1.9716666666666667</v>
      </c>
      <c r="Y80" s="9">
        <f>IF($D$9="","",AVERAGE(J22,J23))</f>
        <v>2.4233333333333333</v>
      </c>
      <c r="Z80" s="12" t="str">
        <f>IF($E$9="","",$B$9&amp;"=1")</f>
        <v/>
      </c>
      <c r="AA80" s="9" t="str">
        <f>IF($E$9="","",AVERAGE(J20,J21))</f>
        <v/>
      </c>
      <c r="AB80" s="9" t="str">
        <f>IF($E$9="","",AVERAGE(J22,J23))</f>
        <v/>
      </c>
      <c r="AC80" s="12" t="str">
        <f>IF($F$9="","",$B$9&amp;"=1")</f>
        <v>Larg pales=1</v>
      </c>
      <c r="AD80" s="9">
        <f>IF($F$9="","",AVERAGE(J20,J22))</f>
        <v>2.35</v>
      </c>
      <c r="AE80" s="9">
        <f>IF($F$9="","",AVERAGE(J21,J23))</f>
        <v>2.0449999999999999</v>
      </c>
      <c r="AF80" s="12" t="str">
        <f>IF($G$9="","",$B$9&amp;"=1")</f>
        <v/>
      </c>
      <c r="AG80" s="9" t="str">
        <f>IF($G$9="","",AVERAGE(J20,J22))</f>
        <v/>
      </c>
      <c r="AH80" s="9" t="str">
        <f>IF($G$9="","",AVERAGE(J21,J23))</f>
        <v/>
      </c>
      <c r="AI80" s="12" t="str">
        <f>IF($H$9="","",$B$9&amp;"=1")</f>
        <v/>
      </c>
      <c r="AJ80" s="9" t="str">
        <f>IF($H$9="","",AVERAGE(J20,J23))</f>
        <v/>
      </c>
      <c r="AK80" s="9" t="str">
        <f>IF($H$9="","",AVERAGE(J21,J22))</f>
        <v/>
      </c>
      <c r="AL80" s="12" t="str">
        <f>IF($I$9="","",$B$9&amp;"=1")</f>
        <v/>
      </c>
      <c r="AM80" s="9" t="str">
        <f>IF($I$9="","",AVERAGE(J20,J23))</f>
        <v/>
      </c>
      <c r="AN80" s="9" t="str">
        <f>IF($I$9="","",AVERAGE(J21,J22))</f>
        <v/>
      </c>
      <c r="BG80" s="64"/>
    </row>
    <row r="81" spans="2:59" x14ac:dyDescent="0.2">
      <c r="M81" s="11" t="str">
        <f>IF(T72="","",T72)</f>
        <v/>
      </c>
      <c r="N81" s="11"/>
      <c r="O81" s="13"/>
      <c r="P81" s="13"/>
      <c r="Q81" s="11"/>
      <c r="R81" s="11"/>
      <c r="S81" s="11"/>
      <c r="T81" s="13"/>
      <c r="U81" s="64"/>
      <c r="W81" s="12" t="str">
        <f>IF($D$9="","",$B$9&amp;"=2")</f>
        <v>Larg pales=2</v>
      </c>
      <c r="X81" s="9">
        <f>IF($D$9="","",AVERAGE(J24,J25))</f>
        <v>1.7916666666666667</v>
      </c>
      <c r="Y81" s="9">
        <f>IF($D$9="","",AVERAGE(J26,J27))</f>
        <v>2.0699999999999998</v>
      </c>
      <c r="Z81" s="12" t="str">
        <f>IF($E$9="","",$B$9&amp;"=2")</f>
        <v/>
      </c>
      <c r="AA81" s="9" t="str">
        <f>IF($E$9="","",AVERAGE(J26,J27))</f>
        <v/>
      </c>
      <c r="AB81" s="9" t="str">
        <f>IF($E$9="","",AVERAGE(J24,J25))</f>
        <v/>
      </c>
      <c r="AC81" s="12" t="str">
        <f>IF($F$9="","",$B$9&amp;"=2")</f>
        <v>Larg pales=2</v>
      </c>
      <c r="AD81" s="9">
        <f>IF($F$9="","",AVERAGE(J24,J26))</f>
        <v>2.081666666666667</v>
      </c>
      <c r="AE81" s="9">
        <f>IF($F$9="","",AVERAGE(J25,J27))</f>
        <v>1.7799999999999998</v>
      </c>
      <c r="AF81" s="12" t="str">
        <f>IF($G$9="","",$B$9&amp;"=2")</f>
        <v/>
      </c>
      <c r="AG81" s="9" t="str">
        <f>IF($G$9="","",AVERAGE(J25,J27))</f>
        <v/>
      </c>
      <c r="AH81" s="9" t="str">
        <f>IF($G$9="","",AVERAGE(J24,J26))</f>
        <v/>
      </c>
      <c r="AI81" s="12" t="str">
        <f>IF($H$9="","",$B$9&amp;"=2")</f>
        <v/>
      </c>
      <c r="AJ81" s="9" t="str">
        <f>IF($H$9="","",AVERAGE(J24,J27))</f>
        <v/>
      </c>
      <c r="AK81" s="9" t="str">
        <f>IF($H$9="","",AVERAGE(J25,J26))</f>
        <v/>
      </c>
      <c r="AL81" s="12" t="str">
        <f>IF($I$9="","",$B$9&amp;"=2")</f>
        <v/>
      </c>
      <c r="AM81" s="9" t="str">
        <f>IF($I$9="","",AVERAGE(J25,J26))</f>
        <v/>
      </c>
      <c r="AN81" s="9" t="str">
        <f>IF($I$9="","",AVERAGE(J24,J27))</f>
        <v/>
      </c>
      <c r="BG81" s="64"/>
    </row>
    <row r="82" spans="2:59" ht="15.75" x14ac:dyDescent="0.25">
      <c r="B82" s="19"/>
      <c r="U82" s="64"/>
      <c r="BG82" s="64"/>
    </row>
    <row r="83" spans="2:59" x14ac:dyDescent="0.2">
      <c r="U83" s="64"/>
      <c r="Z83" s="53" t="str">
        <f>IF($E$10="","",$W$77&amp;" "&amp;$B$10&amp;"/"&amp;$E$6)</f>
        <v/>
      </c>
      <c r="AA83" s="12" t="str">
        <f>IF($E$10="","",$E$6&amp;"=1")</f>
        <v/>
      </c>
      <c r="AB83" s="12" t="str">
        <f>IF($E$10="","",$E$6&amp;"=2")</f>
        <v/>
      </c>
      <c r="AC83" s="53" t="str">
        <f>IF($F$10="","",$W$77&amp;" "&amp;$B$10&amp;"/"&amp;$F$6)</f>
        <v>Interaction Long pales/Nbre trombones</v>
      </c>
      <c r="AD83" s="12" t="str">
        <f>IF($F$10="","",$F$6&amp;"=1")</f>
        <v>Nbre trombones=1</v>
      </c>
      <c r="AE83" s="12" t="str">
        <f>IF($F$10="","",$F$6&amp;"=2")</f>
        <v>Nbre trombones=2</v>
      </c>
      <c r="AF83" s="53" t="str">
        <f>IF($G$10="","",$W$77&amp;" "&amp;$B$10&amp;"/"&amp;$G$6)</f>
        <v/>
      </c>
      <c r="AG83" s="12" t="str">
        <f>IF($G$10="","",$G$6&amp;"=1")</f>
        <v/>
      </c>
      <c r="AH83" s="12" t="str">
        <f>IF($G$10="","",$G$6&amp;"=2")</f>
        <v/>
      </c>
      <c r="AI83" s="53" t="str">
        <f>IF($H$10="","",$W$77&amp;" "&amp;$B$10&amp;"/"&amp;$H$6)</f>
        <v/>
      </c>
      <c r="AJ83" s="12" t="str">
        <f>IF($H$10="","",$H$6&amp;"=1")</f>
        <v/>
      </c>
      <c r="AK83" s="12" t="str">
        <f>IF($H$10="","",$H$6&amp;"=2")</f>
        <v/>
      </c>
      <c r="AL83" s="53" t="str">
        <f>IF($I$10="","",$W$77&amp;" "&amp;$B$10&amp;"/"&amp;$I$6)</f>
        <v/>
      </c>
      <c r="AM83" s="12" t="str">
        <f>IF($I$10="","",$I$6&amp;"=1")</f>
        <v/>
      </c>
      <c r="AN83" s="12" t="str">
        <f>IF($I$10="","",$I$6&amp;"=2")</f>
        <v/>
      </c>
      <c r="BG83" s="64"/>
    </row>
    <row r="84" spans="2:59" x14ac:dyDescent="0.2">
      <c r="V84" s="63"/>
      <c r="Z84" s="12" t="str">
        <f>IF($E$10="","",$B$10&amp;"=1")</f>
        <v/>
      </c>
      <c r="AA84" s="9" t="str">
        <f>IF($E$10="","",AVERAGE(J20,J21))</f>
        <v/>
      </c>
      <c r="AB84" s="9" t="str">
        <f>IF($E$10="","",AVERAGE(J24,J25))</f>
        <v/>
      </c>
      <c r="AC84" s="12" t="str">
        <f>IF($F$10="","",$B$10&amp;"=1")</f>
        <v>Long pales=1</v>
      </c>
      <c r="AD84" s="9">
        <f>IF($F$10="","",AVERAGE(J24,J20))</f>
        <v>2.0716666666666668</v>
      </c>
      <c r="AE84" s="9">
        <f>IF($F$10="","",AVERAGE(J21,J25))</f>
        <v>1.6916666666666669</v>
      </c>
      <c r="AF84" s="12" t="str">
        <f>IF($G$10="","",$B$10&amp;"=1")</f>
        <v/>
      </c>
      <c r="AG84" s="9" t="str">
        <f>IF($G$10="","",AVERAGE(J20,J25))</f>
        <v/>
      </c>
      <c r="AH84" s="9" t="str">
        <f>IF($G$10="","",AVERAGE(J21,J24))</f>
        <v/>
      </c>
      <c r="AI84" s="12" t="str">
        <f>IF($H$10="","",$B$10&amp;"=1")</f>
        <v/>
      </c>
      <c r="AJ84" s="9" t="str">
        <f>IF($H$10="","",AVERAGE(J20,J24))</f>
        <v/>
      </c>
      <c r="AK84" s="9" t="str">
        <f>IF($H$10="","",AVERAGE(J21,J25))</f>
        <v/>
      </c>
      <c r="AL84" s="12" t="str">
        <f>IF($I$10="","",$B$10&amp;"=1")</f>
        <v/>
      </c>
      <c r="AM84" s="9" t="str">
        <f>IF($I$10="","",AVERAGE(J20,J25))</f>
        <v/>
      </c>
      <c r="AN84" s="9" t="str">
        <f>IF($I$10="","",AVERAGE(J21,J24))</f>
        <v/>
      </c>
      <c r="BG84" s="64"/>
    </row>
    <row r="85" spans="2:59" x14ac:dyDescent="0.2">
      <c r="V85" s="63"/>
      <c r="Z85" s="12" t="str">
        <f>IF($E$10="","",$B$10&amp;"=2")</f>
        <v/>
      </c>
      <c r="AA85" s="9" t="str">
        <f>IF($E$10="","",AVERAGE(J26,J27))</f>
        <v/>
      </c>
      <c r="AB85" s="9" t="str">
        <f>IF($E$10="","",AVERAGE(J22,J23))</f>
        <v/>
      </c>
      <c r="AC85" s="12" t="str">
        <f>IF($F$10="","",$B$10&amp;"=2")</f>
        <v>Long pales=2</v>
      </c>
      <c r="AD85" s="9">
        <f>IF($F$10="","",AVERAGE(J22,J26))</f>
        <v>2.3600000000000003</v>
      </c>
      <c r="AE85" s="9">
        <f>IF($F$10="","",AVERAGE(J23,J27))</f>
        <v>2.1333333333333333</v>
      </c>
      <c r="AF85" s="12" t="str">
        <f>IF($G$10="","",$B$10&amp;"=2")</f>
        <v/>
      </c>
      <c r="AG85" s="9" t="str">
        <f>IF($G$10="","",AVERAGE(J22,J27))</f>
        <v/>
      </c>
      <c r="AH85" s="9" t="str">
        <f>IF($G$10="","",AVERAGE(J23,J26))</f>
        <v/>
      </c>
      <c r="AI85" s="12" t="str">
        <f>IF($H$10="","",$B$10&amp;"=2")</f>
        <v/>
      </c>
      <c r="AJ85" s="9" t="str">
        <f>IF($H$10="","",AVERAGE(J23,J27))</f>
        <v/>
      </c>
      <c r="AK85" s="9" t="str">
        <f>IF($H$10="","",AVERAGE(J22,J26))</f>
        <v/>
      </c>
      <c r="AL85" s="12" t="str">
        <f>IF($I$10="","",$B$10&amp;"=2")</f>
        <v/>
      </c>
      <c r="AM85" s="9" t="str">
        <f>IF($I$10="","",AVERAGE(J23,J26))</f>
        <v/>
      </c>
      <c r="AN85" s="9" t="str">
        <f>IF($I$10="","",AVERAGE(J22,J27))</f>
        <v/>
      </c>
      <c r="BG85" s="64"/>
    </row>
    <row r="86" spans="2:59" x14ac:dyDescent="0.2">
      <c r="V86" s="63"/>
      <c r="BG86" s="64"/>
    </row>
    <row r="87" spans="2:59" x14ac:dyDescent="0.2">
      <c r="V87" s="63"/>
      <c r="AC87" s="53" t="str">
        <f>IF($F$11="","",$W$77&amp;" "&amp;$B$11&amp;"/"&amp;$F$6)</f>
        <v/>
      </c>
      <c r="AD87" s="12" t="str">
        <f>IF($F$11="","",$F$6&amp;"=1")</f>
        <v/>
      </c>
      <c r="AE87" s="12" t="str">
        <f>IF($F$11="","",$F$6&amp;"=2")</f>
        <v/>
      </c>
      <c r="AF87" s="53" t="str">
        <f>IF($G$11="","",$W$77&amp;" "&amp;$B$11&amp;"/"&amp;$G$6)</f>
        <v/>
      </c>
      <c r="AG87" s="12" t="str">
        <f>IF($G$11="","",$G$6&amp;"=1")</f>
        <v/>
      </c>
      <c r="AH87" s="12" t="str">
        <f>IF($G$11="","",$G$6&amp;"=2")</f>
        <v/>
      </c>
      <c r="AI87" s="53" t="str">
        <f>IF($H$11="","",$W$77&amp;" "&amp;$B$11&amp;"/"&amp;$H$6)</f>
        <v/>
      </c>
      <c r="AJ87" s="12" t="str">
        <f>IF($H$11="","",$H$6&amp;"=1")</f>
        <v/>
      </c>
      <c r="AK87" s="12" t="str">
        <f>IF($H$11="","",$H$6&amp;"=2")</f>
        <v/>
      </c>
      <c r="AL87" s="53" t="str">
        <f>IF($I$11="","",$W$77&amp;" "&amp;$B$11&amp;"/"&amp;$I$6)</f>
        <v/>
      </c>
      <c r="AM87" s="12" t="str">
        <f>IF($I$11="","",$I$6&amp;"=1")</f>
        <v/>
      </c>
      <c r="AN87" s="12" t="str">
        <f>IF($I$11="","",$I$6&amp;"=2")</f>
        <v/>
      </c>
      <c r="BG87" s="64"/>
    </row>
    <row r="88" spans="2:59" x14ac:dyDescent="0.2">
      <c r="V88" s="63"/>
      <c r="AC88" s="12" t="str">
        <f>IF($F$11="","",$B$11&amp;"=1")</f>
        <v/>
      </c>
      <c r="AD88" s="9" t="str">
        <f>IF($F$11="","",AVERAGE(J20,J26))</f>
        <v/>
      </c>
      <c r="AE88" s="9" t="str">
        <f>IF($F$11="","",AVERAGE(J21,J27))</f>
        <v/>
      </c>
      <c r="AF88" s="12" t="str">
        <f>IF($G$11="","",$B$11&amp;"=1")</f>
        <v/>
      </c>
      <c r="AG88" s="9" t="str">
        <f>IF($G$11="","",AVERAGE(J20,J27))</f>
        <v/>
      </c>
      <c r="AH88" s="9" t="str">
        <f>IF($G$11="","",AVERAGE(J21,J26))</f>
        <v/>
      </c>
      <c r="AI88" s="12" t="str">
        <f>IF($H$11="","",$B$11&amp;"=1")</f>
        <v/>
      </c>
      <c r="AJ88" s="9" t="str">
        <f>IF($H$11="","",AVERAGE(J20,J27))</f>
        <v/>
      </c>
      <c r="AK88" s="9" t="str">
        <f>IF($H$11="","",AVERAGE(J21,J26))</f>
        <v/>
      </c>
      <c r="AL88" s="12" t="str">
        <f>IF($I$11="","",$B$11&amp;"=1")</f>
        <v/>
      </c>
      <c r="AM88" s="9" t="str">
        <f>IF($I$11="","",AVERAGE(J20,J26))</f>
        <v/>
      </c>
      <c r="AN88" s="9" t="str">
        <f>IF($I$11="","",AVERAGE(J21,J27))</f>
        <v/>
      </c>
      <c r="BG88" s="64"/>
    </row>
    <row r="89" spans="2:59" x14ac:dyDescent="0.2">
      <c r="V89" s="63"/>
      <c r="AC89" s="12" t="str">
        <f>IF($F$11="","",$B$11&amp;"=2")</f>
        <v/>
      </c>
      <c r="AD89" s="9" t="str">
        <f>IF($F$11="","",AVERAGE(J22,J24))</f>
        <v/>
      </c>
      <c r="AE89" s="9" t="str">
        <f>IF($F$11="","",AVERAGE(J23,J25))</f>
        <v/>
      </c>
      <c r="AF89" s="12" t="str">
        <f>IF($G$11="","",$B$11&amp;"=2")</f>
        <v/>
      </c>
      <c r="AG89" s="9" t="str">
        <f>IF($G$11="","",AVERAGE(J22,J25))</f>
        <v/>
      </c>
      <c r="AH89" s="9" t="str">
        <f>IF($G$11="","",AVERAGE(J23,J24))</f>
        <v/>
      </c>
      <c r="AI89" s="12" t="str">
        <f>IF($H$11="","",$B$11&amp;"=2")</f>
        <v/>
      </c>
      <c r="AJ89" s="9" t="str">
        <f>IF($H$11="","",AVERAGE(J23,J24))</f>
        <v/>
      </c>
      <c r="AK89" s="9" t="str">
        <f>IF($H$11="","",AVERAGE(J22,J25))</f>
        <v/>
      </c>
      <c r="AL89" s="12" t="str">
        <f>IF($I$11="","",$B$11&amp;"=2")</f>
        <v/>
      </c>
      <c r="AM89" s="9" t="str">
        <f>IF($I$11="","",AVERAGE(J23,J25))</f>
        <v/>
      </c>
      <c r="AN89" s="9" t="str">
        <f>IF($I$11="","",AVERAGE(J22,J24))</f>
        <v/>
      </c>
      <c r="BG89" s="64"/>
    </row>
    <row r="90" spans="2:59" x14ac:dyDescent="0.2">
      <c r="V90" s="63"/>
      <c r="BG90" s="64"/>
    </row>
    <row r="91" spans="2:59" x14ac:dyDescent="0.2">
      <c r="V91" s="63"/>
      <c r="AF91" s="53" t="str">
        <f>IF($G$12="","",$W$77&amp;" "&amp;$B$12&amp;"/"&amp;$G$6)</f>
        <v/>
      </c>
      <c r="AG91" s="12" t="str">
        <f>IF($G$12="","",$G$6&amp;"=1")</f>
        <v/>
      </c>
      <c r="AH91" s="12" t="str">
        <f>IF($G$12="","",$G$6&amp;"=2")</f>
        <v/>
      </c>
      <c r="AI91" s="53" t="str">
        <f>IF($H$12="","",$W$77&amp;" "&amp;$B$12&amp;"/"&amp;$H$6)</f>
        <v/>
      </c>
      <c r="AJ91" s="12" t="str">
        <f>IF($H$12="","",$H$6&amp;"=1")</f>
        <v/>
      </c>
      <c r="AK91" s="12" t="str">
        <f>IF($H$12="","",$H$6&amp;"=2")</f>
        <v/>
      </c>
      <c r="AL91" s="53" t="str">
        <f>IF($I$12="","",$W$77&amp;" "&amp;$B$12&amp;"/"&amp;$I$6)</f>
        <v/>
      </c>
      <c r="AM91" s="12" t="str">
        <f>IF($I$12="","",$I$6&amp;"=1")</f>
        <v/>
      </c>
      <c r="AN91" s="12" t="str">
        <f>IF($I$12="","",$I$6&amp;"=2")</f>
        <v/>
      </c>
      <c r="BG91" s="64"/>
    </row>
    <row r="92" spans="2:59" x14ac:dyDescent="0.2">
      <c r="V92" s="63"/>
      <c r="AF92" s="12" t="str">
        <f>IF($G$12="","",$B$12&amp;"=1")</f>
        <v/>
      </c>
      <c r="AG92" s="9" t="str">
        <f>IF($G$12="","",AVERAGE(J20,J22))</f>
        <v/>
      </c>
      <c r="AH92" s="9" t="str">
        <f>IF($G$12="","",AVERAGE(J24,J26))</f>
        <v/>
      </c>
      <c r="AI92" s="12" t="str">
        <f>IF($H$12="","",$B$12&amp;"=1")</f>
        <v/>
      </c>
      <c r="AJ92" s="9" t="str">
        <f>IF($H$12="","",AVERAGE(J20,J24))</f>
        <v/>
      </c>
      <c r="AK92" s="9" t="str">
        <f>IF($H$12="","",AVERAGE(J22,J26))</f>
        <v/>
      </c>
      <c r="AL92" s="12" t="str">
        <f>IF($I$12="","",$B$12&amp;"=1")</f>
        <v/>
      </c>
      <c r="AM92" s="9" t="str">
        <f>IF($I$12="","",AVERAGE(J20,J26))</f>
        <v/>
      </c>
      <c r="AN92" s="9" t="str">
        <f>IF($I$12="","",AVERAGE(J22,J24))</f>
        <v/>
      </c>
      <c r="BG92" s="64"/>
    </row>
    <row r="93" spans="2:59" x14ac:dyDescent="0.2">
      <c r="V93" s="63"/>
      <c r="AF93" s="12" t="str">
        <f>IF($G$12="","",$B$12&amp;"=2")</f>
        <v/>
      </c>
      <c r="AG93" s="9" t="str">
        <f>IF($G$12="","",AVERAGE(J25,J27))</f>
        <v/>
      </c>
      <c r="AH93" s="9" t="str">
        <f>IF($G$12="","",AVERAGE(J21,J23))</f>
        <v/>
      </c>
      <c r="AI93" s="12" t="str">
        <f>IF($H$12="","",$B$12&amp;"=2")</f>
        <v/>
      </c>
      <c r="AJ93" s="9" t="str">
        <f>IF($H$12="","",AVERAGE(J23,J27))</f>
        <v/>
      </c>
      <c r="AK93" s="9" t="str">
        <f>IF($H$12="","",AVERAGE(J21,J25))</f>
        <v/>
      </c>
      <c r="AL93" s="12" t="str">
        <f>IF($I$12="","",$B$12&amp;"=2")</f>
        <v/>
      </c>
      <c r="AM93" s="9" t="str">
        <f>IF($I$12="","",AVERAGE(J23,J25))</f>
        <v/>
      </c>
      <c r="AN93" s="9" t="str">
        <f>IF($I$12="","",AVERAGE(J21,J27))</f>
        <v/>
      </c>
      <c r="BG93" s="64"/>
    </row>
    <row r="94" spans="2:59" x14ac:dyDescent="0.2">
      <c r="V94" s="63"/>
      <c r="BG94" s="64"/>
    </row>
    <row r="95" spans="2:59" x14ac:dyDescent="0.2">
      <c r="V95" s="63"/>
      <c r="AI95" s="53" t="str">
        <f>IF($H$13="","",$W$77&amp;" "&amp;$B$13&amp;"/"&amp;$H$6)</f>
        <v/>
      </c>
      <c r="AJ95" s="12" t="str">
        <f>IF($H$13="","",$H$6&amp;"=1")</f>
        <v/>
      </c>
      <c r="AK95" s="12" t="str">
        <f>IF($H$13="","",$H$6&amp;"=2")</f>
        <v/>
      </c>
      <c r="AL95" s="53" t="str">
        <f>IF($I$13="","",$W$77&amp;" "&amp;$B$13&amp;"/"&amp;$I$6)</f>
        <v/>
      </c>
      <c r="AM95" s="12" t="str">
        <f>IF($I$13="","",$I$6&amp;"=1")</f>
        <v/>
      </c>
      <c r="AN95" s="12" t="str">
        <f>IF($I$13="","",$I$6&amp;"=2")</f>
        <v/>
      </c>
      <c r="BG95" s="64"/>
    </row>
    <row r="96" spans="2:59" x14ac:dyDescent="0.2">
      <c r="V96" s="63"/>
      <c r="AI96" s="12" t="str">
        <f>IF($H$13="","",$B$13&amp;"=1")</f>
        <v/>
      </c>
      <c r="AJ96" s="9" t="str">
        <f>IF($H$13="","",AVERAGE(J20,J27))</f>
        <v/>
      </c>
      <c r="AK96" s="9" t="str">
        <f>IF($H$13="","",AVERAGE(J22,J25))</f>
        <v/>
      </c>
      <c r="AL96" s="12" t="str">
        <f>IF($I$13="","",$B$13&amp;"=1")</f>
        <v/>
      </c>
      <c r="AM96" s="9" t="str">
        <f>IF($I$13="","",AVERAGE(J20,J25))</f>
        <v/>
      </c>
      <c r="AN96" s="9" t="str">
        <f>IF($I$13="","",AVERAGE(J22,J27))</f>
        <v/>
      </c>
      <c r="BG96" s="64"/>
    </row>
    <row r="97" spans="22:59" x14ac:dyDescent="0.2">
      <c r="V97" s="63"/>
      <c r="AI97" s="12" t="str">
        <f>IF($H$13="","",$B$13&amp;"=2")</f>
        <v/>
      </c>
      <c r="AJ97" s="9" t="str">
        <f>IF($H$13="","",AVERAGE(J23,J24))</f>
        <v/>
      </c>
      <c r="AK97" s="9" t="str">
        <f>IF($H$13="","",AVERAGE(J21,J26))</f>
        <v/>
      </c>
      <c r="AL97" s="12" t="str">
        <f>IF($I$13="","",$B$13&amp;"=2")</f>
        <v/>
      </c>
      <c r="AM97" s="9" t="str">
        <f>IF($I$13="","",AVERAGE(J23,J26))</f>
        <v/>
      </c>
      <c r="AN97" s="9" t="str">
        <f>IF($I$13="","",AVERAGE(J21,J24))</f>
        <v/>
      </c>
      <c r="BG97" s="64"/>
    </row>
    <row r="98" spans="22:59" x14ac:dyDescent="0.2">
      <c r="V98" s="63"/>
      <c r="BG98" s="64"/>
    </row>
    <row r="99" spans="22:59" x14ac:dyDescent="0.2">
      <c r="V99" s="63"/>
      <c r="AL99" s="53" t="str">
        <f>IF($I$14="","",$W$77&amp;" "&amp;$B$14&amp;"/"&amp;$I$6)</f>
        <v/>
      </c>
      <c r="AM99" s="12" t="str">
        <f>IF($I$14="","",$I$6&amp;"=1")</f>
        <v/>
      </c>
      <c r="AN99" s="12" t="str">
        <f>IF($I$14="","",$I$6&amp;"=2")</f>
        <v/>
      </c>
      <c r="BG99" s="64"/>
    </row>
    <row r="100" spans="22:59" x14ac:dyDescent="0.2">
      <c r="V100" s="63"/>
      <c r="AL100" s="12" t="str">
        <f>IF($I$14="","",$B$14&amp;"=1")</f>
        <v/>
      </c>
      <c r="AM100" s="9" t="str">
        <f>IF($I$14="","",AVERAGE(J20,J23))</f>
        <v/>
      </c>
      <c r="AN100" s="9" t="str">
        <f>IF($I$14="","",AVERAGE(J24,J27))</f>
        <v/>
      </c>
      <c r="BG100" s="64"/>
    </row>
    <row r="101" spans="22:59" x14ac:dyDescent="0.2">
      <c r="V101" s="63"/>
      <c r="AL101" s="12" t="str">
        <f>IF($I$14="","",$B$14&amp;"=2")</f>
        <v/>
      </c>
      <c r="AM101" s="9" t="str">
        <f>IF($I$14="","",AVERAGE(J25,J26))</f>
        <v/>
      </c>
      <c r="AN101" s="9" t="str">
        <f>IF($I$14="","",AVERAGE(J21,J22))</f>
        <v/>
      </c>
      <c r="BG101" s="64"/>
    </row>
    <row r="102" spans="22:59" x14ac:dyDescent="0.2">
      <c r="V102" s="63"/>
      <c r="BG102" s="64"/>
    </row>
    <row r="103" spans="22:59" x14ac:dyDescent="0.2">
      <c r="V103" s="63"/>
      <c r="BG103" s="64"/>
    </row>
    <row r="104" spans="22:59" x14ac:dyDescent="0.2">
      <c r="V104" s="63"/>
      <c r="BG104" s="64"/>
    </row>
    <row r="105" spans="22:59" x14ac:dyDescent="0.2">
      <c r="V105" s="63"/>
      <c r="BG105" s="64"/>
    </row>
    <row r="106" spans="22:59" x14ac:dyDescent="0.2">
      <c r="V106" s="63"/>
      <c r="BG106" s="64"/>
    </row>
    <row r="107" spans="22:59" x14ac:dyDescent="0.2">
      <c r="V107" s="63"/>
      <c r="BG107" s="64"/>
    </row>
    <row r="108" spans="22:59" x14ac:dyDescent="0.2">
      <c r="V108" s="63"/>
      <c r="BG108" s="64"/>
    </row>
    <row r="109" spans="22:59" x14ac:dyDescent="0.2">
      <c r="V109" s="63"/>
      <c r="BG109" s="64"/>
    </row>
    <row r="110" spans="22:59" x14ac:dyDescent="0.2">
      <c r="V110" s="63"/>
      <c r="BG110" s="64"/>
    </row>
    <row r="111" spans="22:59" x14ac:dyDescent="0.2">
      <c r="V111" s="63"/>
      <c r="BG111" s="64"/>
    </row>
    <row r="112" spans="22:59" x14ac:dyDescent="0.2">
      <c r="V112" s="63"/>
      <c r="BG112" s="64"/>
    </row>
    <row r="113" spans="22:59" x14ac:dyDescent="0.2">
      <c r="V113" s="63"/>
      <c r="BG113" s="64"/>
    </row>
    <row r="114" spans="22:59" x14ac:dyDescent="0.2">
      <c r="V114" s="63"/>
      <c r="BG114" s="64"/>
    </row>
    <row r="115" spans="22:59" x14ac:dyDescent="0.2">
      <c r="V115" s="63"/>
      <c r="BG115" s="64"/>
    </row>
    <row r="116" spans="22:59" x14ac:dyDescent="0.2">
      <c r="V116" s="63"/>
      <c r="BG116" s="64"/>
    </row>
    <row r="117" spans="22:59" x14ac:dyDescent="0.2">
      <c r="V117" s="63"/>
      <c r="BG117" s="64"/>
    </row>
    <row r="118" spans="22:59" x14ac:dyDescent="0.2">
      <c r="V118" s="63"/>
      <c r="BG118" s="64"/>
    </row>
    <row r="119" spans="22:59" ht="13.5" thickBot="1" x14ac:dyDescent="0.25">
      <c r="V119" s="66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8"/>
    </row>
    <row r="177" spans="2:13" ht="20.25" x14ac:dyDescent="0.3">
      <c r="B177" s="116" t="s">
        <v>83</v>
      </c>
    </row>
    <row r="180" spans="2:13" x14ac:dyDescent="0.2">
      <c r="B180" s="2" t="s">
        <v>1</v>
      </c>
      <c r="C180" s="12" t="str">
        <f t="shared" ref="C180:I180" si="19">C18</f>
        <v>Larg pales</v>
      </c>
      <c r="D180" s="12" t="str">
        <f t="shared" si="19"/>
        <v>Long pales</v>
      </c>
      <c r="E180" s="83" t="str">
        <f t="shared" si="19"/>
        <v>Larg pales/Long pales</v>
      </c>
      <c r="F180" s="12" t="str">
        <f t="shared" si="19"/>
        <v>Nbre trombones</v>
      </c>
      <c r="G180" s="12" t="str">
        <f t="shared" si="19"/>
        <v>Larg pales/Nbre trombones</v>
      </c>
      <c r="H180" s="12" t="str">
        <f t="shared" si="19"/>
        <v>Long pales/Nbre trombones</v>
      </c>
      <c r="I180" s="12" t="str">
        <f t="shared" si="19"/>
        <v/>
      </c>
      <c r="J180" s="104" t="s">
        <v>61</v>
      </c>
      <c r="K180" s="102" t="s">
        <v>63</v>
      </c>
      <c r="L180" s="96" t="s">
        <v>71</v>
      </c>
      <c r="M180" s="106" t="s">
        <v>72</v>
      </c>
    </row>
    <row r="181" spans="2:13" ht="13.5" thickBot="1" x14ac:dyDescent="0.25">
      <c r="B181" s="6" t="s">
        <v>7</v>
      </c>
      <c r="C181" s="3">
        <v>1</v>
      </c>
      <c r="D181" s="3">
        <v>2</v>
      </c>
      <c r="E181" s="3">
        <v>3</v>
      </c>
      <c r="F181" s="3">
        <v>4</v>
      </c>
      <c r="G181" s="3">
        <v>5</v>
      </c>
      <c r="H181" s="3">
        <v>6</v>
      </c>
      <c r="I181" s="3">
        <v>7</v>
      </c>
      <c r="J181" s="105" t="s">
        <v>62</v>
      </c>
      <c r="K181" s="103" t="s">
        <v>70</v>
      </c>
      <c r="L181" s="96" t="s">
        <v>70</v>
      </c>
      <c r="M181" s="106" t="s">
        <v>62</v>
      </c>
    </row>
    <row r="182" spans="2:13" ht="13.5" thickTop="1" x14ac:dyDescent="0.2">
      <c r="B182" s="3">
        <v>1</v>
      </c>
      <c r="C182" s="95">
        <v>1</v>
      </c>
      <c r="D182" s="95">
        <v>1</v>
      </c>
      <c r="E182" s="95">
        <v>1</v>
      </c>
      <c r="F182" s="95">
        <v>1</v>
      </c>
      <c r="G182" s="95">
        <v>1</v>
      </c>
      <c r="H182" s="95">
        <v>1</v>
      </c>
      <c r="I182" s="95">
        <v>1</v>
      </c>
      <c r="J182" s="100">
        <f t="shared" ref="J182:J245" si="20">$J$28+IF(C182=1,$D$33,$D$34)+IF(D182=1,$D$36,$D$37)+IF(E182=1,$D$39,$D$40)+IF(F182=1,$D$42,$D$43)+IF(G182=1,$D$45,$D$46)+IF(H182=1,$D$48,$D$49)+IF(I182=1,$D$51,$D$52)</f>
        <v>2.1399999999999992</v>
      </c>
      <c r="K182" s="101">
        <f t="shared" ref="K182:K245" si="21">$Q$28+IF(D182=1,$F$33,$F$34)+IF(E182=1,$F$36,$F$37)+IF(F182=1,$F$39,$F$40)+IF(G182=1,$F$42,$F$43)+IF(H182=1,$F$45,$F$46)+IF(I182=1,$F$48,$F$49)+IF(J182=1,$F$51,$F$52)</f>
        <v>25.330346093081328</v>
      </c>
      <c r="L182" s="97">
        <f t="shared" ref="L182:L245" si="22">SQRT((J182^2)/(10^(K182/10)+0.2))</f>
        <v>0.11581617804800078</v>
      </c>
      <c r="M182" s="107">
        <f t="shared" ref="M182:M245" si="23">6*L182</f>
        <v>0.69489706828800468</v>
      </c>
    </row>
    <row r="183" spans="2:13" x14ac:dyDescent="0.2">
      <c r="B183" s="3">
        <v>2</v>
      </c>
      <c r="C183" s="95">
        <v>1</v>
      </c>
      <c r="D183" s="95">
        <v>1</v>
      </c>
      <c r="E183" s="95">
        <v>1</v>
      </c>
      <c r="F183" s="95">
        <v>1</v>
      </c>
      <c r="G183" s="95">
        <v>1</v>
      </c>
      <c r="H183" s="95">
        <v>1</v>
      </c>
      <c r="I183" s="95">
        <v>2</v>
      </c>
      <c r="J183" s="100">
        <f t="shared" si="20"/>
        <v>2.1849999999999992</v>
      </c>
      <c r="K183" s="101">
        <f t="shared" si="21"/>
        <v>25.363056039939615</v>
      </c>
      <c r="L183" s="97">
        <f t="shared" si="22"/>
        <v>0.11780734110105068</v>
      </c>
      <c r="M183" s="107">
        <f t="shared" si="23"/>
        <v>0.70684404660630407</v>
      </c>
    </row>
    <row r="184" spans="2:13" x14ac:dyDescent="0.2">
      <c r="B184" s="3">
        <v>3</v>
      </c>
      <c r="C184" s="95">
        <v>1</v>
      </c>
      <c r="D184" s="95">
        <v>1</v>
      </c>
      <c r="E184" s="95">
        <v>1</v>
      </c>
      <c r="F184" s="95">
        <v>1</v>
      </c>
      <c r="G184" s="95">
        <v>1</v>
      </c>
      <c r="H184" s="95">
        <v>2</v>
      </c>
      <c r="I184" s="95">
        <v>1</v>
      </c>
      <c r="J184" s="100">
        <f t="shared" si="20"/>
        <v>2.0633333333333326</v>
      </c>
      <c r="K184" s="101">
        <f t="shared" si="21"/>
        <v>26.54756553835788</v>
      </c>
      <c r="L184" s="97">
        <f t="shared" si="22"/>
        <v>9.7072222107949649E-2</v>
      </c>
      <c r="M184" s="107">
        <f t="shared" si="23"/>
        <v>0.58243333264769792</v>
      </c>
    </row>
    <row r="185" spans="2:13" x14ac:dyDescent="0.2">
      <c r="B185" s="3">
        <v>4</v>
      </c>
      <c r="C185" s="95">
        <v>1</v>
      </c>
      <c r="D185" s="95">
        <v>1</v>
      </c>
      <c r="E185" s="95">
        <v>1</v>
      </c>
      <c r="F185" s="95">
        <v>1</v>
      </c>
      <c r="G185" s="95">
        <v>1</v>
      </c>
      <c r="H185" s="95">
        <v>2</v>
      </c>
      <c r="I185" s="95">
        <v>2</v>
      </c>
      <c r="J185" s="100">
        <f t="shared" si="20"/>
        <v>2.1083333333333325</v>
      </c>
      <c r="K185" s="101">
        <f t="shared" si="21"/>
        <v>26.580275485216166</v>
      </c>
      <c r="L185" s="97">
        <f t="shared" si="22"/>
        <v>9.8816638472811177E-2</v>
      </c>
      <c r="M185" s="107">
        <f t="shared" si="23"/>
        <v>0.59289983083686704</v>
      </c>
    </row>
    <row r="186" spans="2:13" x14ac:dyDescent="0.2">
      <c r="B186" s="3">
        <v>5</v>
      </c>
      <c r="C186" s="95">
        <v>1</v>
      </c>
      <c r="D186" s="95">
        <v>1</v>
      </c>
      <c r="E186" s="95">
        <v>1</v>
      </c>
      <c r="F186" s="95">
        <v>1</v>
      </c>
      <c r="G186" s="95">
        <v>2</v>
      </c>
      <c r="H186" s="95">
        <v>1</v>
      </c>
      <c r="I186" s="95">
        <v>1</v>
      </c>
      <c r="J186" s="100">
        <f t="shared" si="20"/>
        <v>2.1383333333333328</v>
      </c>
      <c r="K186" s="101">
        <f t="shared" si="21"/>
        <v>27.603635312898486</v>
      </c>
      <c r="L186" s="97">
        <f t="shared" si="22"/>
        <v>8.9087802169310046E-2</v>
      </c>
      <c r="M186" s="107">
        <f t="shared" si="23"/>
        <v>0.53452681301586025</v>
      </c>
    </row>
    <row r="187" spans="2:13" x14ac:dyDescent="0.2">
      <c r="B187" s="3">
        <v>6</v>
      </c>
      <c r="C187" s="95">
        <v>1</v>
      </c>
      <c r="D187" s="95">
        <v>1</v>
      </c>
      <c r="E187" s="95">
        <v>1</v>
      </c>
      <c r="F187" s="95">
        <v>1</v>
      </c>
      <c r="G187" s="95">
        <v>2</v>
      </c>
      <c r="H187" s="95">
        <v>1</v>
      </c>
      <c r="I187" s="95">
        <v>2</v>
      </c>
      <c r="J187" s="100">
        <f t="shared" si="20"/>
        <v>2.1833333333333327</v>
      </c>
      <c r="K187" s="101">
        <f t="shared" si="21"/>
        <v>27.636345259756773</v>
      </c>
      <c r="L187" s="97">
        <f t="shared" si="22"/>
        <v>9.0620812647214957E-2</v>
      </c>
      <c r="M187" s="107">
        <f t="shared" si="23"/>
        <v>0.54372487588328977</v>
      </c>
    </row>
    <row r="188" spans="2:13" x14ac:dyDescent="0.2">
      <c r="B188" s="3">
        <v>7</v>
      </c>
      <c r="C188" s="95">
        <v>1</v>
      </c>
      <c r="D188" s="95">
        <v>1</v>
      </c>
      <c r="E188" s="95">
        <v>1</v>
      </c>
      <c r="F188" s="95">
        <v>1</v>
      </c>
      <c r="G188" s="95">
        <v>2</v>
      </c>
      <c r="H188" s="95">
        <v>2</v>
      </c>
      <c r="I188" s="95">
        <v>1</v>
      </c>
      <c r="J188" s="100">
        <f t="shared" si="20"/>
        <v>2.0616666666666661</v>
      </c>
      <c r="K188" s="101">
        <f t="shared" si="21"/>
        <v>28.820854758175038</v>
      </c>
      <c r="L188" s="97">
        <f t="shared" si="22"/>
        <v>7.4665287536647737E-2</v>
      </c>
      <c r="M188" s="107">
        <f t="shared" si="23"/>
        <v>0.44799172521988639</v>
      </c>
    </row>
    <row r="189" spans="2:13" x14ac:dyDescent="0.2">
      <c r="B189" s="3">
        <v>8</v>
      </c>
      <c r="C189" s="95">
        <v>1</v>
      </c>
      <c r="D189" s="95">
        <v>1</v>
      </c>
      <c r="E189" s="95">
        <v>1</v>
      </c>
      <c r="F189" s="95">
        <v>1</v>
      </c>
      <c r="G189" s="95">
        <v>2</v>
      </c>
      <c r="H189" s="95">
        <v>2</v>
      </c>
      <c r="I189" s="95">
        <v>2</v>
      </c>
      <c r="J189" s="100">
        <f t="shared" si="20"/>
        <v>2.106666666666666</v>
      </c>
      <c r="K189" s="101">
        <f t="shared" si="21"/>
        <v>28.853564705033325</v>
      </c>
      <c r="L189" s="97">
        <f t="shared" si="22"/>
        <v>7.600830473836144E-2</v>
      </c>
      <c r="M189" s="107">
        <f t="shared" si="23"/>
        <v>0.45604982843016861</v>
      </c>
    </row>
    <row r="190" spans="2:13" x14ac:dyDescent="0.2">
      <c r="B190" s="3">
        <v>9</v>
      </c>
      <c r="C190" s="95">
        <v>1</v>
      </c>
      <c r="D190" s="95">
        <v>1</v>
      </c>
      <c r="E190" s="95">
        <v>1</v>
      </c>
      <c r="F190" s="95">
        <v>2</v>
      </c>
      <c r="G190" s="95">
        <v>1</v>
      </c>
      <c r="H190" s="95">
        <v>1</v>
      </c>
      <c r="I190" s="95">
        <v>1</v>
      </c>
      <c r="J190" s="100">
        <f t="shared" si="20"/>
        <v>1.8366666666666658</v>
      </c>
      <c r="K190" s="101">
        <f t="shared" si="21"/>
        <v>18.321758921844566</v>
      </c>
      <c r="L190" s="97">
        <f t="shared" si="22"/>
        <v>0.22248676358180242</v>
      </c>
      <c r="M190" s="107">
        <f t="shared" si="23"/>
        <v>1.3349205814908145</v>
      </c>
    </row>
    <row r="191" spans="2:13" x14ac:dyDescent="0.2">
      <c r="B191" s="3">
        <v>10</v>
      </c>
      <c r="C191" s="95">
        <v>1</v>
      </c>
      <c r="D191" s="95">
        <v>1</v>
      </c>
      <c r="E191" s="95">
        <v>1</v>
      </c>
      <c r="F191" s="95">
        <v>2</v>
      </c>
      <c r="G191" s="95">
        <v>1</v>
      </c>
      <c r="H191" s="95">
        <v>1</v>
      </c>
      <c r="I191" s="95">
        <v>2</v>
      </c>
      <c r="J191" s="100">
        <f t="shared" si="20"/>
        <v>1.8816666666666657</v>
      </c>
      <c r="K191" s="101">
        <f t="shared" si="21"/>
        <v>18.354468868702853</v>
      </c>
      <c r="L191" s="97">
        <f t="shared" si="22"/>
        <v>0.22708362089066086</v>
      </c>
      <c r="M191" s="107">
        <f t="shared" si="23"/>
        <v>1.3625017253439653</v>
      </c>
    </row>
    <row r="192" spans="2:13" x14ac:dyDescent="0.2">
      <c r="B192" s="3">
        <v>11</v>
      </c>
      <c r="C192" s="95">
        <v>1</v>
      </c>
      <c r="D192" s="95">
        <v>1</v>
      </c>
      <c r="E192" s="95">
        <v>1</v>
      </c>
      <c r="F192" s="95">
        <v>2</v>
      </c>
      <c r="G192" s="95">
        <v>1</v>
      </c>
      <c r="H192" s="95">
        <v>2</v>
      </c>
      <c r="I192" s="95">
        <v>1</v>
      </c>
      <c r="J192" s="100">
        <f t="shared" si="20"/>
        <v>1.7599999999999991</v>
      </c>
      <c r="K192" s="101">
        <f t="shared" si="21"/>
        <v>19.538978367121118</v>
      </c>
      <c r="L192" s="97">
        <f t="shared" si="22"/>
        <v>0.18538788641434434</v>
      </c>
      <c r="M192" s="107">
        <f t="shared" si="23"/>
        <v>1.112327318486066</v>
      </c>
    </row>
    <row r="193" spans="2:13" x14ac:dyDescent="0.2">
      <c r="B193" s="3">
        <v>12</v>
      </c>
      <c r="C193" s="95">
        <v>1</v>
      </c>
      <c r="D193" s="95">
        <v>1</v>
      </c>
      <c r="E193" s="95">
        <v>1</v>
      </c>
      <c r="F193" s="95">
        <v>2</v>
      </c>
      <c r="G193" s="95">
        <v>1</v>
      </c>
      <c r="H193" s="95">
        <v>2</v>
      </c>
      <c r="I193" s="95">
        <v>2</v>
      </c>
      <c r="J193" s="100">
        <f t="shared" si="20"/>
        <v>1.804999999999999</v>
      </c>
      <c r="K193" s="101">
        <f t="shared" si="21"/>
        <v>19.571688313979404</v>
      </c>
      <c r="L193" s="97">
        <f t="shared" si="22"/>
        <v>0.18941484366053815</v>
      </c>
      <c r="M193" s="107">
        <f t="shared" si="23"/>
        <v>1.1364890619632289</v>
      </c>
    </row>
    <row r="194" spans="2:13" x14ac:dyDescent="0.2">
      <c r="B194" s="3">
        <v>13</v>
      </c>
      <c r="C194" s="95">
        <v>1</v>
      </c>
      <c r="D194" s="95">
        <v>1</v>
      </c>
      <c r="E194" s="95">
        <v>1</v>
      </c>
      <c r="F194" s="95">
        <v>2</v>
      </c>
      <c r="G194" s="95">
        <v>2</v>
      </c>
      <c r="H194" s="95">
        <v>1</v>
      </c>
      <c r="I194" s="95">
        <v>1</v>
      </c>
      <c r="J194" s="100">
        <f t="shared" si="20"/>
        <v>1.8349999999999993</v>
      </c>
      <c r="K194" s="101">
        <f t="shared" si="21"/>
        <v>20.595048141661724</v>
      </c>
      <c r="L194" s="97">
        <f t="shared" si="22"/>
        <v>0.17120060895055433</v>
      </c>
      <c r="M194" s="107">
        <f t="shared" si="23"/>
        <v>1.027203653703326</v>
      </c>
    </row>
    <row r="195" spans="2:13" x14ac:dyDescent="0.2">
      <c r="B195" s="3">
        <v>14</v>
      </c>
      <c r="C195" s="95">
        <v>1</v>
      </c>
      <c r="D195" s="95">
        <v>1</v>
      </c>
      <c r="E195" s="95">
        <v>1</v>
      </c>
      <c r="F195" s="95">
        <v>2</v>
      </c>
      <c r="G195" s="95">
        <v>2</v>
      </c>
      <c r="H195" s="95">
        <v>1</v>
      </c>
      <c r="I195" s="95">
        <v>2</v>
      </c>
      <c r="J195" s="100">
        <f t="shared" si="20"/>
        <v>1.8799999999999992</v>
      </c>
      <c r="K195" s="101">
        <f t="shared" si="21"/>
        <v>20.627758088520011</v>
      </c>
      <c r="L195" s="97">
        <f t="shared" si="22"/>
        <v>0.17474084236425416</v>
      </c>
      <c r="M195" s="107">
        <f t="shared" si="23"/>
        <v>1.048445054185525</v>
      </c>
    </row>
    <row r="196" spans="2:13" x14ac:dyDescent="0.2">
      <c r="B196" s="3">
        <v>15</v>
      </c>
      <c r="C196" s="95">
        <v>1</v>
      </c>
      <c r="D196" s="95">
        <v>1</v>
      </c>
      <c r="E196" s="95">
        <v>1</v>
      </c>
      <c r="F196" s="95">
        <v>2</v>
      </c>
      <c r="G196" s="95">
        <v>2</v>
      </c>
      <c r="H196" s="95">
        <v>2</v>
      </c>
      <c r="I196" s="95">
        <v>1</v>
      </c>
      <c r="J196" s="100">
        <f t="shared" si="20"/>
        <v>1.7583333333333326</v>
      </c>
      <c r="K196" s="101">
        <f t="shared" si="21"/>
        <v>21.812267586938276</v>
      </c>
      <c r="L196" s="97">
        <f t="shared" si="22"/>
        <v>0.14262704751863375</v>
      </c>
      <c r="M196" s="107">
        <f t="shared" si="23"/>
        <v>0.85576228511180252</v>
      </c>
    </row>
    <row r="197" spans="2:13" x14ac:dyDescent="0.2">
      <c r="B197" s="3">
        <v>16</v>
      </c>
      <c r="C197" s="95">
        <v>1</v>
      </c>
      <c r="D197" s="95">
        <v>1</v>
      </c>
      <c r="E197" s="95">
        <v>1</v>
      </c>
      <c r="F197" s="95">
        <v>2</v>
      </c>
      <c r="G197" s="95">
        <v>2</v>
      </c>
      <c r="H197" s="95">
        <v>2</v>
      </c>
      <c r="I197" s="95">
        <v>2</v>
      </c>
      <c r="J197" s="100">
        <f t="shared" si="20"/>
        <v>1.8033333333333326</v>
      </c>
      <c r="K197" s="101">
        <f t="shared" si="21"/>
        <v>21.844977533796563</v>
      </c>
      <c r="L197" s="97">
        <f t="shared" si="22"/>
        <v>0.14572811254694096</v>
      </c>
      <c r="M197" s="107">
        <f t="shared" si="23"/>
        <v>0.87436867528164575</v>
      </c>
    </row>
    <row r="198" spans="2:13" x14ac:dyDescent="0.2">
      <c r="B198" s="3">
        <v>17</v>
      </c>
      <c r="C198" s="95">
        <v>1</v>
      </c>
      <c r="D198" s="95">
        <v>1</v>
      </c>
      <c r="E198" s="95">
        <v>2</v>
      </c>
      <c r="F198" s="95">
        <v>1</v>
      </c>
      <c r="G198" s="95">
        <v>1</v>
      </c>
      <c r="H198" s="95">
        <v>1</v>
      </c>
      <c r="I198" s="95">
        <v>1</v>
      </c>
      <c r="J198" s="100">
        <f t="shared" si="20"/>
        <v>2.2266666666666657</v>
      </c>
      <c r="K198" s="101">
        <f t="shared" si="21"/>
        <v>23.13587718680585</v>
      </c>
      <c r="L198" s="97">
        <f t="shared" si="22"/>
        <v>0.15511381969781907</v>
      </c>
      <c r="M198" s="107">
        <f t="shared" si="23"/>
        <v>0.9306829181869144</v>
      </c>
    </row>
    <row r="199" spans="2:13" x14ac:dyDescent="0.2">
      <c r="B199" s="3">
        <v>18</v>
      </c>
      <c r="C199" s="95">
        <v>1</v>
      </c>
      <c r="D199" s="95">
        <v>1</v>
      </c>
      <c r="E199" s="95">
        <v>2</v>
      </c>
      <c r="F199" s="95">
        <v>1</v>
      </c>
      <c r="G199" s="95">
        <v>1</v>
      </c>
      <c r="H199" s="95">
        <v>1</v>
      </c>
      <c r="I199" s="95">
        <v>2</v>
      </c>
      <c r="J199" s="100">
        <f t="shared" si="20"/>
        <v>2.2716666666666656</v>
      </c>
      <c r="K199" s="101">
        <f t="shared" si="21"/>
        <v>23.168587133664136</v>
      </c>
      <c r="L199" s="97">
        <f t="shared" si="22"/>
        <v>0.1576543557955167</v>
      </c>
      <c r="M199" s="107">
        <f t="shared" si="23"/>
        <v>0.94592613477310028</v>
      </c>
    </row>
    <row r="200" spans="2:13" x14ac:dyDescent="0.2">
      <c r="B200" s="3">
        <v>19</v>
      </c>
      <c r="C200" s="95">
        <v>1</v>
      </c>
      <c r="D200" s="95">
        <v>1</v>
      </c>
      <c r="E200" s="95">
        <v>2</v>
      </c>
      <c r="F200" s="95">
        <v>1</v>
      </c>
      <c r="G200" s="95">
        <v>1</v>
      </c>
      <c r="H200" s="95">
        <v>2</v>
      </c>
      <c r="I200" s="95">
        <v>1</v>
      </c>
      <c r="J200" s="100">
        <f t="shared" si="20"/>
        <v>2.149999999999999</v>
      </c>
      <c r="K200" s="101">
        <f t="shared" si="21"/>
        <v>24.353096632082401</v>
      </c>
      <c r="L200" s="97">
        <f t="shared" si="22"/>
        <v>0.13020398962472629</v>
      </c>
      <c r="M200" s="107">
        <f t="shared" si="23"/>
        <v>0.78122393774835774</v>
      </c>
    </row>
    <row r="201" spans="2:13" x14ac:dyDescent="0.2">
      <c r="B201" s="3">
        <v>20</v>
      </c>
      <c r="C201" s="95">
        <v>1</v>
      </c>
      <c r="D201" s="95">
        <v>1</v>
      </c>
      <c r="E201" s="95">
        <v>2</v>
      </c>
      <c r="F201" s="95">
        <v>1</v>
      </c>
      <c r="G201" s="95">
        <v>1</v>
      </c>
      <c r="H201" s="95">
        <v>2</v>
      </c>
      <c r="I201" s="95">
        <v>2</v>
      </c>
      <c r="J201" s="100">
        <f t="shared" si="20"/>
        <v>2.194999999999999</v>
      </c>
      <c r="K201" s="101">
        <f t="shared" si="21"/>
        <v>24.385806578940688</v>
      </c>
      <c r="L201" s="97">
        <f t="shared" si="22"/>
        <v>0.13242990096084462</v>
      </c>
      <c r="M201" s="107">
        <f t="shared" si="23"/>
        <v>0.79457940576506769</v>
      </c>
    </row>
    <row r="202" spans="2:13" x14ac:dyDescent="0.2">
      <c r="B202" s="84">
        <v>21</v>
      </c>
      <c r="C202" s="95">
        <v>1</v>
      </c>
      <c r="D202" s="95">
        <v>1</v>
      </c>
      <c r="E202" s="95">
        <v>2</v>
      </c>
      <c r="F202" s="95">
        <v>1</v>
      </c>
      <c r="G202" s="95">
        <v>2</v>
      </c>
      <c r="H202" s="95">
        <v>1</v>
      </c>
      <c r="I202" s="95">
        <v>1</v>
      </c>
      <c r="J202" s="100">
        <f t="shared" si="20"/>
        <v>2.2249999999999992</v>
      </c>
      <c r="K202" s="101">
        <f t="shared" si="21"/>
        <v>25.409166406623008</v>
      </c>
      <c r="L202" s="97">
        <f t="shared" si="22"/>
        <v>0.11932920386536856</v>
      </c>
      <c r="M202" s="107">
        <f t="shared" si="23"/>
        <v>0.71597522319221141</v>
      </c>
    </row>
    <row r="203" spans="2:13" x14ac:dyDescent="0.2">
      <c r="B203" s="3">
        <v>22</v>
      </c>
      <c r="C203" s="95">
        <v>1</v>
      </c>
      <c r="D203" s="95">
        <v>1</v>
      </c>
      <c r="E203" s="95">
        <v>2</v>
      </c>
      <c r="F203" s="95">
        <v>1</v>
      </c>
      <c r="G203" s="95">
        <v>2</v>
      </c>
      <c r="H203" s="95">
        <v>1</v>
      </c>
      <c r="I203" s="95">
        <v>2</v>
      </c>
      <c r="J203" s="100">
        <f t="shared" si="20"/>
        <v>2.2699999999999991</v>
      </c>
      <c r="K203" s="101">
        <f t="shared" si="21"/>
        <v>25.441876353481295</v>
      </c>
      <c r="L203" s="97">
        <f t="shared" si="22"/>
        <v>0.12128526039782561</v>
      </c>
      <c r="M203" s="107">
        <f t="shared" si="23"/>
        <v>0.72771156238695367</v>
      </c>
    </row>
    <row r="204" spans="2:13" x14ac:dyDescent="0.2">
      <c r="B204" s="3">
        <v>23</v>
      </c>
      <c r="C204" s="95">
        <v>1</v>
      </c>
      <c r="D204" s="95">
        <v>1</v>
      </c>
      <c r="E204" s="95">
        <v>2</v>
      </c>
      <c r="F204" s="95">
        <v>1</v>
      </c>
      <c r="G204" s="95">
        <v>2</v>
      </c>
      <c r="H204" s="95">
        <v>2</v>
      </c>
      <c r="I204" s="95">
        <v>1</v>
      </c>
      <c r="J204" s="100">
        <f t="shared" si="20"/>
        <v>2.1483333333333325</v>
      </c>
      <c r="K204" s="101">
        <f t="shared" si="21"/>
        <v>26.62638585189956</v>
      </c>
      <c r="L204" s="97">
        <f t="shared" si="22"/>
        <v>0.10015853351581668</v>
      </c>
      <c r="M204" s="107">
        <f t="shared" si="23"/>
        <v>0.60095120109490008</v>
      </c>
    </row>
    <row r="205" spans="2:13" x14ac:dyDescent="0.2">
      <c r="B205" s="3">
        <v>24</v>
      </c>
      <c r="C205" s="95">
        <v>1</v>
      </c>
      <c r="D205" s="95">
        <v>1</v>
      </c>
      <c r="E205" s="95">
        <v>2</v>
      </c>
      <c r="F205" s="95">
        <v>1</v>
      </c>
      <c r="G205" s="95">
        <v>2</v>
      </c>
      <c r="H205" s="95">
        <v>2</v>
      </c>
      <c r="I205" s="95">
        <v>2</v>
      </c>
      <c r="J205" s="100">
        <f t="shared" si="20"/>
        <v>2.1933333333333325</v>
      </c>
      <c r="K205" s="101">
        <f t="shared" si="21"/>
        <v>26.659095798757846</v>
      </c>
      <c r="L205" s="97">
        <f t="shared" si="22"/>
        <v>0.10187230669888697</v>
      </c>
      <c r="M205" s="107">
        <f t="shared" si="23"/>
        <v>0.61123384019332183</v>
      </c>
    </row>
    <row r="206" spans="2:13" x14ac:dyDescent="0.2">
      <c r="B206" s="3">
        <v>25</v>
      </c>
      <c r="C206" s="95">
        <v>1</v>
      </c>
      <c r="D206" s="95">
        <v>1</v>
      </c>
      <c r="E206" s="95">
        <v>2</v>
      </c>
      <c r="F206" s="95">
        <v>2</v>
      </c>
      <c r="G206" s="95">
        <v>1</v>
      </c>
      <c r="H206" s="95">
        <v>1</v>
      </c>
      <c r="I206" s="95">
        <v>1</v>
      </c>
      <c r="J206" s="100">
        <f t="shared" si="20"/>
        <v>1.9233333333333322</v>
      </c>
      <c r="K206" s="101">
        <f t="shared" si="21"/>
        <v>16.127290015569088</v>
      </c>
      <c r="L206" s="97">
        <f t="shared" si="22"/>
        <v>0.29966308405296066</v>
      </c>
      <c r="M206" s="107">
        <f t="shared" si="23"/>
        <v>1.7979785043177641</v>
      </c>
    </row>
    <row r="207" spans="2:13" x14ac:dyDescent="0.2">
      <c r="B207" s="3">
        <v>26</v>
      </c>
      <c r="C207" s="95">
        <v>1</v>
      </c>
      <c r="D207" s="95">
        <v>1</v>
      </c>
      <c r="E207" s="95">
        <v>2</v>
      </c>
      <c r="F207" s="95">
        <v>2</v>
      </c>
      <c r="G207" s="95">
        <v>1</v>
      </c>
      <c r="H207" s="95">
        <v>1</v>
      </c>
      <c r="I207" s="95">
        <v>2</v>
      </c>
      <c r="J207" s="100">
        <f t="shared" si="20"/>
        <v>1.9683333333333322</v>
      </c>
      <c r="K207" s="101">
        <f t="shared" si="21"/>
        <v>16.159999962427374</v>
      </c>
      <c r="L207" s="97">
        <f t="shared" si="22"/>
        <v>0.30552710638446523</v>
      </c>
      <c r="M207" s="107">
        <f t="shared" si="23"/>
        <v>1.8331626383067914</v>
      </c>
    </row>
    <row r="208" spans="2:13" x14ac:dyDescent="0.2">
      <c r="B208" s="3">
        <v>27</v>
      </c>
      <c r="C208" s="95">
        <v>1</v>
      </c>
      <c r="D208" s="95">
        <v>1</v>
      </c>
      <c r="E208" s="95">
        <v>2</v>
      </c>
      <c r="F208" s="95">
        <v>2</v>
      </c>
      <c r="G208" s="95">
        <v>1</v>
      </c>
      <c r="H208" s="95">
        <v>2</v>
      </c>
      <c r="I208" s="95">
        <v>1</v>
      </c>
      <c r="J208" s="100">
        <f t="shared" si="20"/>
        <v>1.8466666666666656</v>
      </c>
      <c r="K208" s="101">
        <f t="shared" si="21"/>
        <v>17.344509460845639</v>
      </c>
      <c r="L208" s="97">
        <f t="shared" si="22"/>
        <v>0.25024422290130599</v>
      </c>
      <c r="M208" s="107">
        <f t="shared" si="23"/>
        <v>1.5014653374078359</v>
      </c>
    </row>
    <row r="209" spans="2:13" x14ac:dyDescent="0.2">
      <c r="B209" s="3">
        <v>28</v>
      </c>
      <c r="C209" s="95">
        <v>1</v>
      </c>
      <c r="D209" s="95">
        <v>1</v>
      </c>
      <c r="E209" s="95">
        <v>2</v>
      </c>
      <c r="F209" s="95">
        <v>2</v>
      </c>
      <c r="G209" s="95">
        <v>1</v>
      </c>
      <c r="H209" s="95">
        <v>2</v>
      </c>
      <c r="I209" s="95">
        <v>2</v>
      </c>
      <c r="J209" s="100">
        <f t="shared" si="20"/>
        <v>1.8916666666666655</v>
      </c>
      <c r="K209" s="101">
        <f t="shared" si="21"/>
        <v>17.377219407703926</v>
      </c>
      <c r="L209" s="97">
        <f t="shared" si="22"/>
        <v>0.25538221426750962</v>
      </c>
      <c r="M209" s="107">
        <f t="shared" si="23"/>
        <v>1.5322932856050577</v>
      </c>
    </row>
    <row r="210" spans="2:13" x14ac:dyDescent="0.2">
      <c r="B210" s="3">
        <v>29</v>
      </c>
      <c r="C210" s="95">
        <v>1</v>
      </c>
      <c r="D210" s="95">
        <v>1</v>
      </c>
      <c r="E210" s="95">
        <v>2</v>
      </c>
      <c r="F210" s="95">
        <v>2</v>
      </c>
      <c r="G210" s="95">
        <v>2</v>
      </c>
      <c r="H210" s="95">
        <v>1</v>
      </c>
      <c r="I210" s="95">
        <v>1</v>
      </c>
      <c r="J210" s="100">
        <f t="shared" si="20"/>
        <v>1.9216666666666657</v>
      </c>
      <c r="K210" s="101">
        <f t="shared" si="21"/>
        <v>18.400579235386246</v>
      </c>
      <c r="L210" s="97">
        <f t="shared" si="22"/>
        <v>0.23068658382063034</v>
      </c>
      <c r="M210" s="107">
        <f t="shared" si="23"/>
        <v>1.3841195029237821</v>
      </c>
    </row>
    <row r="211" spans="2:13" x14ac:dyDescent="0.2">
      <c r="B211" s="3">
        <v>30</v>
      </c>
      <c r="C211" s="95">
        <v>1</v>
      </c>
      <c r="D211" s="95">
        <v>1</v>
      </c>
      <c r="E211" s="95">
        <v>2</v>
      </c>
      <c r="F211" s="95">
        <v>2</v>
      </c>
      <c r="G211" s="95">
        <v>2</v>
      </c>
      <c r="H211" s="95">
        <v>1</v>
      </c>
      <c r="I211" s="95">
        <v>2</v>
      </c>
      <c r="J211" s="100">
        <f t="shared" si="20"/>
        <v>1.9666666666666657</v>
      </c>
      <c r="K211" s="101">
        <f t="shared" si="21"/>
        <v>18.433289182244533</v>
      </c>
      <c r="L211" s="97">
        <f t="shared" si="22"/>
        <v>0.23520374719670245</v>
      </c>
      <c r="M211" s="107">
        <f t="shared" si="23"/>
        <v>1.4112224831802147</v>
      </c>
    </row>
    <row r="212" spans="2:13" x14ac:dyDescent="0.2">
      <c r="B212" s="3">
        <v>31</v>
      </c>
      <c r="C212" s="95">
        <v>1</v>
      </c>
      <c r="D212" s="95">
        <v>1</v>
      </c>
      <c r="E212" s="95">
        <v>2</v>
      </c>
      <c r="F212" s="95">
        <v>2</v>
      </c>
      <c r="G212" s="95">
        <v>2</v>
      </c>
      <c r="H212" s="95">
        <v>2</v>
      </c>
      <c r="I212" s="95">
        <v>1</v>
      </c>
      <c r="J212" s="100">
        <f t="shared" si="20"/>
        <v>1.8449999999999991</v>
      </c>
      <c r="K212" s="101">
        <f t="shared" si="21"/>
        <v>19.617798680662798</v>
      </c>
      <c r="L212" s="97">
        <f t="shared" si="22"/>
        <v>0.19258954483043961</v>
      </c>
      <c r="M212" s="107">
        <f t="shared" si="23"/>
        <v>1.1555372689826378</v>
      </c>
    </row>
    <row r="213" spans="2:13" x14ac:dyDescent="0.2">
      <c r="B213" s="84">
        <v>32</v>
      </c>
      <c r="C213" s="95">
        <v>1</v>
      </c>
      <c r="D213" s="95">
        <v>1</v>
      </c>
      <c r="E213" s="95">
        <v>2</v>
      </c>
      <c r="F213" s="95">
        <v>2</v>
      </c>
      <c r="G213" s="95">
        <v>2</v>
      </c>
      <c r="H213" s="95">
        <v>2</v>
      </c>
      <c r="I213" s="95">
        <v>2</v>
      </c>
      <c r="J213" s="100">
        <f t="shared" si="20"/>
        <v>1.889999999999999</v>
      </c>
      <c r="K213" s="101">
        <f t="shared" si="21"/>
        <v>19.650508627521084</v>
      </c>
      <c r="L213" s="97">
        <f t="shared" si="22"/>
        <v>0.19654689794718425</v>
      </c>
      <c r="M213" s="107">
        <f t="shared" si="23"/>
        <v>1.1792813876831054</v>
      </c>
    </row>
    <row r="214" spans="2:13" x14ac:dyDescent="0.2">
      <c r="B214" s="3">
        <v>33</v>
      </c>
      <c r="C214" s="95">
        <v>1</v>
      </c>
      <c r="D214" s="95">
        <v>2</v>
      </c>
      <c r="E214" s="95">
        <v>1</v>
      </c>
      <c r="F214" s="95">
        <v>1</v>
      </c>
      <c r="G214" s="95">
        <v>1</v>
      </c>
      <c r="H214" s="95">
        <v>1</v>
      </c>
      <c r="I214" s="95">
        <v>1</v>
      </c>
      <c r="J214" s="100">
        <f t="shared" si="20"/>
        <v>2.504999999999999</v>
      </c>
      <c r="K214" s="101">
        <f t="shared" si="21"/>
        <v>27.102208868229997</v>
      </c>
      <c r="L214" s="97">
        <f t="shared" si="22"/>
        <v>0.11056372591224276</v>
      </c>
      <c r="M214" s="107">
        <f t="shared" si="23"/>
        <v>0.66338235547345659</v>
      </c>
    </row>
    <row r="215" spans="2:13" x14ac:dyDescent="0.2">
      <c r="B215" s="3">
        <v>34</v>
      </c>
      <c r="C215" s="95">
        <v>1</v>
      </c>
      <c r="D215" s="95">
        <v>2</v>
      </c>
      <c r="E215" s="95">
        <v>1</v>
      </c>
      <c r="F215" s="95">
        <v>1</v>
      </c>
      <c r="G215" s="95">
        <v>1</v>
      </c>
      <c r="H215" s="95">
        <v>1</v>
      </c>
      <c r="I215" s="95">
        <v>2</v>
      </c>
      <c r="J215" s="100">
        <f t="shared" si="20"/>
        <v>2.5499999999999989</v>
      </c>
      <c r="K215" s="101">
        <f t="shared" si="21"/>
        <v>27.134918815088284</v>
      </c>
      <c r="L215" s="97">
        <f t="shared" si="22"/>
        <v>0.11212701311182877</v>
      </c>
      <c r="M215" s="107">
        <f t="shared" si="23"/>
        <v>0.6727620786709726</v>
      </c>
    </row>
    <row r="216" spans="2:13" x14ac:dyDescent="0.2">
      <c r="B216" s="3">
        <v>35</v>
      </c>
      <c r="C216" s="95">
        <v>1</v>
      </c>
      <c r="D216" s="95">
        <v>2</v>
      </c>
      <c r="E216" s="95">
        <v>1</v>
      </c>
      <c r="F216" s="95">
        <v>1</v>
      </c>
      <c r="G216" s="95">
        <v>1</v>
      </c>
      <c r="H216" s="95">
        <v>2</v>
      </c>
      <c r="I216" s="95">
        <v>1</v>
      </c>
      <c r="J216" s="100">
        <f t="shared" si="20"/>
        <v>2.4283333333333323</v>
      </c>
      <c r="K216" s="101">
        <f t="shared" si="21"/>
        <v>28.319428313506549</v>
      </c>
      <c r="L216" s="97">
        <f t="shared" si="22"/>
        <v>9.3169324119811076E-2</v>
      </c>
      <c r="M216" s="107">
        <f t="shared" si="23"/>
        <v>0.55901594471886651</v>
      </c>
    </row>
    <row r="217" spans="2:13" x14ac:dyDescent="0.2">
      <c r="B217" s="3">
        <v>36</v>
      </c>
      <c r="C217" s="95">
        <v>1</v>
      </c>
      <c r="D217" s="95">
        <v>2</v>
      </c>
      <c r="E217" s="95">
        <v>1</v>
      </c>
      <c r="F217" s="95">
        <v>1</v>
      </c>
      <c r="G217" s="95">
        <v>1</v>
      </c>
      <c r="H217" s="95">
        <v>2</v>
      </c>
      <c r="I217" s="95">
        <v>2</v>
      </c>
      <c r="J217" s="100">
        <f t="shared" si="20"/>
        <v>2.4733333333333323</v>
      </c>
      <c r="K217" s="101">
        <f t="shared" si="21"/>
        <v>28.352138260364836</v>
      </c>
      <c r="L217" s="97">
        <f t="shared" si="22"/>
        <v>9.4539276970019695E-2</v>
      </c>
      <c r="M217" s="107">
        <f t="shared" si="23"/>
        <v>0.5672356618201182</v>
      </c>
    </row>
    <row r="218" spans="2:13" x14ac:dyDescent="0.2">
      <c r="B218" s="3">
        <v>37</v>
      </c>
      <c r="C218" s="95">
        <v>1</v>
      </c>
      <c r="D218" s="95">
        <v>2</v>
      </c>
      <c r="E218" s="95">
        <v>1</v>
      </c>
      <c r="F218" s="95">
        <v>1</v>
      </c>
      <c r="G218" s="95">
        <v>2</v>
      </c>
      <c r="H218" s="95">
        <v>1</v>
      </c>
      <c r="I218" s="95">
        <v>1</v>
      </c>
      <c r="J218" s="100">
        <f t="shared" si="20"/>
        <v>2.5033333333333325</v>
      </c>
      <c r="K218" s="101">
        <f t="shared" si="21"/>
        <v>29.375498088047156</v>
      </c>
      <c r="L218" s="97">
        <f t="shared" si="22"/>
        <v>8.5053783599961921E-2</v>
      </c>
      <c r="M218" s="107">
        <f t="shared" si="23"/>
        <v>0.51032270159977156</v>
      </c>
    </row>
    <row r="219" spans="2:13" x14ac:dyDescent="0.2">
      <c r="B219" s="3">
        <v>38</v>
      </c>
      <c r="C219" s="95">
        <v>1</v>
      </c>
      <c r="D219" s="95">
        <v>2</v>
      </c>
      <c r="E219" s="95">
        <v>1</v>
      </c>
      <c r="F219" s="95">
        <v>1</v>
      </c>
      <c r="G219" s="95">
        <v>2</v>
      </c>
      <c r="H219" s="95">
        <v>1</v>
      </c>
      <c r="I219" s="95">
        <v>2</v>
      </c>
      <c r="J219" s="100">
        <f t="shared" si="20"/>
        <v>2.5483333333333325</v>
      </c>
      <c r="K219" s="101">
        <f t="shared" si="21"/>
        <v>29.408208034905442</v>
      </c>
      <c r="L219" s="97">
        <f t="shared" si="22"/>
        <v>8.6257341628064449E-2</v>
      </c>
      <c r="M219" s="107">
        <f t="shared" si="23"/>
        <v>0.51754404976838675</v>
      </c>
    </row>
    <row r="220" spans="2:13" x14ac:dyDescent="0.2">
      <c r="B220" s="3">
        <v>39</v>
      </c>
      <c r="C220" s="95">
        <v>1</v>
      </c>
      <c r="D220" s="95">
        <v>2</v>
      </c>
      <c r="E220" s="95">
        <v>1</v>
      </c>
      <c r="F220" s="95">
        <v>1</v>
      </c>
      <c r="G220" s="95">
        <v>2</v>
      </c>
      <c r="H220" s="95">
        <v>2</v>
      </c>
      <c r="I220" s="95">
        <v>1</v>
      </c>
      <c r="J220" s="100">
        <f t="shared" si="20"/>
        <v>2.4266666666666659</v>
      </c>
      <c r="K220" s="101">
        <f t="shared" si="21"/>
        <v>30.592717533323704</v>
      </c>
      <c r="L220" s="97">
        <f t="shared" si="22"/>
        <v>7.1669828012108666E-2</v>
      </c>
      <c r="M220" s="107">
        <f t="shared" si="23"/>
        <v>0.430018968072652</v>
      </c>
    </row>
    <row r="221" spans="2:13" x14ac:dyDescent="0.2">
      <c r="B221" s="3">
        <v>40</v>
      </c>
      <c r="C221" s="95">
        <v>1</v>
      </c>
      <c r="D221" s="95">
        <v>2</v>
      </c>
      <c r="E221" s="95">
        <v>1</v>
      </c>
      <c r="F221" s="95">
        <v>1</v>
      </c>
      <c r="G221" s="95">
        <v>2</v>
      </c>
      <c r="H221" s="95">
        <v>2</v>
      </c>
      <c r="I221" s="95">
        <v>2</v>
      </c>
      <c r="J221" s="100">
        <f t="shared" si="20"/>
        <v>2.4716666666666658</v>
      </c>
      <c r="K221" s="101">
        <f t="shared" si="21"/>
        <v>30.625427480181994</v>
      </c>
      <c r="L221" s="97">
        <f t="shared" si="22"/>
        <v>7.2724530342623495E-2</v>
      </c>
      <c r="M221" s="107">
        <f t="shared" si="23"/>
        <v>0.43634718205574097</v>
      </c>
    </row>
    <row r="222" spans="2:13" x14ac:dyDescent="0.2">
      <c r="B222" s="3">
        <v>41</v>
      </c>
      <c r="C222" s="95">
        <v>1</v>
      </c>
      <c r="D222" s="95">
        <v>2</v>
      </c>
      <c r="E222" s="95">
        <v>1</v>
      </c>
      <c r="F222" s="95">
        <v>2</v>
      </c>
      <c r="G222" s="95">
        <v>1</v>
      </c>
      <c r="H222" s="95">
        <v>1</v>
      </c>
      <c r="I222" s="95">
        <v>1</v>
      </c>
      <c r="J222" s="100">
        <f t="shared" si="20"/>
        <v>2.2016666666666658</v>
      </c>
      <c r="K222" s="101">
        <f t="shared" si="21"/>
        <v>20.093621696993235</v>
      </c>
      <c r="L222" s="97">
        <f t="shared" si="22"/>
        <v>0.21759347365789902</v>
      </c>
      <c r="M222" s="107">
        <f t="shared" si="23"/>
        <v>1.3055608419473941</v>
      </c>
    </row>
    <row r="223" spans="2:13" x14ac:dyDescent="0.2">
      <c r="B223" s="3">
        <v>42</v>
      </c>
      <c r="C223" s="95">
        <v>1</v>
      </c>
      <c r="D223" s="95">
        <v>2</v>
      </c>
      <c r="E223" s="95">
        <v>1</v>
      </c>
      <c r="F223" s="95">
        <v>2</v>
      </c>
      <c r="G223" s="95">
        <v>1</v>
      </c>
      <c r="H223" s="95">
        <v>1</v>
      </c>
      <c r="I223" s="95">
        <v>2</v>
      </c>
      <c r="J223" s="100">
        <f t="shared" si="20"/>
        <v>2.2466666666666657</v>
      </c>
      <c r="K223" s="101">
        <f t="shared" si="21"/>
        <v>20.126331643851522</v>
      </c>
      <c r="L223" s="97">
        <f t="shared" si="22"/>
        <v>0.22120789627050194</v>
      </c>
      <c r="M223" s="107">
        <f t="shared" si="23"/>
        <v>1.3272473776230116</v>
      </c>
    </row>
    <row r="224" spans="2:13" x14ac:dyDescent="0.2">
      <c r="B224" s="3">
        <v>43</v>
      </c>
      <c r="C224" s="95">
        <v>1</v>
      </c>
      <c r="D224" s="95">
        <v>2</v>
      </c>
      <c r="E224" s="95">
        <v>1</v>
      </c>
      <c r="F224" s="95">
        <v>2</v>
      </c>
      <c r="G224" s="95">
        <v>1</v>
      </c>
      <c r="H224" s="95">
        <v>2</v>
      </c>
      <c r="I224" s="95">
        <v>1</v>
      </c>
      <c r="J224" s="100">
        <f t="shared" si="20"/>
        <v>2.1249999999999991</v>
      </c>
      <c r="K224" s="101">
        <f t="shared" si="21"/>
        <v>21.310841142269787</v>
      </c>
      <c r="L224" s="97">
        <f t="shared" si="22"/>
        <v>0.18259798059274623</v>
      </c>
      <c r="M224" s="107">
        <f t="shared" si="23"/>
        <v>1.0955878835564774</v>
      </c>
    </row>
    <row r="225" spans="2:13" x14ac:dyDescent="0.2">
      <c r="B225" s="3">
        <v>44</v>
      </c>
      <c r="C225" s="95">
        <v>1</v>
      </c>
      <c r="D225" s="95">
        <v>2</v>
      </c>
      <c r="E225" s="95">
        <v>1</v>
      </c>
      <c r="F225" s="95">
        <v>2</v>
      </c>
      <c r="G225" s="95">
        <v>1</v>
      </c>
      <c r="H225" s="95">
        <v>2</v>
      </c>
      <c r="I225" s="95">
        <v>2</v>
      </c>
      <c r="J225" s="100">
        <f t="shared" si="20"/>
        <v>2.169999999999999</v>
      </c>
      <c r="K225" s="101">
        <f t="shared" si="21"/>
        <v>21.343551089128074</v>
      </c>
      <c r="L225" s="97">
        <f t="shared" si="22"/>
        <v>0.18576490871592827</v>
      </c>
      <c r="M225" s="107">
        <f t="shared" si="23"/>
        <v>1.1145894522955695</v>
      </c>
    </row>
    <row r="226" spans="2:13" x14ac:dyDescent="0.2">
      <c r="B226" s="3">
        <v>45</v>
      </c>
      <c r="C226" s="95">
        <v>1</v>
      </c>
      <c r="D226" s="95">
        <v>2</v>
      </c>
      <c r="E226" s="95">
        <v>1</v>
      </c>
      <c r="F226" s="95">
        <v>2</v>
      </c>
      <c r="G226" s="95">
        <v>2</v>
      </c>
      <c r="H226" s="95">
        <v>1</v>
      </c>
      <c r="I226" s="95">
        <v>1</v>
      </c>
      <c r="J226" s="100">
        <f t="shared" si="20"/>
        <v>2.1999999999999993</v>
      </c>
      <c r="K226" s="101">
        <f t="shared" si="21"/>
        <v>22.366910916810394</v>
      </c>
      <c r="L226" s="97">
        <f t="shared" si="22"/>
        <v>0.16742698598267522</v>
      </c>
      <c r="M226" s="107">
        <f t="shared" si="23"/>
        <v>1.0045619158960513</v>
      </c>
    </row>
    <row r="227" spans="2:13" x14ac:dyDescent="0.2">
      <c r="B227" s="3">
        <v>46</v>
      </c>
      <c r="C227" s="95">
        <v>1</v>
      </c>
      <c r="D227" s="95">
        <v>2</v>
      </c>
      <c r="E227" s="95">
        <v>1</v>
      </c>
      <c r="F227" s="95">
        <v>2</v>
      </c>
      <c r="G227" s="95">
        <v>2</v>
      </c>
      <c r="H227" s="95">
        <v>1</v>
      </c>
      <c r="I227" s="95">
        <v>2</v>
      </c>
      <c r="J227" s="100">
        <f t="shared" si="20"/>
        <v>2.2449999999999992</v>
      </c>
      <c r="K227" s="101">
        <f t="shared" si="21"/>
        <v>22.39962086366868</v>
      </c>
      <c r="L227" s="97">
        <f t="shared" si="22"/>
        <v>0.17021017321367121</v>
      </c>
      <c r="M227" s="107">
        <f t="shared" si="23"/>
        <v>1.0212610392820274</v>
      </c>
    </row>
    <row r="228" spans="2:13" x14ac:dyDescent="0.2">
      <c r="B228" s="3">
        <v>47</v>
      </c>
      <c r="C228" s="95">
        <v>1</v>
      </c>
      <c r="D228" s="95">
        <v>2</v>
      </c>
      <c r="E228" s="95">
        <v>1</v>
      </c>
      <c r="F228" s="95">
        <v>2</v>
      </c>
      <c r="G228" s="95">
        <v>2</v>
      </c>
      <c r="H228" s="95">
        <v>2</v>
      </c>
      <c r="I228" s="95">
        <v>1</v>
      </c>
      <c r="J228" s="100">
        <f t="shared" si="20"/>
        <v>2.1233333333333326</v>
      </c>
      <c r="K228" s="101">
        <f t="shared" si="21"/>
        <v>23.584130362086945</v>
      </c>
      <c r="L228" s="97">
        <f t="shared" si="22"/>
        <v>0.14048225582677859</v>
      </c>
      <c r="M228" s="107">
        <f t="shared" si="23"/>
        <v>0.84289353496067154</v>
      </c>
    </row>
    <row r="229" spans="2:13" x14ac:dyDescent="0.2">
      <c r="B229" s="3">
        <v>48</v>
      </c>
      <c r="C229" s="95">
        <v>1</v>
      </c>
      <c r="D229" s="95">
        <v>2</v>
      </c>
      <c r="E229" s="95">
        <v>1</v>
      </c>
      <c r="F229" s="95">
        <v>2</v>
      </c>
      <c r="G229" s="95">
        <v>2</v>
      </c>
      <c r="H229" s="95">
        <v>2</v>
      </c>
      <c r="I229" s="95">
        <v>2</v>
      </c>
      <c r="J229" s="100">
        <f t="shared" si="20"/>
        <v>2.1683333333333326</v>
      </c>
      <c r="K229" s="101">
        <f t="shared" si="21"/>
        <v>23.616840308945232</v>
      </c>
      <c r="L229" s="97">
        <f t="shared" si="22"/>
        <v>0.14292074456835013</v>
      </c>
      <c r="M229" s="107">
        <f t="shared" si="23"/>
        <v>0.8575244674101008</v>
      </c>
    </row>
    <row r="230" spans="2:13" x14ac:dyDescent="0.2">
      <c r="B230" s="3">
        <v>49</v>
      </c>
      <c r="C230" s="95">
        <v>1</v>
      </c>
      <c r="D230" s="95">
        <v>2</v>
      </c>
      <c r="E230" s="95">
        <v>2</v>
      </c>
      <c r="F230" s="95">
        <v>1</v>
      </c>
      <c r="G230" s="95">
        <v>1</v>
      </c>
      <c r="H230" s="95">
        <v>1</v>
      </c>
      <c r="I230" s="95">
        <v>1</v>
      </c>
      <c r="J230" s="100">
        <f t="shared" si="20"/>
        <v>2.5916666666666655</v>
      </c>
      <c r="K230" s="101">
        <f t="shared" si="21"/>
        <v>24.907739961954519</v>
      </c>
      <c r="L230" s="97">
        <f t="shared" si="22"/>
        <v>0.14724884789843454</v>
      </c>
      <c r="M230" s="107">
        <f t="shared" si="23"/>
        <v>0.88349308739060728</v>
      </c>
    </row>
    <row r="231" spans="2:13" x14ac:dyDescent="0.2">
      <c r="B231" s="3">
        <v>50</v>
      </c>
      <c r="C231" s="95">
        <v>1</v>
      </c>
      <c r="D231" s="95">
        <v>2</v>
      </c>
      <c r="E231" s="95">
        <v>2</v>
      </c>
      <c r="F231" s="95">
        <v>1</v>
      </c>
      <c r="G231" s="95">
        <v>1</v>
      </c>
      <c r="H231" s="95">
        <v>1</v>
      </c>
      <c r="I231" s="95">
        <v>2</v>
      </c>
      <c r="J231" s="100">
        <f t="shared" si="20"/>
        <v>2.6366666666666654</v>
      </c>
      <c r="K231" s="101">
        <f t="shared" si="21"/>
        <v>24.940449908812806</v>
      </c>
      <c r="L231" s="97">
        <f t="shared" si="22"/>
        <v>0.14924285411222551</v>
      </c>
      <c r="M231" s="107">
        <f t="shared" si="23"/>
        <v>0.89545712467335314</v>
      </c>
    </row>
    <row r="232" spans="2:13" x14ac:dyDescent="0.2">
      <c r="B232" s="3">
        <v>51</v>
      </c>
      <c r="C232" s="95">
        <v>1</v>
      </c>
      <c r="D232" s="95">
        <v>2</v>
      </c>
      <c r="E232" s="95">
        <v>2</v>
      </c>
      <c r="F232" s="95">
        <v>1</v>
      </c>
      <c r="G232" s="95">
        <v>1</v>
      </c>
      <c r="H232" s="95">
        <v>2</v>
      </c>
      <c r="I232" s="95">
        <v>1</v>
      </c>
      <c r="J232" s="100">
        <f t="shared" si="20"/>
        <v>2.5149999999999988</v>
      </c>
      <c r="K232" s="101">
        <f t="shared" si="21"/>
        <v>26.124959407231071</v>
      </c>
      <c r="L232" s="97">
        <f t="shared" si="22"/>
        <v>0.12421786175176548</v>
      </c>
      <c r="M232" s="107">
        <f t="shared" si="23"/>
        <v>0.74530717051059292</v>
      </c>
    </row>
    <row r="233" spans="2:13" x14ac:dyDescent="0.2">
      <c r="B233" s="3">
        <v>52</v>
      </c>
      <c r="C233" s="95">
        <v>1</v>
      </c>
      <c r="D233" s="95">
        <v>2</v>
      </c>
      <c r="E233" s="95">
        <v>2</v>
      </c>
      <c r="F233" s="95">
        <v>1</v>
      </c>
      <c r="G233" s="95">
        <v>1</v>
      </c>
      <c r="H233" s="95">
        <v>2</v>
      </c>
      <c r="I233" s="95">
        <v>2</v>
      </c>
      <c r="J233" s="100">
        <f t="shared" si="20"/>
        <v>2.5599999999999987</v>
      </c>
      <c r="K233" s="101">
        <f t="shared" si="21"/>
        <v>26.157669354089357</v>
      </c>
      <c r="L233" s="97">
        <f t="shared" si="22"/>
        <v>0.12596541525326663</v>
      </c>
      <c r="M233" s="107">
        <f t="shared" si="23"/>
        <v>0.75579249151959971</v>
      </c>
    </row>
    <row r="234" spans="2:13" x14ac:dyDescent="0.2">
      <c r="B234" s="3">
        <v>53</v>
      </c>
      <c r="C234" s="95">
        <v>1</v>
      </c>
      <c r="D234" s="95">
        <v>2</v>
      </c>
      <c r="E234" s="95">
        <v>2</v>
      </c>
      <c r="F234" s="95">
        <v>1</v>
      </c>
      <c r="G234" s="95">
        <v>2</v>
      </c>
      <c r="H234" s="95">
        <v>1</v>
      </c>
      <c r="I234" s="95">
        <v>1</v>
      </c>
      <c r="J234" s="100">
        <f t="shared" si="20"/>
        <v>2.589999999999999</v>
      </c>
      <c r="K234" s="101">
        <f t="shared" si="21"/>
        <v>27.181029181771677</v>
      </c>
      <c r="L234" s="97">
        <f t="shared" si="22"/>
        <v>0.11328312100008571</v>
      </c>
      <c r="M234" s="107">
        <f t="shared" si="23"/>
        <v>0.67969872600051429</v>
      </c>
    </row>
    <row r="235" spans="2:13" x14ac:dyDescent="0.2">
      <c r="B235" s="3">
        <v>54</v>
      </c>
      <c r="C235" s="95">
        <v>1</v>
      </c>
      <c r="D235" s="95">
        <v>2</v>
      </c>
      <c r="E235" s="95">
        <v>2</v>
      </c>
      <c r="F235" s="95">
        <v>1</v>
      </c>
      <c r="G235" s="95">
        <v>2</v>
      </c>
      <c r="H235" s="95">
        <v>1</v>
      </c>
      <c r="I235" s="95">
        <v>2</v>
      </c>
      <c r="J235" s="100">
        <f t="shared" si="20"/>
        <v>2.6349999999999989</v>
      </c>
      <c r="K235" s="101">
        <f t="shared" si="21"/>
        <v>27.213739128629964</v>
      </c>
      <c r="L235" s="97">
        <f t="shared" si="22"/>
        <v>0.11481831973331637</v>
      </c>
      <c r="M235" s="107">
        <f t="shared" si="23"/>
        <v>0.68890991839989824</v>
      </c>
    </row>
    <row r="236" spans="2:13" x14ac:dyDescent="0.2">
      <c r="B236" s="3">
        <v>55</v>
      </c>
      <c r="C236" s="95">
        <v>1</v>
      </c>
      <c r="D236" s="95">
        <v>2</v>
      </c>
      <c r="E236" s="95">
        <v>2</v>
      </c>
      <c r="F236" s="95">
        <v>1</v>
      </c>
      <c r="G236" s="95">
        <v>2</v>
      </c>
      <c r="H236" s="95">
        <v>2</v>
      </c>
      <c r="I236" s="95">
        <v>1</v>
      </c>
      <c r="J236" s="100">
        <f t="shared" si="20"/>
        <v>2.5133333333333323</v>
      </c>
      <c r="K236" s="101">
        <f t="shared" si="21"/>
        <v>28.398248627048229</v>
      </c>
      <c r="L236" s="97">
        <f t="shared" si="22"/>
        <v>9.5559720077860025E-2</v>
      </c>
      <c r="M236" s="107">
        <f t="shared" si="23"/>
        <v>0.57335832046716018</v>
      </c>
    </row>
    <row r="237" spans="2:13" x14ac:dyDescent="0.2">
      <c r="B237" s="3">
        <v>56</v>
      </c>
      <c r="C237" s="95">
        <v>1</v>
      </c>
      <c r="D237" s="95">
        <v>2</v>
      </c>
      <c r="E237" s="95">
        <v>2</v>
      </c>
      <c r="F237" s="95">
        <v>1</v>
      </c>
      <c r="G237" s="95">
        <v>2</v>
      </c>
      <c r="H237" s="95">
        <v>2</v>
      </c>
      <c r="I237" s="95">
        <v>2</v>
      </c>
      <c r="J237" s="100">
        <f t="shared" si="20"/>
        <v>2.5583333333333322</v>
      </c>
      <c r="K237" s="101">
        <f t="shared" si="21"/>
        <v>28.430958573906516</v>
      </c>
      <c r="L237" s="97">
        <f t="shared" si="22"/>
        <v>9.6905155084432745E-2</v>
      </c>
      <c r="M237" s="107">
        <f t="shared" si="23"/>
        <v>0.58143093050659644</v>
      </c>
    </row>
    <row r="238" spans="2:13" x14ac:dyDescent="0.2">
      <c r="B238" s="3">
        <v>57</v>
      </c>
      <c r="C238" s="95">
        <v>1</v>
      </c>
      <c r="D238" s="95">
        <v>2</v>
      </c>
      <c r="E238" s="95">
        <v>2</v>
      </c>
      <c r="F238" s="95">
        <v>2</v>
      </c>
      <c r="G238" s="95">
        <v>1</v>
      </c>
      <c r="H238" s="95">
        <v>1</v>
      </c>
      <c r="I238" s="95">
        <v>1</v>
      </c>
      <c r="J238" s="100">
        <f t="shared" si="20"/>
        <v>2.2883333333333318</v>
      </c>
      <c r="K238" s="101">
        <f t="shared" si="21"/>
        <v>17.899152790717757</v>
      </c>
      <c r="L238" s="97">
        <f t="shared" si="22"/>
        <v>0.29097676219657903</v>
      </c>
      <c r="M238" s="107">
        <f t="shared" si="23"/>
        <v>1.7458605731794741</v>
      </c>
    </row>
    <row r="239" spans="2:13" x14ac:dyDescent="0.2">
      <c r="B239" s="3">
        <v>58</v>
      </c>
      <c r="C239" s="95">
        <v>1</v>
      </c>
      <c r="D239" s="95">
        <v>2</v>
      </c>
      <c r="E239" s="95">
        <v>2</v>
      </c>
      <c r="F239" s="95">
        <v>2</v>
      </c>
      <c r="G239" s="95">
        <v>1</v>
      </c>
      <c r="H239" s="95">
        <v>1</v>
      </c>
      <c r="I239" s="95">
        <v>2</v>
      </c>
      <c r="J239" s="100">
        <f t="shared" si="20"/>
        <v>2.3333333333333317</v>
      </c>
      <c r="K239" s="101">
        <f t="shared" si="21"/>
        <v>17.931862737576044</v>
      </c>
      <c r="L239" s="97">
        <f t="shared" si="22"/>
        <v>0.2955871683660079</v>
      </c>
      <c r="M239" s="107">
        <f t="shared" si="23"/>
        <v>1.7735230101960475</v>
      </c>
    </row>
    <row r="240" spans="2:13" x14ac:dyDescent="0.2">
      <c r="B240" s="3">
        <v>59</v>
      </c>
      <c r="C240" s="95">
        <v>1</v>
      </c>
      <c r="D240" s="95">
        <v>2</v>
      </c>
      <c r="E240" s="95">
        <v>2</v>
      </c>
      <c r="F240" s="95">
        <v>2</v>
      </c>
      <c r="G240" s="95">
        <v>1</v>
      </c>
      <c r="H240" s="95">
        <v>2</v>
      </c>
      <c r="I240" s="95">
        <v>1</v>
      </c>
      <c r="J240" s="100">
        <f t="shared" si="20"/>
        <v>2.2116666666666651</v>
      </c>
      <c r="K240" s="101">
        <f t="shared" si="21"/>
        <v>19.116372235994309</v>
      </c>
      <c r="L240" s="97">
        <f t="shared" si="22"/>
        <v>0.24455098899673017</v>
      </c>
      <c r="M240" s="107">
        <f t="shared" si="23"/>
        <v>1.4673059339803811</v>
      </c>
    </row>
    <row r="241" spans="1:59" x14ac:dyDescent="0.2">
      <c r="B241" s="3">
        <v>60</v>
      </c>
      <c r="C241" s="95">
        <v>1</v>
      </c>
      <c r="D241" s="95">
        <v>2</v>
      </c>
      <c r="E241" s="95">
        <v>2</v>
      </c>
      <c r="F241" s="95">
        <v>2</v>
      </c>
      <c r="G241" s="95">
        <v>1</v>
      </c>
      <c r="H241" s="95">
        <v>2</v>
      </c>
      <c r="I241" s="95">
        <v>2</v>
      </c>
      <c r="J241" s="100">
        <f t="shared" si="20"/>
        <v>2.256666666666665</v>
      </c>
      <c r="K241" s="101">
        <f t="shared" si="21"/>
        <v>19.149082182852595</v>
      </c>
      <c r="L241" s="97">
        <f t="shared" si="22"/>
        <v>0.24859114341265173</v>
      </c>
      <c r="M241" s="107">
        <f t="shared" si="23"/>
        <v>1.4915468604759103</v>
      </c>
    </row>
    <row r="242" spans="1:59" x14ac:dyDescent="0.2">
      <c r="B242" s="3">
        <v>61</v>
      </c>
      <c r="C242" s="95">
        <v>1</v>
      </c>
      <c r="D242" s="95">
        <v>2</v>
      </c>
      <c r="E242" s="95">
        <v>2</v>
      </c>
      <c r="F242" s="95">
        <v>2</v>
      </c>
      <c r="G242" s="95">
        <v>2</v>
      </c>
      <c r="H242" s="95">
        <v>1</v>
      </c>
      <c r="I242" s="95">
        <v>1</v>
      </c>
      <c r="J242" s="100">
        <f t="shared" si="20"/>
        <v>2.2866666666666653</v>
      </c>
      <c r="K242" s="101">
        <f t="shared" si="21"/>
        <v>20.172442010534915</v>
      </c>
      <c r="L242" s="97">
        <f t="shared" si="22"/>
        <v>0.22395655220467073</v>
      </c>
      <c r="M242" s="107">
        <f t="shared" si="23"/>
        <v>1.3437393132280244</v>
      </c>
    </row>
    <row r="243" spans="1:59" x14ac:dyDescent="0.2">
      <c r="B243" s="3">
        <v>62</v>
      </c>
      <c r="C243" s="95">
        <v>1</v>
      </c>
      <c r="D243" s="95">
        <v>2</v>
      </c>
      <c r="E243" s="95">
        <v>2</v>
      </c>
      <c r="F243" s="95">
        <v>2</v>
      </c>
      <c r="G243" s="95">
        <v>2</v>
      </c>
      <c r="H243" s="95">
        <v>1</v>
      </c>
      <c r="I243" s="95">
        <v>2</v>
      </c>
      <c r="J243" s="100">
        <f t="shared" si="20"/>
        <v>2.3316666666666652</v>
      </c>
      <c r="K243" s="101">
        <f t="shared" si="21"/>
        <v>20.205151957393202</v>
      </c>
      <c r="L243" s="97">
        <f t="shared" si="22"/>
        <v>0.22750712619164401</v>
      </c>
      <c r="M243" s="107">
        <f t="shared" si="23"/>
        <v>1.365042757149864</v>
      </c>
    </row>
    <row r="244" spans="1:59" x14ac:dyDescent="0.2">
      <c r="B244" s="3">
        <v>63</v>
      </c>
      <c r="C244" s="95">
        <v>1</v>
      </c>
      <c r="D244" s="95">
        <v>2</v>
      </c>
      <c r="E244" s="95">
        <v>2</v>
      </c>
      <c r="F244" s="95">
        <v>2</v>
      </c>
      <c r="G244" s="95">
        <v>2</v>
      </c>
      <c r="H244" s="95">
        <v>2</v>
      </c>
      <c r="I244" s="95">
        <v>1</v>
      </c>
      <c r="J244" s="100">
        <f t="shared" si="20"/>
        <v>2.2099999999999986</v>
      </c>
      <c r="K244" s="101">
        <f t="shared" si="21"/>
        <v>21.389661455811467</v>
      </c>
      <c r="L244" s="97">
        <f t="shared" si="22"/>
        <v>0.18818892494107028</v>
      </c>
      <c r="M244" s="107">
        <f t="shared" si="23"/>
        <v>1.1291335496464217</v>
      </c>
    </row>
    <row r="245" spans="1:59" x14ac:dyDescent="0.2">
      <c r="B245" s="3">
        <v>64</v>
      </c>
      <c r="C245" s="95">
        <v>1</v>
      </c>
      <c r="D245" s="95">
        <v>2</v>
      </c>
      <c r="E245" s="95">
        <v>2</v>
      </c>
      <c r="F245" s="95">
        <v>2</v>
      </c>
      <c r="G245" s="95">
        <v>2</v>
      </c>
      <c r="H245" s="95">
        <v>2</v>
      </c>
      <c r="I245" s="95">
        <v>2</v>
      </c>
      <c r="J245" s="100">
        <f t="shared" si="20"/>
        <v>2.2549999999999986</v>
      </c>
      <c r="K245" s="101">
        <f t="shared" si="21"/>
        <v>21.422371402669754</v>
      </c>
      <c r="L245" s="97">
        <f t="shared" si="22"/>
        <v>0.19130010103811632</v>
      </c>
      <c r="M245" s="107">
        <f t="shared" si="23"/>
        <v>1.1478006062286978</v>
      </c>
    </row>
    <row r="246" spans="1:59" x14ac:dyDescent="0.2">
      <c r="B246" s="3">
        <v>65</v>
      </c>
      <c r="C246" s="95">
        <v>2</v>
      </c>
      <c r="D246" s="95">
        <v>1</v>
      </c>
      <c r="E246" s="95">
        <v>1</v>
      </c>
      <c r="F246" s="95">
        <v>1</v>
      </c>
      <c r="G246" s="95">
        <v>1</v>
      </c>
      <c r="H246" s="95">
        <v>1</v>
      </c>
      <c r="I246" s="95">
        <v>1</v>
      </c>
      <c r="J246" s="100">
        <f t="shared" ref="J246:J309" si="24">$J$28+IF(C246=1,$D$33,$D$34)+IF(D246=1,$D$36,$D$37)+IF(E246=1,$D$39,$D$40)+IF(F246=1,$D$42,$D$43)+IF(G246=1,$D$45,$D$46)+IF(H246=1,$D$48,$D$49)+IF(I246=1,$D$51,$D$52)</f>
        <v>1.8733333333333324</v>
      </c>
      <c r="K246" s="101">
        <f t="shared" ref="K246:K309" si="25">$Q$28+IF(D246=1,$F$33,$F$34)+IF(E246=1,$F$36,$F$37)+IF(F246=1,$F$39,$F$40)+IF(G246=1,$F$42,$F$43)+IF(H246=1,$F$45,$F$46)+IF(I246=1,$F$48,$F$49)+IF(J246=1,$F$51,$F$52)</f>
        <v>25.330346093081328</v>
      </c>
      <c r="L246" s="97">
        <f t="shared" ref="L246:L309" si="26">SQRT((J246^2)/(10^(K246/10)+0.2))</f>
        <v>0.10138425554980753</v>
      </c>
      <c r="M246" s="107">
        <f t="shared" ref="M246:M309" si="27">6*L246</f>
        <v>0.60830553329884518</v>
      </c>
    </row>
    <row r="247" spans="1:59" x14ac:dyDescent="0.2">
      <c r="B247" s="3">
        <v>66</v>
      </c>
      <c r="C247" s="95">
        <v>2</v>
      </c>
      <c r="D247" s="95">
        <v>1</v>
      </c>
      <c r="E247" s="95">
        <v>1</v>
      </c>
      <c r="F247" s="95">
        <v>1</v>
      </c>
      <c r="G247" s="95">
        <v>1</v>
      </c>
      <c r="H247" s="95">
        <v>1</v>
      </c>
      <c r="I247" s="95">
        <v>2</v>
      </c>
      <c r="J247" s="100">
        <f t="shared" si="24"/>
        <v>1.9183333333333323</v>
      </c>
      <c r="K247" s="101">
        <f t="shared" si="25"/>
        <v>25.363056039939615</v>
      </c>
      <c r="L247" s="97">
        <f t="shared" si="26"/>
        <v>0.10342963356774165</v>
      </c>
      <c r="M247" s="107">
        <f t="shared" si="27"/>
        <v>0.62057780140644991</v>
      </c>
    </row>
    <row r="248" spans="1:59" x14ac:dyDescent="0.2">
      <c r="B248" s="3">
        <v>67</v>
      </c>
      <c r="C248" s="95">
        <v>2</v>
      </c>
      <c r="D248" s="95">
        <v>1</v>
      </c>
      <c r="E248" s="95">
        <v>1</v>
      </c>
      <c r="F248" s="95">
        <v>1</v>
      </c>
      <c r="G248" s="95">
        <v>1</v>
      </c>
      <c r="H248" s="95">
        <v>2</v>
      </c>
      <c r="I248" s="95">
        <v>1</v>
      </c>
      <c r="J248" s="100">
        <f t="shared" si="24"/>
        <v>1.7966666666666657</v>
      </c>
      <c r="K248" s="101">
        <f t="shared" si="25"/>
        <v>26.54756553835788</v>
      </c>
      <c r="L248" s="97">
        <f t="shared" si="26"/>
        <v>8.4526539121461811E-2</v>
      </c>
      <c r="M248" s="107">
        <f t="shared" si="27"/>
        <v>0.50715923472877089</v>
      </c>
    </row>
    <row r="249" spans="1:59" x14ac:dyDescent="0.2">
      <c r="B249" s="3">
        <v>68</v>
      </c>
      <c r="C249" s="95">
        <v>2</v>
      </c>
      <c r="D249" s="95">
        <v>1</v>
      </c>
      <c r="E249" s="95">
        <v>1</v>
      </c>
      <c r="F249" s="95">
        <v>1</v>
      </c>
      <c r="G249" s="95">
        <v>1</v>
      </c>
      <c r="H249" s="95">
        <v>2</v>
      </c>
      <c r="I249" s="95">
        <v>2</v>
      </c>
      <c r="J249" s="100">
        <f t="shared" si="24"/>
        <v>1.8416666666666657</v>
      </c>
      <c r="K249" s="101">
        <f t="shared" si="25"/>
        <v>26.580275485216166</v>
      </c>
      <c r="L249" s="97">
        <f t="shared" si="26"/>
        <v>8.6318091314194725E-2</v>
      </c>
      <c r="M249" s="107">
        <f t="shared" si="27"/>
        <v>0.51790854788516838</v>
      </c>
    </row>
    <row r="250" spans="1:59" x14ac:dyDescent="0.2">
      <c r="B250" s="3">
        <v>69</v>
      </c>
      <c r="C250" s="95">
        <v>2</v>
      </c>
      <c r="D250" s="95">
        <v>1</v>
      </c>
      <c r="E250" s="95">
        <v>1</v>
      </c>
      <c r="F250" s="95">
        <v>1</v>
      </c>
      <c r="G250" s="95">
        <v>2</v>
      </c>
      <c r="H250" s="95">
        <v>1</v>
      </c>
      <c r="I250" s="95">
        <v>1</v>
      </c>
      <c r="J250" s="100">
        <f t="shared" si="24"/>
        <v>1.8716666666666659</v>
      </c>
      <c r="K250" s="101">
        <f t="shared" si="25"/>
        <v>27.603635312898486</v>
      </c>
      <c r="L250" s="97">
        <f t="shared" si="26"/>
        <v>7.7977865811484942E-2</v>
      </c>
      <c r="M250" s="107">
        <f t="shared" si="27"/>
        <v>0.46786719486890965</v>
      </c>
    </row>
    <row r="251" spans="1:59" x14ac:dyDescent="0.2">
      <c r="B251" s="3">
        <v>70</v>
      </c>
      <c r="C251" s="95">
        <v>2</v>
      </c>
      <c r="D251" s="95">
        <v>1</v>
      </c>
      <c r="E251" s="95">
        <v>1</v>
      </c>
      <c r="F251" s="95">
        <v>1</v>
      </c>
      <c r="G251" s="95">
        <v>2</v>
      </c>
      <c r="H251" s="95">
        <v>1</v>
      </c>
      <c r="I251" s="95">
        <v>2</v>
      </c>
      <c r="J251" s="100">
        <f t="shared" si="24"/>
        <v>1.9166666666666659</v>
      </c>
      <c r="K251" s="101">
        <f t="shared" si="25"/>
        <v>27.636345259756773</v>
      </c>
      <c r="L251" s="97">
        <f t="shared" si="26"/>
        <v>7.955262178953984E-2</v>
      </c>
      <c r="M251" s="107">
        <f t="shared" si="27"/>
        <v>0.47731573073723904</v>
      </c>
    </row>
    <row r="252" spans="1:59" s="113" customFormat="1" x14ac:dyDescent="0.2">
      <c r="A252"/>
      <c r="B252" s="84">
        <v>71</v>
      </c>
      <c r="C252" s="95">
        <v>2</v>
      </c>
      <c r="D252" s="95">
        <v>1</v>
      </c>
      <c r="E252" s="95">
        <v>1</v>
      </c>
      <c r="F252" s="95">
        <v>1</v>
      </c>
      <c r="G252" s="95">
        <v>2</v>
      </c>
      <c r="H252" s="95">
        <v>2</v>
      </c>
      <c r="I252" s="95">
        <v>1</v>
      </c>
      <c r="J252" s="100">
        <f t="shared" si="24"/>
        <v>1.7949999999999993</v>
      </c>
      <c r="K252" s="101">
        <f t="shared" si="25"/>
        <v>28.820854758175038</v>
      </c>
      <c r="L252" s="97">
        <f t="shared" si="26"/>
        <v>6.5007691735626191E-2</v>
      </c>
      <c r="M252" s="107">
        <f t="shared" si="27"/>
        <v>0.39004615041375712</v>
      </c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</row>
    <row r="253" spans="1:59" x14ac:dyDescent="0.2">
      <c r="B253" s="3">
        <v>72</v>
      </c>
      <c r="C253" s="95">
        <v>2</v>
      </c>
      <c r="D253" s="95">
        <v>1</v>
      </c>
      <c r="E253" s="95">
        <v>1</v>
      </c>
      <c r="F253" s="95">
        <v>1</v>
      </c>
      <c r="G253" s="95">
        <v>2</v>
      </c>
      <c r="H253" s="95">
        <v>2</v>
      </c>
      <c r="I253" s="95">
        <v>2</v>
      </c>
      <c r="J253" s="100">
        <f t="shared" si="24"/>
        <v>1.8399999999999992</v>
      </c>
      <c r="K253" s="101">
        <f t="shared" si="25"/>
        <v>28.853564705033325</v>
      </c>
      <c r="L253" s="97">
        <f t="shared" si="26"/>
        <v>6.6387000341100497E-2</v>
      </c>
      <c r="M253" s="107">
        <f t="shared" si="27"/>
        <v>0.39832200204660295</v>
      </c>
    </row>
    <row r="254" spans="1:59" x14ac:dyDescent="0.2">
      <c r="B254" s="3">
        <v>73</v>
      </c>
      <c r="C254" s="95">
        <v>2</v>
      </c>
      <c r="D254" s="95">
        <v>1</v>
      </c>
      <c r="E254" s="95">
        <v>1</v>
      </c>
      <c r="F254" s="95">
        <v>2</v>
      </c>
      <c r="G254" s="95">
        <v>1</v>
      </c>
      <c r="H254" s="95">
        <v>1</v>
      </c>
      <c r="I254" s="95">
        <v>1</v>
      </c>
      <c r="J254" s="100">
        <f t="shared" si="24"/>
        <v>1.569999999999999</v>
      </c>
      <c r="K254" s="101">
        <f t="shared" si="25"/>
        <v>18.321758921844566</v>
      </c>
      <c r="L254" s="97">
        <f t="shared" si="26"/>
        <v>0.19018378520331924</v>
      </c>
      <c r="M254" s="107">
        <f t="shared" si="27"/>
        <v>1.1411027112199155</v>
      </c>
    </row>
    <row r="255" spans="1:59" x14ac:dyDescent="0.2">
      <c r="B255" s="3">
        <v>74</v>
      </c>
      <c r="C255" s="95">
        <v>2</v>
      </c>
      <c r="D255" s="95">
        <v>1</v>
      </c>
      <c r="E255" s="95">
        <v>1</v>
      </c>
      <c r="F255" s="95">
        <v>2</v>
      </c>
      <c r="G255" s="95">
        <v>1</v>
      </c>
      <c r="H255" s="95">
        <v>1</v>
      </c>
      <c r="I255" s="95">
        <v>2</v>
      </c>
      <c r="J255" s="100">
        <f t="shared" si="24"/>
        <v>1.6149999999999989</v>
      </c>
      <c r="K255" s="101">
        <f t="shared" si="25"/>
        <v>18.354468868702853</v>
      </c>
      <c r="L255" s="97">
        <f t="shared" si="26"/>
        <v>0.19490170827550962</v>
      </c>
      <c r="M255" s="107">
        <f t="shared" si="27"/>
        <v>1.1694102496530578</v>
      </c>
    </row>
    <row r="256" spans="1:59" x14ac:dyDescent="0.2">
      <c r="B256" s="3">
        <v>75</v>
      </c>
      <c r="C256" s="95">
        <v>2</v>
      </c>
      <c r="D256" s="95">
        <v>1</v>
      </c>
      <c r="E256" s="95">
        <v>1</v>
      </c>
      <c r="F256" s="95">
        <v>2</v>
      </c>
      <c r="G256" s="95">
        <v>1</v>
      </c>
      <c r="H256" s="95">
        <v>2</v>
      </c>
      <c r="I256" s="95">
        <v>1</v>
      </c>
      <c r="J256" s="100">
        <f t="shared" si="24"/>
        <v>1.4933333333333323</v>
      </c>
      <c r="K256" s="101">
        <f t="shared" si="25"/>
        <v>19.538978367121118</v>
      </c>
      <c r="L256" s="97">
        <f t="shared" si="26"/>
        <v>0.15729881271520121</v>
      </c>
      <c r="M256" s="107">
        <f t="shared" si="27"/>
        <v>0.94379287629120734</v>
      </c>
    </row>
    <row r="257" spans="2:13" x14ac:dyDescent="0.2">
      <c r="B257" s="3">
        <v>76</v>
      </c>
      <c r="C257" s="95">
        <v>2</v>
      </c>
      <c r="D257" s="95">
        <v>1</v>
      </c>
      <c r="E257" s="95">
        <v>1</v>
      </c>
      <c r="F257" s="95">
        <v>2</v>
      </c>
      <c r="G257" s="95">
        <v>1</v>
      </c>
      <c r="H257" s="95">
        <v>2</v>
      </c>
      <c r="I257" s="95">
        <v>2</v>
      </c>
      <c r="J257" s="100">
        <f t="shared" si="24"/>
        <v>1.5383333333333322</v>
      </c>
      <c r="K257" s="101">
        <f t="shared" si="25"/>
        <v>19.571688313979404</v>
      </c>
      <c r="L257" s="97">
        <f t="shared" si="26"/>
        <v>0.16143111791198217</v>
      </c>
      <c r="M257" s="107">
        <f t="shared" si="27"/>
        <v>0.96858670747189302</v>
      </c>
    </row>
    <row r="258" spans="2:13" x14ac:dyDescent="0.2">
      <c r="B258" s="3">
        <v>77</v>
      </c>
      <c r="C258" s="95">
        <v>2</v>
      </c>
      <c r="D258" s="95">
        <v>1</v>
      </c>
      <c r="E258" s="95">
        <v>1</v>
      </c>
      <c r="F258" s="95">
        <v>2</v>
      </c>
      <c r="G258" s="95">
        <v>2</v>
      </c>
      <c r="H258" s="95">
        <v>1</v>
      </c>
      <c r="I258" s="95">
        <v>1</v>
      </c>
      <c r="J258" s="100">
        <f t="shared" si="24"/>
        <v>1.5683333333333325</v>
      </c>
      <c r="K258" s="101">
        <f t="shared" si="25"/>
        <v>20.595048141661724</v>
      </c>
      <c r="L258" s="97">
        <f t="shared" si="26"/>
        <v>0.14632131972976528</v>
      </c>
      <c r="M258" s="107">
        <f t="shared" si="27"/>
        <v>0.87792791837859174</v>
      </c>
    </row>
    <row r="259" spans="2:13" x14ac:dyDescent="0.2">
      <c r="B259" s="3">
        <v>78</v>
      </c>
      <c r="C259" s="95">
        <v>2</v>
      </c>
      <c r="D259" s="95">
        <v>1</v>
      </c>
      <c r="E259" s="95">
        <v>1</v>
      </c>
      <c r="F259" s="95">
        <v>2</v>
      </c>
      <c r="G259" s="95">
        <v>2</v>
      </c>
      <c r="H259" s="95">
        <v>1</v>
      </c>
      <c r="I259" s="95">
        <v>2</v>
      </c>
      <c r="J259" s="100">
        <f t="shared" si="24"/>
        <v>1.6133333333333324</v>
      </c>
      <c r="K259" s="101">
        <f t="shared" si="25"/>
        <v>20.627758088520011</v>
      </c>
      <c r="L259" s="97">
        <f t="shared" si="26"/>
        <v>0.1499549072771259</v>
      </c>
      <c r="M259" s="107">
        <f t="shared" si="27"/>
        <v>0.89972944366275542</v>
      </c>
    </row>
    <row r="260" spans="2:13" x14ac:dyDescent="0.2">
      <c r="B260" s="3">
        <v>79</v>
      </c>
      <c r="C260" s="95">
        <v>2</v>
      </c>
      <c r="D260" s="95">
        <v>1</v>
      </c>
      <c r="E260" s="95">
        <v>1</v>
      </c>
      <c r="F260" s="95">
        <v>2</v>
      </c>
      <c r="G260" s="95">
        <v>2</v>
      </c>
      <c r="H260" s="95">
        <v>2</v>
      </c>
      <c r="I260" s="95">
        <v>1</v>
      </c>
      <c r="J260" s="100">
        <f t="shared" si="24"/>
        <v>1.4916666666666658</v>
      </c>
      <c r="K260" s="101">
        <f t="shared" si="25"/>
        <v>21.812267586938276</v>
      </c>
      <c r="L260" s="97">
        <f t="shared" si="26"/>
        <v>0.12099640524092625</v>
      </c>
      <c r="M260" s="107">
        <f t="shared" si="27"/>
        <v>0.72597843144555751</v>
      </c>
    </row>
    <row r="261" spans="2:13" x14ac:dyDescent="0.2">
      <c r="B261" s="3">
        <v>80</v>
      </c>
      <c r="C261" s="95">
        <v>2</v>
      </c>
      <c r="D261" s="95">
        <v>1</v>
      </c>
      <c r="E261" s="95">
        <v>1</v>
      </c>
      <c r="F261" s="95">
        <v>2</v>
      </c>
      <c r="G261" s="95">
        <v>2</v>
      </c>
      <c r="H261" s="95">
        <v>2</v>
      </c>
      <c r="I261" s="95">
        <v>2</v>
      </c>
      <c r="J261" s="100">
        <f t="shared" si="24"/>
        <v>1.5366666666666657</v>
      </c>
      <c r="K261" s="101">
        <f t="shared" si="25"/>
        <v>21.844977533796563</v>
      </c>
      <c r="L261" s="97">
        <f t="shared" si="26"/>
        <v>0.12417866891707906</v>
      </c>
      <c r="M261" s="107">
        <f t="shared" si="27"/>
        <v>0.74507201350247432</v>
      </c>
    </row>
    <row r="262" spans="2:13" x14ac:dyDescent="0.2">
      <c r="B262" s="3">
        <v>81</v>
      </c>
      <c r="C262" s="95">
        <v>2</v>
      </c>
      <c r="D262" s="95">
        <v>1</v>
      </c>
      <c r="E262" s="95">
        <v>2</v>
      </c>
      <c r="F262" s="95">
        <v>1</v>
      </c>
      <c r="G262" s="95">
        <v>1</v>
      </c>
      <c r="H262" s="95">
        <v>1</v>
      </c>
      <c r="I262" s="95">
        <v>1</v>
      </c>
      <c r="J262" s="100">
        <f t="shared" si="24"/>
        <v>1.9599999999999989</v>
      </c>
      <c r="K262" s="101">
        <f t="shared" si="25"/>
        <v>23.13587718680585</v>
      </c>
      <c r="L262" s="97">
        <f t="shared" si="26"/>
        <v>0.13653731434478683</v>
      </c>
      <c r="M262" s="107">
        <f t="shared" si="27"/>
        <v>0.81922388606872099</v>
      </c>
    </row>
    <row r="263" spans="2:13" x14ac:dyDescent="0.2">
      <c r="B263" s="3">
        <v>82</v>
      </c>
      <c r="C263" s="95">
        <v>2</v>
      </c>
      <c r="D263" s="95">
        <v>1</v>
      </c>
      <c r="E263" s="95">
        <v>2</v>
      </c>
      <c r="F263" s="95">
        <v>1</v>
      </c>
      <c r="G263" s="95">
        <v>1</v>
      </c>
      <c r="H263" s="95">
        <v>1</v>
      </c>
      <c r="I263" s="95">
        <v>2</v>
      </c>
      <c r="J263" s="100">
        <f t="shared" si="24"/>
        <v>2.004999999999999</v>
      </c>
      <c r="K263" s="101">
        <f t="shared" si="25"/>
        <v>23.168587133664136</v>
      </c>
      <c r="L263" s="97">
        <f t="shared" si="26"/>
        <v>0.13914760823331374</v>
      </c>
      <c r="M263" s="107">
        <f t="shared" si="27"/>
        <v>0.83488564939988241</v>
      </c>
    </row>
    <row r="264" spans="2:13" x14ac:dyDescent="0.2">
      <c r="B264" s="3">
        <v>83</v>
      </c>
      <c r="C264" s="95">
        <v>2</v>
      </c>
      <c r="D264" s="95">
        <v>1</v>
      </c>
      <c r="E264" s="95">
        <v>2</v>
      </c>
      <c r="F264" s="95">
        <v>1</v>
      </c>
      <c r="G264" s="95">
        <v>1</v>
      </c>
      <c r="H264" s="95">
        <v>2</v>
      </c>
      <c r="I264" s="95">
        <v>1</v>
      </c>
      <c r="J264" s="100">
        <f t="shared" si="24"/>
        <v>1.8833333333333322</v>
      </c>
      <c r="K264" s="101">
        <f t="shared" si="25"/>
        <v>24.353096632082401</v>
      </c>
      <c r="L264" s="97">
        <f t="shared" si="26"/>
        <v>0.11405465757824859</v>
      </c>
      <c r="M264" s="107">
        <f t="shared" si="27"/>
        <v>0.68432794546949149</v>
      </c>
    </row>
    <row r="265" spans="2:13" x14ac:dyDescent="0.2">
      <c r="B265" s="3">
        <v>84</v>
      </c>
      <c r="C265" s="95">
        <v>2</v>
      </c>
      <c r="D265" s="95">
        <v>1</v>
      </c>
      <c r="E265" s="95">
        <v>2</v>
      </c>
      <c r="F265" s="95">
        <v>1</v>
      </c>
      <c r="G265" s="95">
        <v>1</v>
      </c>
      <c r="H265" s="95">
        <v>2</v>
      </c>
      <c r="I265" s="95">
        <v>2</v>
      </c>
      <c r="J265" s="100">
        <f t="shared" si="24"/>
        <v>1.9283333333333321</v>
      </c>
      <c r="K265" s="101">
        <f t="shared" si="25"/>
        <v>24.385806578940688</v>
      </c>
      <c r="L265" s="97">
        <f t="shared" si="26"/>
        <v>0.1163412265844322</v>
      </c>
      <c r="M265" s="107">
        <f t="shared" si="27"/>
        <v>0.69804735950659325</v>
      </c>
    </row>
    <row r="266" spans="2:13" x14ac:dyDescent="0.2">
      <c r="B266" s="3">
        <v>85</v>
      </c>
      <c r="C266" s="95">
        <v>2</v>
      </c>
      <c r="D266" s="95">
        <v>1</v>
      </c>
      <c r="E266" s="95">
        <v>2</v>
      </c>
      <c r="F266" s="95">
        <v>1</v>
      </c>
      <c r="G266" s="95">
        <v>2</v>
      </c>
      <c r="H266" s="95">
        <v>1</v>
      </c>
      <c r="I266" s="95">
        <v>1</v>
      </c>
      <c r="J266" s="100">
        <f t="shared" si="24"/>
        <v>1.9583333333333324</v>
      </c>
      <c r="K266" s="101">
        <f t="shared" si="25"/>
        <v>25.409166406623008</v>
      </c>
      <c r="L266" s="97">
        <f t="shared" si="26"/>
        <v>0.10502757643581126</v>
      </c>
      <c r="M266" s="107">
        <f t="shared" si="27"/>
        <v>0.6301654586148675</v>
      </c>
    </row>
    <row r="267" spans="2:13" x14ac:dyDescent="0.2">
      <c r="B267" s="3">
        <v>86</v>
      </c>
      <c r="C267" s="95">
        <v>2</v>
      </c>
      <c r="D267" s="95">
        <v>1</v>
      </c>
      <c r="E267" s="95">
        <v>2</v>
      </c>
      <c r="F267" s="95">
        <v>1</v>
      </c>
      <c r="G267" s="95">
        <v>2</v>
      </c>
      <c r="H267" s="95">
        <v>1</v>
      </c>
      <c r="I267" s="95">
        <v>2</v>
      </c>
      <c r="J267" s="100">
        <f t="shared" si="24"/>
        <v>2.0033333333333321</v>
      </c>
      <c r="K267" s="101">
        <f t="shared" si="25"/>
        <v>25.441876353481295</v>
      </c>
      <c r="L267" s="97">
        <f t="shared" si="26"/>
        <v>0.1070373590295054</v>
      </c>
      <c r="M267" s="107">
        <f t="shared" si="27"/>
        <v>0.64222415417703238</v>
      </c>
    </row>
    <row r="268" spans="2:13" x14ac:dyDescent="0.2">
      <c r="B268" s="3">
        <v>87</v>
      </c>
      <c r="C268" s="95">
        <v>2</v>
      </c>
      <c r="D268" s="95">
        <v>1</v>
      </c>
      <c r="E268" s="95">
        <v>2</v>
      </c>
      <c r="F268" s="95">
        <v>1</v>
      </c>
      <c r="G268" s="95">
        <v>2</v>
      </c>
      <c r="H268" s="95">
        <v>2</v>
      </c>
      <c r="I268" s="95">
        <v>1</v>
      </c>
      <c r="J268" s="100">
        <f t="shared" si="24"/>
        <v>1.8816666666666657</v>
      </c>
      <c r="K268" s="101">
        <f t="shared" si="25"/>
        <v>26.62638585189956</v>
      </c>
      <c r="L268" s="97">
        <f t="shared" si="26"/>
        <v>8.7726132148453845E-2</v>
      </c>
      <c r="M268" s="107">
        <f t="shared" si="27"/>
        <v>0.52635679289072312</v>
      </c>
    </row>
    <row r="269" spans="2:13" x14ac:dyDescent="0.2">
      <c r="B269" s="3">
        <v>88</v>
      </c>
      <c r="C269" s="95">
        <v>2</v>
      </c>
      <c r="D269" s="95">
        <v>1</v>
      </c>
      <c r="E269" s="95">
        <v>2</v>
      </c>
      <c r="F269" s="95">
        <v>1</v>
      </c>
      <c r="G269" s="95">
        <v>2</v>
      </c>
      <c r="H269" s="95">
        <v>2</v>
      </c>
      <c r="I269" s="95">
        <v>2</v>
      </c>
      <c r="J269" s="100">
        <f t="shared" si="24"/>
        <v>1.9266666666666656</v>
      </c>
      <c r="K269" s="101">
        <f t="shared" si="25"/>
        <v>26.659095798757846</v>
      </c>
      <c r="L269" s="97">
        <f t="shared" si="26"/>
        <v>8.9486615914827747E-2</v>
      </c>
      <c r="M269" s="107">
        <f t="shared" si="27"/>
        <v>0.53691969548896645</v>
      </c>
    </row>
    <row r="270" spans="2:13" x14ac:dyDescent="0.2">
      <c r="B270" s="3">
        <v>89</v>
      </c>
      <c r="C270" s="95">
        <v>2</v>
      </c>
      <c r="D270" s="95">
        <v>1</v>
      </c>
      <c r="E270" s="95">
        <v>2</v>
      </c>
      <c r="F270" s="95">
        <v>2</v>
      </c>
      <c r="G270" s="95">
        <v>1</v>
      </c>
      <c r="H270" s="95">
        <v>1</v>
      </c>
      <c r="I270" s="95">
        <v>1</v>
      </c>
      <c r="J270" s="100">
        <f t="shared" si="24"/>
        <v>1.6566666666666654</v>
      </c>
      <c r="K270" s="101">
        <f t="shared" si="25"/>
        <v>16.127290015569088</v>
      </c>
      <c r="L270" s="97">
        <f t="shared" si="26"/>
        <v>0.25811534276312204</v>
      </c>
      <c r="M270" s="107">
        <f t="shared" si="27"/>
        <v>1.5486920565787323</v>
      </c>
    </row>
    <row r="271" spans="2:13" x14ac:dyDescent="0.2">
      <c r="B271" s="3">
        <v>90</v>
      </c>
      <c r="C271" s="95">
        <v>2</v>
      </c>
      <c r="D271" s="95">
        <v>1</v>
      </c>
      <c r="E271" s="95">
        <v>2</v>
      </c>
      <c r="F271" s="95">
        <v>2</v>
      </c>
      <c r="G271" s="95">
        <v>1</v>
      </c>
      <c r="H271" s="95">
        <v>1</v>
      </c>
      <c r="I271" s="95">
        <v>2</v>
      </c>
      <c r="J271" s="100">
        <f t="shared" si="24"/>
        <v>1.7016666666666653</v>
      </c>
      <c r="K271" s="101">
        <f t="shared" si="25"/>
        <v>16.159999962427374</v>
      </c>
      <c r="L271" s="97">
        <f t="shared" si="26"/>
        <v>0.26413478037132843</v>
      </c>
      <c r="M271" s="107">
        <f t="shared" si="27"/>
        <v>1.5848086822279706</v>
      </c>
    </row>
    <row r="272" spans="2:13" x14ac:dyDescent="0.2">
      <c r="B272" s="3">
        <v>91</v>
      </c>
      <c r="C272" s="95">
        <v>2</v>
      </c>
      <c r="D272" s="95">
        <v>1</v>
      </c>
      <c r="E272" s="95">
        <v>2</v>
      </c>
      <c r="F272" s="95">
        <v>2</v>
      </c>
      <c r="G272" s="95">
        <v>1</v>
      </c>
      <c r="H272" s="95">
        <v>2</v>
      </c>
      <c r="I272" s="95">
        <v>1</v>
      </c>
      <c r="J272" s="100">
        <f t="shared" si="24"/>
        <v>1.5799999999999987</v>
      </c>
      <c r="K272" s="101">
        <f t="shared" si="25"/>
        <v>17.344509460845639</v>
      </c>
      <c r="L272" s="97">
        <f t="shared" si="26"/>
        <v>0.21410787302386103</v>
      </c>
      <c r="M272" s="107">
        <f t="shared" si="27"/>
        <v>1.2846472381431662</v>
      </c>
    </row>
    <row r="273" spans="2:13" x14ac:dyDescent="0.2">
      <c r="B273" s="3">
        <v>92</v>
      </c>
      <c r="C273" s="95">
        <v>2</v>
      </c>
      <c r="D273" s="95">
        <v>1</v>
      </c>
      <c r="E273" s="95">
        <v>2</v>
      </c>
      <c r="F273" s="95">
        <v>2</v>
      </c>
      <c r="G273" s="95">
        <v>1</v>
      </c>
      <c r="H273" s="95">
        <v>2</v>
      </c>
      <c r="I273" s="95">
        <v>2</v>
      </c>
      <c r="J273" s="100">
        <f t="shared" si="24"/>
        <v>1.6249999999999987</v>
      </c>
      <c r="K273" s="101">
        <f t="shared" si="25"/>
        <v>17.377219407703926</v>
      </c>
      <c r="L273" s="97">
        <f t="shared" si="26"/>
        <v>0.21938119727825711</v>
      </c>
      <c r="M273" s="107">
        <f t="shared" si="27"/>
        <v>1.3162871836695427</v>
      </c>
    </row>
    <row r="274" spans="2:13" x14ac:dyDescent="0.2">
      <c r="B274" s="3">
        <v>93</v>
      </c>
      <c r="C274" s="95">
        <v>2</v>
      </c>
      <c r="D274" s="95">
        <v>1</v>
      </c>
      <c r="E274" s="95">
        <v>2</v>
      </c>
      <c r="F274" s="95">
        <v>2</v>
      </c>
      <c r="G274" s="95">
        <v>2</v>
      </c>
      <c r="H274" s="95">
        <v>1</v>
      </c>
      <c r="I274" s="95">
        <v>1</v>
      </c>
      <c r="J274" s="100">
        <f t="shared" si="24"/>
        <v>1.6549999999999989</v>
      </c>
      <c r="K274" s="101">
        <f t="shared" si="25"/>
        <v>18.400579235386246</v>
      </c>
      <c r="L274" s="97">
        <f t="shared" si="26"/>
        <v>0.19867456871976227</v>
      </c>
      <c r="M274" s="107">
        <f t="shared" si="27"/>
        <v>1.1920474123185736</v>
      </c>
    </row>
    <row r="275" spans="2:13" x14ac:dyDescent="0.2">
      <c r="B275" s="3">
        <v>94</v>
      </c>
      <c r="C275" s="95">
        <v>2</v>
      </c>
      <c r="D275" s="95">
        <v>1</v>
      </c>
      <c r="E275" s="95">
        <v>2</v>
      </c>
      <c r="F275" s="95">
        <v>2</v>
      </c>
      <c r="G275" s="95">
        <v>2</v>
      </c>
      <c r="H275" s="95">
        <v>1</v>
      </c>
      <c r="I275" s="95">
        <v>2</v>
      </c>
      <c r="J275" s="100">
        <f t="shared" si="24"/>
        <v>1.6999999999999988</v>
      </c>
      <c r="K275" s="101">
        <f t="shared" si="25"/>
        <v>18.433289182244533</v>
      </c>
      <c r="L275" s="97">
        <f t="shared" si="26"/>
        <v>0.20331171367850545</v>
      </c>
      <c r="M275" s="107">
        <f t="shared" si="27"/>
        <v>1.2198702820710328</v>
      </c>
    </row>
    <row r="276" spans="2:13" x14ac:dyDescent="0.2">
      <c r="B276" s="3">
        <v>95</v>
      </c>
      <c r="C276" s="95">
        <v>2</v>
      </c>
      <c r="D276" s="95">
        <v>1</v>
      </c>
      <c r="E276" s="95">
        <v>2</v>
      </c>
      <c r="F276" s="95">
        <v>2</v>
      </c>
      <c r="G276" s="95">
        <v>2</v>
      </c>
      <c r="H276" s="95">
        <v>2</v>
      </c>
      <c r="I276" s="95">
        <v>1</v>
      </c>
      <c r="J276" s="100">
        <f t="shared" si="24"/>
        <v>1.5783333333333323</v>
      </c>
      <c r="K276" s="101">
        <f t="shared" si="25"/>
        <v>19.617798680662798</v>
      </c>
      <c r="L276" s="97">
        <f t="shared" si="26"/>
        <v>0.16475365759207433</v>
      </c>
      <c r="M276" s="107">
        <f t="shared" si="27"/>
        <v>0.98852194555244599</v>
      </c>
    </row>
    <row r="277" spans="2:13" x14ac:dyDescent="0.2">
      <c r="B277" s="3">
        <v>96</v>
      </c>
      <c r="C277" s="95">
        <v>2</v>
      </c>
      <c r="D277" s="95">
        <v>1</v>
      </c>
      <c r="E277" s="95">
        <v>2</v>
      </c>
      <c r="F277" s="95">
        <v>2</v>
      </c>
      <c r="G277" s="95">
        <v>2</v>
      </c>
      <c r="H277" s="95">
        <v>2</v>
      </c>
      <c r="I277" s="95">
        <v>2</v>
      </c>
      <c r="J277" s="100">
        <f t="shared" si="24"/>
        <v>1.6233333333333322</v>
      </c>
      <c r="K277" s="101">
        <f t="shared" si="25"/>
        <v>19.650508627521084</v>
      </c>
      <c r="L277" s="97">
        <f t="shared" si="26"/>
        <v>0.16881541322800478</v>
      </c>
      <c r="M277" s="107">
        <f t="shared" si="27"/>
        <v>1.0128924793680287</v>
      </c>
    </row>
    <row r="278" spans="2:13" x14ac:dyDescent="0.2">
      <c r="B278" s="3">
        <v>97</v>
      </c>
      <c r="C278" s="95">
        <v>2</v>
      </c>
      <c r="D278" s="95">
        <v>2</v>
      </c>
      <c r="E278" s="95">
        <v>1</v>
      </c>
      <c r="F278" s="95">
        <v>1</v>
      </c>
      <c r="G278" s="95">
        <v>1</v>
      </c>
      <c r="H278" s="95">
        <v>1</v>
      </c>
      <c r="I278" s="95">
        <v>1</v>
      </c>
      <c r="J278" s="100">
        <f t="shared" si="24"/>
        <v>2.2383333333333324</v>
      </c>
      <c r="K278" s="101">
        <f t="shared" si="25"/>
        <v>27.102208868229997</v>
      </c>
      <c r="L278" s="97">
        <f t="shared" si="26"/>
        <v>9.8793801663434488E-2</v>
      </c>
      <c r="M278" s="107">
        <f t="shared" si="27"/>
        <v>0.59276280998060693</v>
      </c>
    </row>
    <row r="279" spans="2:13" x14ac:dyDescent="0.2">
      <c r="B279" s="3">
        <v>98</v>
      </c>
      <c r="C279" s="95">
        <v>2</v>
      </c>
      <c r="D279" s="95">
        <v>2</v>
      </c>
      <c r="E279" s="95">
        <v>1</v>
      </c>
      <c r="F279" s="95">
        <v>1</v>
      </c>
      <c r="G279" s="95">
        <v>1</v>
      </c>
      <c r="H279" s="95">
        <v>1</v>
      </c>
      <c r="I279" s="95">
        <v>2</v>
      </c>
      <c r="J279" s="100">
        <f t="shared" si="24"/>
        <v>2.2833333333333323</v>
      </c>
      <c r="K279" s="101">
        <f t="shared" si="25"/>
        <v>27.134918815088284</v>
      </c>
      <c r="L279" s="97">
        <f t="shared" si="26"/>
        <v>0.1004013123942519</v>
      </c>
      <c r="M279" s="107">
        <f t="shared" si="27"/>
        <v>0.60240787436551146</v>
      </c>
    </row>
    <row r="280" spans="2:13" x14ac:dyDescent="0.2">
      <c r="B280" s="3">
        <v>99</v>
      </c>
      <c r="C280" s="95">
        <v>2</v>
      </c>
      <c r="D280" s="95">
        <v>2</v>
      </c>
      <c r="E280" s="95">
        <v>1</v>
      </c>
      <c r="F280" s="95">
        <v>1</v>
      </c>
      <c r="G280" s="95">
        <v>1</v>
      </c>
      <c r="H280" s="95">
        <v>2</v>
      </c>
      <c r="I280" s="95">
        <v>1</v>
      </c>
      <c r="J280" s="100">
        <f t="shared" si="24"/>
        <v>2.1616666666666657</v>
      </c>
      <c r="K280" s="101">
        <f t="shared" si="25"/>
        <v>28.319428313506549</v>
      </c>
      <c r="L280" s="97">
        <f t="shared" si="26"/>
        <v>8.2937963887024679E-2</v>
      </c>
      <c r="M280" s="107">
        <f t="shared" si="27"/>
        <v>0.49762778332214808</v>
      </c>
    </row>
    <row r="281" spans="2:13" x14ac:dyDescent="0.2">
      <c r="B281" s="3">
        <v>100</v>
      </c>
      <c r="C281" s="95">
        <v>2</v>
      </c>
      <c r="D281" s="95">
        <v>2</v>
      </c>
      <c r="E281" s="95">
        <v>1</v>
      </c>
      <c r="F281" s="95">
        <v>1</v>
      </c>
      <c r="G281" s="95">
        <v>1</v>
      </c>
      <c r="H281" s="95">
        <v>2</v>
      </c>
      <c r="I281" s="95">
        <v>2</v>
      </c>
      <c r="J281" s="100">
        <f t="shared" si="24"/>
        <v>2.2066666666666657</v>
      </c>
      <c r="K281" s="101">
        <f t="shared" si="25"/>
        <v>28.352138260364836</v>
      </c>
      <c r="L281" s="97">
        <f t="shared" si="26"/>
        <v>8.4346363010987926E-2</v>
      </c>
      <c r="M281" s="107">
        <f t="shared" si="27"/>
        <v>0.50607817806592759</v>
      </c>
    </row>
    <row r="282" spans="2:13" x14ac:dyDescent="0.2">
      <c r="B282" s="3">
        <v>101</v>
      </c>
      <c r="C282" s="95">
        <v>2</v>
      </c>
      <c r="D282" s="95">
        <v>2</v>
      </c>
      <c r="E282" s="95">
        <v>1</v>
      </c>
      <c r="F282" s="95">
        <v>1</v>
      </c>
      <c r="G282" s="95">
        <v>2</v>
      </c>
      <c r="H282" s="95">
        <v>1</v>
      </c>
      <c r="I282" s="95">
        <v>1</v>
      </c>
      <c r="J282" s="100">
        <f t="shared" si="24"/>
        <v>2.2366666666666659</v>
      </c>
      <c r="K282" s="101">
        <f t="shared" si="25"/>
        <v>29.375498088047156</v>
      </c>
      <c r="L282" s="97">
        <f t="shared" si="26"/>
        <v>7.5993460446836802E-2</v>
      </c>
      <c r="M282" s="107">
        <f t="shared" si="27"/>
        <v>0.45596076268102081</v>
      </c>
    </row>
    <row r="283" spans="2:13" x14ac:dyDescent="0.2">
      <c r="B283" s="3">
        <v>102</v>
      </c>
      <c r="C283" s="95">
        <v>2</v>
      </c>
      <c r="D283" s="95">
        <v>2</v>
      </c>
      <c r="E283" s="95">
        <v>1</v>
      </c>
      <c r="F283" s="95">
        <v>1</v>
      </c>
      <c r="G283" s="95">
        <v>2</v>
      </c>
      <c r="H283" s="95">
        <v>1</v>
      </c>
      <c r="I283" s="95">
        <v>2</v>
      </c>
      <c r="J283" s="100">
        <f t="shared" si="24"/>
        <v>2.2816666666666658</v>
      </c>
      <c r="K283" s="101">
        <f t="shared" si="25"/>
        <v>29.408208034905442</v>
      </c>
      <c r="L283" s="97">
        <f t="shared" si="26"/>
        <v>7.7231066506749657E-2</v>
      </c>
      <c r="M283" s="107">
        <f t="shared" si="27"/>
        <v>0.46338639904049794</v>
      </c>
    </row>
    <row r="284" spans="2:13" x14ac:dyDescent="0.2">
      <c r="B284" s="3">
        <v>103</v>
      </c>
      <c r="C284" s="95">
        <v>2</v>
      </c>
      <c r="D284" s="95">
        <v>2</v>
      </c>
      <c r="E284" s="95">
        <v>1</v>
      </c>
      <c r="F284" s="95">
        <v>1</v>
      </c>
      <c r="G284" s="95">
        <v>2</v>
      </c>
      <c r="H284" s="95">
        <v>2</v>
      </c>
      <c r="I284" s="95">
        <v>1</v>
      </c>
      <c r="J284" s="100">
        <f t="shared" si="24"/>
        <v>2.1599999999999993</v>
      </c>
      <c r="K284" s="101">
        <f t="shared" si="25"/>
        <v>30.592717533323704</v>
      </c>
      <c r="L284" s="97">
        <f t="shared" si="26"/>
        <v>6.3794022736052766E-2</v>
      </c>
      <c r="M284" s="107">
        <f t="shared" si="27"/>
        <v>0.38276413641631657</v>
      </c>
    </row>
    <row r="285" spans="2:13" x14ac:dyDescent="0.2">
      <c r="B285" s="3">
        <v>104</v>
      </c>
      <c r="C285" s="95">
        <v>2</v>
      </c>
      <c r="D285" s="95">
        <v>2</v>
      </c>
      <c r="E285" s="95">
        <v>1</v>
      </c>
      <c r="F285" s="95">
        <v>1</v>
      </c>
      <c r="G285" s="95">
        <v>2</v>
      </c>
      <c r="H285" s="95">
        <v>2</v>
      </c>
      <c r="I285" s="95">
        <v>2</v>
      </c>
      <c r="J285" s="100">
        <f t="shared" si="24"/>
        <v>2.2049999999999992</v>
      </c>
      <c r="K285" s="101">
        <f t="shared" si="25"/>
        <v>30.625427480181994</v>
      </c>
      <c r="L285" s="97">
        <f t="shared" si="26"/>
        <v>6.487832342770794E-2</v>
      </c>
      <c r="M285" s="107">
        <f t="shared" si="27"/>
        <v>0.38926994056624764</v>
      </c>
    </row>
    <row r="286" spans="2:13" x14ac:dyDescent="0.2">
      <c r="B286" s="3">
        <v>105</v>
      </c>
      <c r="C286" s="95">
        <v>2</v>
      </c>
      <c r="D286" s="95">
        <v>2</v>
      </c>
      <c r="E286" s="95">
        <v>1</v>
      </c>
      <c r="F286" s="95">
        <v>2</v>
      </c>
      <c r="G286" s="95">
        <v>1</v>
      </c>
      <c r="H286" s="95">
        <v>1</v>
      </c>
      <c r="I286" s="95">
        <v>1</v>
      </c>
      <c r="J286" s="100">
        <f t="shared" si="24"/>
        <v>1.9349999999999989</v>
      </c>
      <c r="K286" s="101">
        <f t="shared" si="25"/>
        <v>20.093621696993235</v>
      </c>
      <c r="L286" s="97">
        <f t="shared" si="26"/>
        <v>0.19123847306345249</v>
      </c>
      <c r="M286" s="107">
        <f t="shared" si="27"/>
        <v>1.147430838380715</v>
      </c>
    </row>
    <row r="287" spans="2:13" x14ac:dyDescent="0.2">
      <c r="B287" s="3">
        <v>106</v>
      </c>
      <c r="C287" s="95">
        <v>2</v>
      </c>
      <c r="D287" s="95">
        <v>2</v>
      </c>
      <c r="E287" s="95">
        <v>1</v>
      </c>
      <c r="F287" s="95">
        <v>2</v>
      </c>
      <c r="G287" s="95">
        <v>1</v>
      </c>
      <c r="H287" s="95">
        <v>1</v>
      </c>
      <c r="I287" s="95">
        <v>2</v>
      </c>
      <c r="J287" s="100">
        <f t="shared" si="24"/>
        <v>1.9799999999999989</v>
      </c>
      <c r="K287" s="101">
        <f t="shared" si="25"/>
        <v>20.126331643851522</v>
      </c>
      <c r="L287" s="97">
        <f t="shared" si="26"/>
        <v>0.19495176614937409</v>
      </c>
      <c r="M287" s="107">
        <f t="shared" si="27"/>
        <v>1.1697105968962447</v>
      </c>
    </row>
    <row r="288" spans="2:13" x14ac:dyDescent="0.2">
      <c r="B288" s="3">
        <v>107</v>
      </c>
      <c r="C288" s="95">
        <v>2</v>
      </c>
      <c r="D288" s="95">
        <v>2</v>
      </c>
      <c r="E288" s="95">
        <v>1</v>
      </c>
      <c r="F288" s="95">
        <v>2</v>
      </c>
      <c r="G288" s="95">
        <v>1</v>
      </c>
      <c r="H288" s="95">
        <v>2</v>
      </c>
      <c r="I288" s="95">
        <v>1</v>
      </c>
      <c r="J288" s="100">
        <f t="shared" si="24"/>
        <v>1.8583333333333323</v>
      </c>
      <c r="K288" s="101">
        <f t="shared" si="25"/>
        <v>21.310841142269787</v>
      </c>
      <c r="L288" s="97">
        <f t="shared" si="26"/>
        <v>0.15968372420463686</v>
      </c>
      <c r="M288" s="107">
        <f t="shared" si="27"/>
        <v>0.95810234522782123</v>
      </c>
    </row>
    <row r="289" spans="2:13" x14ac:dyDescent="0.2">
      <c r="B289" s="3">
        <v>108</v>
      </c>
      <c r="C289" s="95">
        <v>2</v>
      </c>
      <c r="D289" s="95">
        <v>2</v>
      </c>
      <c r="E289" s="95">
        <v>1</v>
      </c>
      <c r="F289" s="95">
        <v>2</v>
      </c>
      <c r="G289" s="95">
        <v>1</v>
      </c>
      <c r="H289" s="95">
        <v>2</v>
      </c>
      <c r="I289" s="95">
        <v>2</v>
      </c>
      <c r="J289" s="100">
        <f t="shared" si="24"/>
        <v>1.9033333333333322</v>
      </c>
      <c r="K289" s="101">
        <f t="shared" si="25"/>
        <v>21.343551089128074</v>
      </c>
      <c r="L289" s="97">
        <f t="shared" si="26"/>
        <v>0.16293665572472354</v>
      </c>
      <c r="M289" s="107">
        <f t="shared" si="27"/>
        <v>0.97761993434834127</v>
      </c>
    </row>
    <row r="290" spans="2:13" x14ac:dyDescent="0.2">
      <c r="B290" s="3">
        <v>109</v>
      </c>
      <c r="C290" s="95">
        <v>2</v>
      </c>
      <c r="D290" s="95">
        <v>2</v>
      </c>
      <c r="E290" s="95">
        <v>1</v>
      </c>
      <c r="F290" s="95">
        <v>2</v>
      </c>
      <c r="G290" s="95">
        <v>2</v>
      </c>
      <c r="H290" s="95">
        <v>1</v>
      </c>
      <c r="I290" s="95">
        <v>1</v>
      </c>
      <c r="J290" s="100">
        <f t="shared" si="24"/>
        <v>1.9333333333333325</v>
      </c>
      <c r="K290" s="101">
        <f t="shared" si="25"/>
        <v>22.366910916810394</v>
      </c>
      <c r="L290" s="97">
        <f t="shared" si="26"/>
        <v>0.14713280586356306</v>
      </c>
      <c r="M290" s="107">
        <f t="shared" si="27"/>
        <v>0.88279683518137841</v>
      </c>
    </row>
    <row r="291" spans="2:13" x14ac:dyDescent="0.2">
      <c r="B291" s="84">
        <v>110</v>
      </c>
      <c r="C291" s="95">
        <v>2</v>
      </c>
      <c r="D291" s="95">
        <v>2</v>
      </c>
      <c r="E291" s="95">
        <v>1</v>
      </c>
      <c r="F291" s="95">
        <v>2</v>
      </c>
      <c r="G291" s="95">
        <v>2</v>
      </c>
      <c r="H291" s="95">
        <v>1</v>
      </c>
      <c r="I291" s="95">
        <v>2</v>
      </c>
      <c r="J291" s="100">
        <f t="shared" si="24"/>
        <v>1.9783333333333324</v>
      </c>
      <c r="K291" s="101">
        <f t="shared" si="25"/>
        <v>22.39962086366868</v>
      </c>
      <c r="L291" s="97">
        <f t="shared" si="26"/>
        <v>0.14999218678888471</v>
      </c>
      <c r="M291" s="107">
        <f t="shared" si="27"/>
        <v>0.89995312073330824</v>
      </c>
    </row>
    <row r="292" spans="2:13" x14ac:dyDescent="0.2">
      <c r="B292" s="3">
        <v>111</v>
      </c>
      <c r="C292" s="95">
        <v>2</v>
      </c>
      <c r="D292" s="95">
        <v>2</v>
      </c>
      <c r="E292" s="95">
        <v>1</v>
      </c>
      <c r="F292" s="95">
        <v>2</v>
      </c>
      <c r="G292" s="95">
        <v>2</v>
      </c>
      <c r="H292" s="95">
        <v>2</v>
      </c>
      <c r="I292" s="95">
        <v>1</v>
      </c>
      <c r="J292" s="100">
        <f t="shared" si="24"/>
        <v>1.8566666666666658</v>
      </c>
      <c r="K292" s="101">
        <f t="shared" si="25"/>
        <v>23.584130362086945</v>
      </c>
      <c r="L292" s="97">
        <f t="shared" si="26"/>
        <v>0.12283927236344688</v>
      </c>
      <c r="M292" s="107">
        <f t="shared" si="27"/>
        <v>0.7370356341806813</v>
      </c>
    </row>
    <row r="293" spans="2:13" x14ac:dyDescent="0.2">
      <c r="B293" s="3">
        <v>112</v>
      </c>
      <c r="C293" s="95">
        <v>2</v>
      </c>
      <c r="D293" s="95">
        <v>2</v>
      </c>
      <c r="E293" s="95">
        <v>1</v>
      </c>
      <c r="F293" s="95">
        <v>2</v>
      </c>
      <c r="G293" s="95">
        <v>2</v>
      </c>
      <c r="H293" s="95">
        <v>2</v>
      </c>
      <c r="I293" s="95">
        <v>2</v>
      </c>
      <c r="J293" s="100">
        <f t="shared" si="24"/>
        <v>1.9016666666666657</v>
      </c>
      <c r="K293" s="101">
        <f t="shared" si="25"/>
        <v>23.616840308945232</v>
      </c>
      <c r="L293" s="97">
        <f t="shared" si="26"/>
        <v>0.12534401964065142</v>
      </c>
      <c r="M293" s="107">
        <f t="shared" si="27"/>
        <v>0.75206411784390848</v>
      </c>
    </row>
    <row r="294" spans="2:13" x14ac:dyDescent="0.2">
      <c r="B294" s="3">
        <v>113</v>
      </c>
      <c r="C294" s="95">
        <v>2</v>
      </c>
      <c r="D294" s="95">
        <v>2</v>
      </c>
      <c r="E294" s="95">
        <v>2</v>
      </c>
      <c r="F294" s="95">
        <v>1</v>
      </c>
      <c r="G294" s="95">
        <v>1</v>
      </c>
      <c r="H294" s="95">
        <v>1</v>
      </c>
      <c r="I294" s="95">
        <v>1</v>
      </c>
      <c r="J294" s="100">
        <f t="shared" si="24"/>
        <v>2.3249999999999988</v>
      </c>
      <c r="K294" s="101">
        <f t="shared" si="25"/>
        <v>24.907739961954519</v>
      </c>
      <c r="L294" s="97">
        <f t="shared" si="26"/>
        <v>0.13209784104071778</v>
      </c>
      <c r="M294" s="107">
        <f t="shared" si="27"/>
        <v>0.79258704624430676</v>
      </c>
    </row>
    <row r="295" spans="2:13" x14ac:dyDescent="0.2">
      <c r="B295" s="3">
        <v>114</v>
      </c>
      <c r="C295" s="95">
        <v>2</v>
      </c>
      <c r="D295" s="95">
        <v>2</v>
      </c>
      <c r="E295" s="95">
        <v>2</v>
      </c>
      <c r="F295" s="95">
        <v>1</v>
      </c>
      <c r="G295" s="95">
        <v>1</v>
      </c>
      <c r="H295" s="95">
        <v>1</v>
      </c>
      <c r="I295" s="95">
        <v>2</v>
      </c>
      <c r="J295" s="100">
        <f t="shared" si="24"/>
        <v>2.3699999999999988</v>
      </c>
      <c r="K295" s="101">
        <f t="shared" si="25"/>
        <v>24.940449908812806</v>
      </c>
      <c r="L295" s="97">
        <f t="shared" si="26"/>
        <v>0.13414876014385885</v>
      </c>
      <c r="M295" s="107">
        <f t="shared" si="27"/>
        <v>0.80489256086315308</v>
      </c>
    </row>
    <row r="296" spans="2:13" x14ac:dyDescent="0.2">
      <c r="B296" s="3">
        <v>115</v>
      </c>
      <c r="C296" s="95">
        <v>2</v>
      </c>
      <c r="D296" s="95">
        <v>2</v>
      </c>
      <c r="E296" s="95">
        <v>2</v>
      </c>
      <c r="F296" s="95">
        <v>1</v>
      </c>
      <c r="G296" s="95">
        <v>1</v>
      </c>
      <c r="H296" s="95">
        <v>2</v>
      </c>
      <c r="I296" s="95">
        <v>1</v>
      </c>
      <c r="J296" s="100">
        <f t="shared" si="24"/>
        <v>2.2483333333333322</v>
      </c>
      <c r="K296" s="101">
        <f t="shared" si="25"/>
        <v>26.124959407231071</v>
      </c>
      <c r="L296" s="97">
        <f t="shared" si="26"/>
        <v>0.1110469817780859</v>
      </c>
      <c r="M296" s="107">
        <f t="shared" si="27"/>
        <v>0.6662818906685154</v>
      </c>
    </row>
    <row r="297" spans="2:13" x14ac:dyDescent="0.2">
      <c r="B297" s="3">
        <v>116</v>
      </c>
      <c r="C297" s="95">
        <v>2</v>
      </c>
      <c r="D297" s="95">
        <v>2</v>
      </c>
      <c r="E297" s="95">
        <v>2</v>
      </c>
      <c r="F297" s="95">
        <v>1</v>
      </c>
      <c r="G297" s="95">
        <v>1</v>
      </c>
      <c r="H297" s="95">
        <v>2</v>
      </c>
      <c r="I297" s="95">
        <v>2</v>
      </c>
      <c r="J297" s="100">
        <f t="shared" si="24"/>
        <v>2.2933333333333321</v>
      </c>
      <c r="K297" s="101">
        <f t="shared" si="25"/>
        <v>26.157669354089357</v>
      </c>
      <c r="L297" s="97">
        <f t="shared" si="26"/>
        <v>0.11284401783105136</v>
      </c>
      <c r="M297" s="107">
        <f t="shared" si="27"/>
        <v>0.67706410698630815</v>
      </c>
    </row>
    <row r="298" spans="2:13" x14ac:dyDescent="0.2">
      <c r="B298" s="3">
        <v>117</v>
      </c>
      <c r="C298" s="95">
        <v>2</v>
      </c>
      <c r="D298" s="95">
        <v>2</v>
      </c>
      <c r="E298" s="95">
        <v>2</v>
      </c>
      <c r="F298" s="95">
        <v>1</v>
      </c>
      <c r="G298" s="95">
        <v>2</v>
      </c>
      <c r="H298" s="95">
        <v>1</v>
      </c>
      <c r="I298" s="95">
        <v>1</v>
      </c>
      <c r="J298" s="100">
        <f t="shared" si="24"/>
        <v>2.3233333333333324</v>
      </c>
      <c r="K298" s="101">
        <f t="shared" si="25"/>
        <v>27.181029181771677</v>
      </c>
      <c r="L298" s="97">
        <f t="shared" si="26"/>
        <v>0.10161947919827508</v>
      </c>
      <c r="M298" s="107">
        <f t="shared" si="27"/>
        <v>0.60971687518965045</v>
      </c>
    </row>
    <row r="299" spans="2:13" x14ac:dyDescent="0.2">
      <c r="B299" s="3">
        <v>118</v>
      </c>
      <c r="C299" s="95">
        <v>2</v>
      </c>
      <c r="D299" s="95">
        <v>2</v>
      </c>
      <c r="E299" s="95">
        <v>2</v>
      </c>
      <c r="F299" s="95">
        <v>1</v>
      </c>
      <c r="G299" s="95">
        <v>2</v>
      </c>
      <c r="H299" s="95">
        <v>1</v>
      </c>
      <c r="I299" s="95">
        <v>2</v>
      </c>
      <c r="J299" s="100">
        <f t="shared" si="24"/>
        <v>2.3683333333333323</v>
      </c>
      <c r="K299" s="101">
        <f t="shared" si="25"/>
        <v>27.213739128629964</v>
      </c>
      <c r="L299" s="97">
        <f t="shared" si="26"/>
        <v>0.10319850242950193</v>
      </c>
      <c r="M299" s="107">
        <f t="shared" si="27"/>
        <v>0.61919101457701164</v>
      </c>
    </row>
    <row r="300" spans="2:13" x14ac:dyDescent="0.2">
      <c r="B300" s="3">
        <v>119</v>
      </c>
      <c r="C300" s="95">
        <v>2</v>
      </c>
      <c r="D300" s="95">
        <v>2</v>
      </c>
      <c r="E300" s="95">
        <v>2</v>
      </c>
      <c r="F300" s="95">
        <v>1</v>
      </c>
      <c r="G300" s="95">
        <v>2</v>
      </c>
      <c r="H300" s="95">
        <v>2</v>
      </c>
      <c r="I300" s="95">
        <v>1</v>
      </c>
      <c r="J300" s="100">
        <f t="shared" si="24"/>
        <v>2.2466666666666657</v>
      </c>
      <c r="K300" s="101">
        <f t="shared" si="25"/>
        <v>28.398248627048229</v>
      </c>
      <c r="L300" s="97">
        <f t="shared" si="26"/>
        <v>8.5420757735381506E-2</v>
      </c>
      <c r="M300" s="107">
        <f t="shared" si="27"/>
        <v>0.51252454641228906</v>
      </c>
    </row>
    <row r="301" spans="2:13" x14ac:dyDescent="0.2">
      <c r="B301" s="3">
        <v>120</v>
      </c>
      <c r="C301" s="95">
        <v>2</v>
      </c>
      <c r="D301" s="95">
        <v>2</v>
      </c>
      <c r="E301" s="95">
        <v>2</v>
      </c>
      <c r="F301" s="95">
        <v>1</v>
      </c>
      <c r="G301" s="95">
        <v>2</v>
      </c>
      <c r="H301" s="95">
        <v>2</v>
      </c>
      <c r="I301" s="95">
        <v>2</v>
      </c>
      <c r="J301" s="100">
        <f t="shared" si="24"/>
        <v>2.2916666666666656</v>
      </c>
      <c r="K301" s="101">
        <f t="shared" si="25"/>
        <v>28.430958573906516</v>
      </c>
      <c r="L301" s="97">
        <f t="shared" si="26"/>
        <v>8.6804292013742679E-2</v>
      </c>
      <c r="M301" s="107">
        <f t="shared" si="27"/>
        <v>0.52082575208245607</v>
      </c>
    </row>
    <row r="302" spans="2:13" x14ac:dyDescent="0.2">
      <c r="B302" s="3">
        <v>121</v>
      </c>
      <c r="C302" s="95">
        <v>2</v>
      </c>
      <c r="D302" s="95">
        <v>2</v>
      </c>
      <c r="E302" s="95">
        <v>2</v>
      </c>
      <c r="F302" s="95">
        <v>2</v>
      </c>
      <c r="G302" s="95">
        <v>1</v>
      </c>
      <c r="H302" s="95">
        <v>1</v>
      </c>
      <c r="I302" s="95">
        <v>1</v>
      </c>
      <c r="J302" s="100">
        <f t="shared" si="24"/>
        <v>2.0216666666666652</v>
      </c>
      <c r="K302" s="101">
        <f t="shared" si="25"/>
        <v>17.899152790717757</v>
      </c>
      <c r="L302" s="97">
        <f t="shared" si="26"/>
        <v>0.25706832668933016</v>
      </c>
      <c r="M302" s="107">
        <f t="shared" si="27"/>
        <v>1.5424099601359811</v>
      </c>
    </row>
    <row r="303" spans="2:13" x14ac:dyDescent="0.2">
      <c r="B303" s="3">
        <v>122</v>
      </c>
      <c r="C303" s="95">
        <v>2</v>
      </c>
      <c r="D303" s="95">
        <v>2</v>
      </c>
      <c r="E303" s="95">
        <v>2</v>
      </c>
      <c r="F303" s="95">
        <v>2</v>
      </c>
      <c r="G303" s="95">
        <v>1</v>
      </c>
      <c r="H303" s="95">
        <v>1</v>
      </c>
      <c r="I303" s="95">
        <v>2</v>
      </c>
      <c r="J303" s="100">
        <f t="shared" si="24"/>
        <v>2.0666666666666651</v>
      </c>
      <c r="K303" s="101">
        <f t="shared" si="25"/>
        <v>17.931862737576044</v>
      </c>
      <c r="L303" s="97">
        <f t="shared" si="26"/>
        <v>0.26180577769560698</v>
      </c>
      <c r="M303" s="107">
        <f t="shared" si="27"/>
        <v>1.5708346661736419</v>
      </c>
    </row>
    <row r="304" spans="2:13" x14ac:dyDescent="0.2">
      <c r="B304" s="3">
        <v>123</v>
      </c>
      <c r="C304" s="95">
        <v>2</v>
      </c>
      <c r="D304" s="95">
        <v>2</v>
      </c>
      <c r="E304" s="95">
        <v>2</v>
      </c>
      <c r="F304" s="95">
        <v>2</v>
      </c>
      <c r="G304" s="95">
        <v>1</v>
      </c>
      <c r="H304" s="95">
        <v>2</v>
      </c>
      <c r="I304" s="95">
        <v>1</v>
      </c>
      <c r="J304" s="100">
        <f t="shared" si="24"/>
        <v>1.9449999999999985</v>
      </c>
      <c r="K304" s="101">
        <f t="shared" si="25"/>
        <v>19.116372235994309</v>
      </c>
      <c r="L304" s="97">
        <f t="shared" si="26"/>
        <v>0.21506481097150268</v>
      </c>
      <c r="M304" s="107">
        <f t="shared" si="27"/>
        <v>1.2903888658290161</v>
      </c>
    </row>
    <row r="305" spans="2:13" x14ac:dyDescent="0.2">
      <c r="B305" s="3">
        <v>124</v>
      </c>
      <c r="C305" s="95">
        <v>2</v>
      </c>
      <c r="D305" s="95">
        <v>2</v>
      </c>
      <c r="E305" s="95">
        <v>2</v>
      </c>
      <c r="F305" s="95">
        <v>2</v>
      </c>
      <c r="G305" s="95">
        <v>1</v>
      </c>
      <c r="H305" s="95">
        <v>2</v>
      </c>
      <c r="I305" s="95">
        <v>2</v>
      </c>
      <c r="J305" s="100">
        <f t="shared" si="24"/>
        <v>1.9899999999999984</v>
      </c>
      <c r="K305" s="101">
        <f t="shared" si="25"/>
        <v>19.149082182852595</v>
      </c>
      <c r="L305" s="97">
        <f t="shared" si="26"/>
        <v>0.21921552823833543</v>
      </c>
      <c r="M305" s="107">
        <f t="shared" si="27"/>
        <v>1.3152931694300125</v>
      </c>
    </row>
    <row r="306" spans="2:13" x14ac:dyDescent="0.2">
      <c r="B306" s="3">
        <v>125</v>
      </c>
      <c r="C306" s="95">
        <v>2</v>
      </c>
      <c r="D306" s="95">
        <v>2</v>
      </c>
      <c r="E306" s="95">
        <v>2</v>
      </c>
      <c r="F306" s="95">
        <v>2</v>
      </c>
      <c r="G306" s="95">
        <v>2</v>
      </c>
      <c r="H306" s="95">
        <v>1</v>
      </c>
      <c r="I306" s="95">
        <v>1</v>
      </c>
      <c r="J306" s="100">
        <f t="shared" si="24"/>
        <v>2.0199999999999987</v>
      </c>
      <c r="K306" s="101">
        <f t="shared" si="25"/>
        <v>20.172442010534915</v>
      </c>
      <c r="L306" s="97">
        <f t="shared" si="26"/>
        <v>0.19783917002336801</v>
      </c>
      <c r="M306" s="107">
        <f t="shared" si="27"/>
        <v>1.187035020140208</v>
      </c>
    </row>
    <row r="307" spans="2:13" x14ac:dyDescent="0.2">
      <c r="B307" s="3">
        <v>126</v>
      </c>
      <c r="C307" s="95">
        <v>2</v>
      </c>
      <c r="D307" s="95">
        <v>2</v>
      </c>
      <c r="E307" s="95">
        <v>2</v>
      </c>
      <c r="F307" s="95">
        <v>2</v>
      </c>
      <c r="G307" s="95">
        <v>2</v>
      </c>
      <c r="H307" s="95">
        <v>1</v>
      </c>
      <c r="I307" s="95">
        <v>2</v>
      </c>
      <c r="J307" s="100">
        <f t="shared" si="24"/>
        <v>2.0649999999999986</v>
      </c>
      <c r="K307" s="101">
        <f t="shared" si="25"/>
        <v>20.205151957393202</v>
      </c>
      <c r="L307" s="97">
        <f t="shared" si="26"/>
        <v>0.20148772648423655</v>
      </c>
      <c r="M307" s="107">
        <f t="shared" si="27"/>
        <v>1.2089263589054193</v>
      </c>
    </row>
    <row r="308" spans="2:13" x14ac:dyDescent="0.2">
      <c r="B308" s="3">
        <v>127</v>
      </c>
      <c r="C308" s="95">
        <v>2</v>
      </c>
      <c r="D308" s="95">
        <v>2</v>
      </c>
      <c r="E308" s="95">
        <v>2</v>
      </c>
      <c r="F308" s="95">
        <v>2</v>
      </c>
      <c r="G308" s="95">
        <v>2</v>
      </c>
      <c r="H308" s="95">
        <v>2</v>
      </c>
      <c r="I308" s="95">
        <v>1</v>
      </c>
      <c r="J308" s="100">
        <f t="shared" si="24"/>
        <v>1.943333333333332</v>
      </c>
      <c r="K308" s="101">
        <f t="shared" si="25"/>
        <v>21.389661455811467</v>
      </c>
      <c r="L308" s="97">
        <f t="shared" si="26"/>
        <v>0.16548136235391248</v>
      </c>
      <c r="M308" s="107">
        <f t="shared" si="27"/>
        <v>0.99288817412347485</v>
      </c>
    </row>
    <row r="309" spans="2:13" x14ac:dyDescent="0.2">
      <c r="B309" s="3">
        <v>128</v>
      </c>
      <c r="C309" s="95">
        <v>2</v>
      </c>
      <c r="D309" s="95">
        <v>2</v>
      </c>
      <c r="E309" s="95">
        <v>2</v>
      </c>
      <c r="F309" s="95">
        <v>2</v>
      </c>
      <c r="G309" s="95">
        <v>2</v>
      </c>
      <c r="H309" s="95">
        <v>2</v>
      </c>
      <c r="I309" s="95">
        <v>2</v>
      </c>
      <c r="J309" s="100">
        <f t="shared" si="24"/>
        <v>1.988333333333332</v>
      </c>
      <c r="K309" s="101">
        <f t="shared" si="25"/>
        <v>21.422371402669754</v>
      </c>
      <c r="L309" s="97">
        <f t="shared" si="26"/>
        <v>0.16867776832111808</v>
      </c>
      <c r="M309" s="107">
        <f t="shared" si="27"/>
        <v>1.0120666099267086</v>
      </c>
    </row>
    <row r="310" spans="2:13" x14ac:dyDescent="0.2">
      <c r="C310" s="10" t="str">
        <f t="shared" ref="C310:I310" si="28">C180</f>
        <v>Larg pales</v>
      </c>
      <c r="D310" s="10" t="str">
        <f t="shared" si="28"/>
        <v>Long pales</v>
      </c>
      <c r="E310" s="10" t="str">
        <f t="shared" si="28"/>
        <v>Larg pales/Long pales</v>
      </c>
      <c r="F310" s="10" t="str">
        <f t="shared" si="28"/>
        <v>Nbre trombones</v>
      </c>
      <c r="G310" s="10" t="str">
        <f t="shared" si="28"/>
        <v>Larg pales/Nbre trombones</v>
      </c>
      <c r="H310" s="10" t="str">
        <f t="shared" si="28"/>
        <v>Long pales/Nbre trombones</v>
      </c>
      <c r="I310" s="10" t="str">
        <f t="shared" si="28"/>
        <v/>
      </c>
      <c r="J310" s="9">
        <f>AVERAGE(J182:J309)</f>
        <v>2.064166666666666</v>
      </c>
      <c r="K310" s="99">
        <f>AVERAGE(K182:K309)</f>
        <v>23.376358747875535</v>
      </c>
    </row>
  </sheetData>
  <sheetProtection selectLockedCells="1" selectUnlockedCells="1"/>
  <printOptions horizontalCentered="1" verticalCentered="1" gridLines="1"/>
  <pageMargins left="0.196850393700787" right="0.196850393700787" top="0.196850393700787" bottom="0.196850393700787" header="0" footer="0"/>
  <pageSetup paperSize="9" scale="21" orientation="portrait" horizontalDpi="4294967293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Durée (fract)</vt:lpstr>
      <vt:lpstr>Déviation (fract)</vt:lpstr>
      <vt:lpstr>Durée (Plan complet)</vt:lpstr>
      <vt:lpstr>'Durée (fract)'!Print_Area</vt:lpstr>
      <vt:lpstr>'Durée (Plan complet)'!Print_Area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JEKER</dc:creator>
  <cp:lastModifiedBy>MAHMOUD CHARIF</cp:lastModifiedBy>
  <cp:lastPrinted>2011-09-22T12:36:53Z</cp:lastPrinted>
  <dcterms:created xsi:type="dcterms:W3CDTF">2004-02-23T14:59:08Z</dcterms:created>
  <dcterms:modified xsi:type="dcterms:W3CDTF">2025-01-17T14:38:51Z</dcterms:modified>
</cp:coreProperties>
</file>