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ytonohio-my.sharepoint.com/personal/charles_moore_daytonohio_gov/Documents/SQL_WorkingSamples/Visual Studio/"/>
    </mc:Choice>
  </mc:AlternateContent>
  <xr:revisionPtr revIDLastSave="1056" documentId="8_{A149941D-ACDC-4C8B-8735-CB8F4DE0A0B1}" xr6:coauthVersionLast="47" xr6:coauthVersionMax="47" xr10:uidLastSave="{C22181BB-0939-4C63-B622-A276DBBF4796}"/>
  <bookViews>
    <workbookView xWindow="28680" yWindow="-120" windowWidth="29040" windowHeight="15720" activeTab="3" xr2:uid="{934859F5-0F5F-4C6A-A77E-8AAF7A8563D0}"/>
  </bookViews>
  <sheets>
    <sheet name="Bits" sheetId="6" r:id="rId1"/>
    <sheet name="Easter Calcs" sheetId="4" r:id="rId2"/>
    <sheet name="Solstices" sheetId="7" r:id="rId3"/>
    <sheet name="Sheet4" sheetId="8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8" l="1"/>
  <c r="M26" i="8" s="1"/>
  <c r="M20" i="8"/>
  <c r="M25" i="8" s="1"/>
  <c r="M2" i="8"/>
  <c r="K21" i="8"/>
  <c r="M23" i="8" l="1"/>
  <c r="M24" i="8" s="1"/>
  <c r="M3" i="8"/>
  <c r="M4" i="8" l="1"/>
  <c r="F73" i="8"/>
  <c r="D72" i="8"/>
  <c r="F68" i="8"/>
  <c r="F69" i="8"/>
  <c r="F70" i="8"/>
  <c r="F71" i="8"/>
  <c r="U27" i="8"/>
  <c r="U21" i="8"/>
  <c r="U26" i="8" s="1"/>
  <c r="U20" i="8"/>
  <c r="U25" i="8" s="1"/>
  <c r="U2" i="8"/>
  <c r="U3" i="8" s="1"/>
  <c r="T27" i="8"/>
  <c r="T21" i="8"/>
  <c r="T26" i="8" s="1"/>
  <c r="T20" i="8"/>
  <c r="T25" i="8" s="1"/>
  <c r="T2" i="8"/>
  <c r="S27" i="8"/>
  <c r="S21" i="8"/>
  <c r="S26" i="8" s="1"/>
  <c r="S20" i="8"/>
  <c r="S25" i="8" s="1"/>
  <c r="S2" i="8"/>
  <c r="R27" i="8"/>
  <c r="R21" i="8"/>
  <c r="R26" i="8" s="1"/>
  <c r="R20" i="8"/>
  <c r="R25" i="8" s="1"/>
  <c r="R2" i="8"/>
  <c r="P27" i="8"/>
  <c r="Q27" i="8"/>
  <c r="Q21" i="8"/>
  <c r="Q26" i="8" s="1"/>
  <c r="Q20" i="8"/>
  <c r="Q25" i="8" s="1"/>
  <c r="Q28" i="8" s="1"/>
  <c r="Q30" i="8" s="1"/>
  <c r="Q31" i="8" s="1"/>
  <c r="Q2" i="8"/>
  <c r="Q3" i="8" s="1"/>
  <c r="P21" i="8"/>
  <c r="P26" i="8" s="1"/>
  <c r="P20" i="8"/>
  <c r="P25" i="8" s="1"/>
  <c r="P2" i="8"/>
  <c r="P3" i="8" s="1"/>
  <c r="O21" i="8"/>
  <c r="O26" i="8" s="1"/>
  <c r="O20" i="8"/>
  <c r="O25" i="8" s="1"/>
  <c r="O2" i="8"/>
  <c r="N2" i="8"/>
  <c r="N3" i="8" s="1"/>
  <c r="E19" i="8"/>
  <c r="E2" i="8"/>
  <c r="E3" i="8" s="1"/>
  <c r="L2" i="8"/>
  <c r="L3" i="8" s="1"/>
  <c r="L4" i="8" s="1"/>
  <c r="K2" i="8"/>
  <c r="K3" i="8" s="1"/>
  <c r="K4" i="8" s="1"/>
  <c r="J2" i="8"/>
  <c r="J3" i="8" s="1"/>
  <c r="I2" i="8"/>
  <c r="I3" i="8" s="1"/>
  <c r="I4" i="8" s="1"/>
  <c r="H2" i="8"/>
  <c r="H3" i="8" s="1"/>
  <c r="G2" i="8"/>
  <c r="G3" i="8" s="1"/>
  <c r="G4" i="8" s="1"/>
  <c r="F2" i="8"/>
  <c r="F3" i="8" s="1"/>
  <c r="F4" i="8" s="1"/>
  <c r="D2" i="8"/>
  <c r="W10" i="8"/>
  <c r="W11" i="8" s="1"/>
  <c r="M5" i="8" l="1"/>
  <c r="M6" i="8"/>
  <c r="T28" i="8"/>
  <c r="T30" i="8" s="1"/>
  <c r="T31" i="8" s="1"/>
  <c r="F72" i="8"/>
  <c r="D3" i="8"/>
  <c r="U28" i="8"/>
  <c r="U30" i="8" s="1"/>
  <c r="U31" i="8" s="1"/>
  <c r="U32" i="8" s="1"/>
  <c r="U33" i="8" s="1"/>
  <c r="U4" i="8"/>
  <c r="U23" i="8"/>
  <c r="T32" i="8"/>
  <c r="T23" i="8"/>
  <c r="T3" i="8"/>
  <c r="S28" i="8"/>
  <c r="S30" i="8" s="1"/>
  <c r="S31" i="8" s="1"/>
  <c r="S32" i="8" s="1"/>
  <c r="S33" i="8" s="1"/>
  <c r="S23" i="8"/>
  <c r="S3" i="8"/>
  <c r="R28" i="8"/>
  <c r="R30" i="8" s="1"/>
  <c r="R31" i="8" s="1"/>
  <c r="R32" i="8" s="1"/>
  <c r="R23" i="8"/>
  <c r="R3" i="8"/>
  <c r="Q32" i="8"/>
  <c r="Q23" i="8"/>
  <c r="Q4" i="8"/>
  <c r="P28" i="8"/>
  <c r="P30" i="8" s="1"/>
  <c r="P31" i="8" s="1"/>
  <c r="P32" i="8" s="1"/>
  <c r="P33" i="8" s="1"/>
  <c r="P4" i="8"/>
  <c r="P23" i="8"/>
  <c r="O23" i="8"/>
  <c r="O3" i="8"/>
  <c r="N4" i="8"/>
  <c r="E4" i="8"/>
  <c r="L5" i="8"/>
  <c r="L6" i="8" s="1"/>
  <c r="L7" i="8" s="1"/>
  <c r="L10" i="8" s="1"/>
  <c r="K5" i="8"/>
  <c r="K6" i="8" s="1"/>
  <c r="J4" i="8"/>
  <c r="I5" i="8"/>
  <c r="I6" i="8" s="1"/>
  <c r="I7" i="8" s="1"/>
  <c r="I10" i="8" s="1"/>
  <c r="H4" i="8"/>
  <c r="G5" i="8"/>
  <c r="G6" i="8" s="1"/>
  <c r="F5" i="8"/>
  <c r="F6" i="8" s="1"/>
  <c r="W59" i="8"/>
  <c r="W18" i="8"/>
  <c r="W16" i="8"/>
  <c r="W15" i="8"/>
  <c r="W14" i="8"/>
  <c r="W13" i="8"/>
  <c r="W12" i="8"/>
  <c r="N34" i="6"/>
  <c r="L34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I34" i="6"/>
  <c r="I33" i="6"/>
  <c r="L33" i="6" s="1"/>
  <c r="N33" i="6" s="1"/>
  <c r="I32" i="6"/>
  <c r="L32" i="6" s="1"/>
  <c r="N32" i="6" s="1"/>
  <c r="I36" i="6"/>
  <c r="L36" i="6" s="1"/>
  <c r="N36" i="6" s="1"/>
  <c r="F4" i="6"/>
  <c r="F3" i="6"/>
  <c r="I31" i="6"/>
  <c r="L31" i="6" s="1"/>
  <c r="N31" i="6" s="1"/>
  <c r="I30" i="6"/>
  <c r="L30" i="6" s="1"/>
  <c r="N30" i="6" s="1"/>
  <c r="I29" i="6"/>
  <c r="L29" i="6" s="1"/>
  <c r="N29" i="6" s="1"/>
  <c r="I28" i="6"/>
  <c r="L28" i="6" s="1"/>
  <c r="N28" i="6" s="1"/>
  <c r="I27" i="6"/>
  <c r="L27" i="6" s="1"/>
  <c r="N27" i="6" s="1"/>
  <c r="I26" i="6"/>
  <c r="L26" i="6" s="1"/>
  <c r="N26" i="6" s="1"/>
  <c r="I25" i="6"/>
  <c r="L25" i="6" s="1"/>
  <c r="N25" i="6" s="1"/>
  <c r="I24" i="6"/>
  <c r="L24" i="6" s="1"/>
  <c r="N24" i="6" s="1"/>
  <c r="I23" i="6"/>
  <c r="L23" i="6" s="1"/>
  <c r="N23" i="6" s="1"/>
  <c r="I22" i="6"/>
  <c r="L22" i="6" s="1"/>
  <c r="N22" i="6" s="1"/>
  <c r="I21" i="6"/>
  <c r="L21" i="6" s="1"/>
  <c r="N21" i="6" s="1"/>
  <c r="I20" i="6"/>
  <c r="L20" i="6" s="1"/>
  <c r="N20" i="6" s="1"/>
  <c r="I19" i="6"/>
  <c r="L19" i="6" s="1"/>
  <c r="N19" i="6" s="1"/>
  <c r="I18" i="6"/>
  <c r="L18" i="6" s="1"/>
  <c r="N18" i="6" s="1"/>
  <c r="I17" i="6"/>
  <c r="L17" i="6" s="1"/>
  <c r="N17" i="6" s="1"/>
  <c r="I16" i="6"/>
  <c r="L16" i="6" s="1"/>
  <c r="N16" i="6" s="1"/>
  <c r="I15" i="6"/>
  <c r="L15" i="6" s="1"/>
  <c r="N15" i="6" s="1"/>
  <c r="I14" i="6"/>
  <c r="L14" i="6" s="1"/>
  <c r="N14" i="6" s="1"/>
  <c r="I13" i="6"/>
  <c r="L13" i="6" s="1"/>
  <c r="N13" i="6" s="1"/>
  <c r="I12" i="6"/>
  <c r="L12" i="6" s="1"/>
  <c r="N12" i="6" s="1"/>
  <c r="I11" i="6"/>
  <c r="L11" i="6" s="1"/>
  <c r="N11" i="6" s="1"/>
  <c r="I10" i="6"/>
  <c r="L10" i="6" s="1"/>
  <c r="N10" i="6" s="1"/>
  <c r="I9" i="6"/>
  <c r="L9" i="6" s="1"/>
  <c r="N9" i="6" s="1"/>
  <c r="I8" i="6"/>
  <c r="L8" i="6" s="1"/>
  <c r="N8" i="6" s="1"/>
  <c r="I7" i="6"/>
  <c r="L7" i="6" s="1"/>
  <c r="N7" i="6" s="1"/>
  <c r="I6" i="6"/>
  <c r="L6" i="6" s="1"/>
  <c r="N6" i="6" s="1"/>
  <c r="I5" i="6"/>
  <c r="L5" i="6" s="1"/>
  <c r="N5" i="6" s="1"/>
  <c r="I4" i="6"/>
  <c r="L4" i="6" s="1"/>
  <c r="N4" i="6" s="1"/>
  <c r="I3" i="6"/>
  <c r="L3" i="6" s="1"/>
  <c r="N3" i="6" s="1"/>
  <c r="M7" i="8" l="1"/>
  <c r="M10" i="8" s="1"/>
  <c r="D4" i="8"/>
  <c r="U5" i="8"/>
  <c r="U37" i="8"/>
  <c r="U39" i="8" s="1"/>
  <c r="U35" i="8"/>
  <c r="U36" i="8" s="1"/>
  <c r="T35" i="8"/>
  <c r="T36" i="8" s="1"/>
  <c r="T37" i="8"/>
  <c r="T39" i="8" s="1"/>
  <c r="T33" i="8"/>
  <c r="T4" i="8"/>
  <c r="S37" i="8"/>
  <c r="S39" i="8" s="1"/>
  <c r="S35" i="8"/>
  <c r="S36" i="8" s="1"/>
  <c r="S4" i="8"/>
  <c r="R4" i="8"/>
  <c r="R37" i="8"/>
  <c r="R39" i="8" s="1"/>
  <c r="R35" i="8"/>
  <c r="R36" i="8" s="1"/>
  <c r="R33" i="8"/>
  <c r="Q37" i="8"/>
  <c r="Q39" i="8" s="1"/>
  <c r="Q35" i="8"/>
  <c r="Q36" i="8" s="1"/>
  <c r="Q5" i="8"/>
  <c r="Q33" i="8"/>
  <c r="P5" i="8"/>
  <c r="P6" i="8" s="1"/>
  <c r="P37" i="8"/>
  <c r="P39" i="8" s="1"/>
  <c r="P35" i="8"/>
  <c r="P36" i="8" s="1"/>
  <c r="O4" i="8"/>
  <c r="N5" i="8"/>
  <c r="E5" i="8"/>
  <c r="L59" i="8"/>
  <c r="L18" i="8"/>
  <c r="L15" i="8"/>
  <c r="L14" i="8"/>
  <c r="L13" i="8"/>
  <c r="L19" i="8" s="1"/>
  <c r="L12" i="8"/>
  <c r="L16" i="8"/>
  <c r="L11" i="8"/>
  <c r="K7" i="8"/>
  <c r="K10" i="8" s="1"/>
  <c r="J5" i="8"/>
  <c r="I59" i="8"/>
  <c r="I12" i="8"/>
  <c r="I14" i="8"/>
  <c r="I13" i="8"/>
  <c r="I18" i="8"/>
  <c r="I16" i="8"/>
  <c r="I15" i="8"/>
  <c r="I11" i="8"/>
  <c r="H5" i="8"/>
  <c r="G7" i="8"/>
  <c r="G10" i="8" s="1"/>
  <c r="F7" i="8"/>
  <c r="F10" i="8" s="1"/>
  <c r="W19" i="8"/>
  <c r="W21" i="8"/>
  <c r="W26" i="8" s="1"/>
  <c r="W20" i="8"/>
  <c r="W17" i="8"/>
  <c r="E34" i="6"/>
  <c r="E32" i="6"/>
  <c r="D34" i="6" s="1"/>
  <c r="E28" i="6"/>
  <c r="E10" i="6"/>
  <c r="E12" i="6"/>
  <c r="E14" i="6"/>
  <c r="E4" i="6"/>
  <c r="E20" i="6"/>
  <c r="F5" i="6"/>
  <c r="E22" i="6"/>
  <c r="D22" i="6" s="1"/>
  <c r="F6" i="6"/>
  <c r="E6" i="6" s="1"/>
  <c r="D6" i="6" s="1"/>
  <c r="E24" i="6"/>
  <c r="E18" i="6"/>
  <c r="E8" i="6"/>
  <c r="D10" i="6" s="1"/>
  <c r="E30" i="6"/>
  <c r="E16" i="6"/>
  <c r="I75" i="4"/>
  <c r="I74" i="4"/>
  <c r="I73" i="4"/>
  <c r="I72" i="4"/>
  <c r="I71" i="4"/>
  <c r="I69" i="4"/>
  <c r="K75" i="4"/>
  <c r="K74" i="4"/>
  <c r="K72" i="4"/>
  <c r="K69" i="4"/>
  <c r="I70" i="4" s="1"/>
  <c r="K70" i="4" s="1"/>
  <c r="K68" i="4"/>
  <c r="K67" i="4"/>
  <c r="L75" i="4"/>
  <c r="L73" i="4"/>
  <c r="L72" i="4"/>
  <c r="L71" i="4"/>
  <c r="L67" i="4"/>
  <c r="L66" i="4"/>
  <c r="I68" i="4"/>
  <c r="L68" i="4" s="1"/>
  <c r="I67" i="4"/>
  <c r="R24" i="4"/>
  <c r="Q24" i="4"/>
  <c r="P24" i="4"/>
  <c r="O24" i="4"/>
  <c r="N24" i="4"/>
  <c r="M24" i="4"/>
  <c r="L24" i="4"/>
  <c r="K24" i="4"/>
  <c r="J24" i="4"/>
  <c r="I24" i="4"/>
  <c r="I25" i="4" s="1"/>
  <c r="R23" i="4"/>
  <c r="Q23" i="4"/>
  <c r="P23" i="4"/>
  <c r="O23" i="4"/>
  <c r="N23" i="4"/>
  <c r="M23" i="4"/>
  <c r="L23" i="4"/>
  <c r="K23" i="4"/>
  <c r="J23" i="4"/>
  <c r="I23" i="4"/>
  <c r="R22" i="4"/>
  <c r="Q22" i="4"/>
  <c r="P22" i="4"/>
  <c r="O22" i="4"/>
  <c r="N22" i="4"/>
  <c r="M22" i="4"/>
  <c r="L22" i="4"/>
  <c r="K22" i="4"/>
  <c r="J22" i="4"/>
  <c r="I22" i="4"/>
  <c r="R21" i="4"/>
  <c r="Q21" i="4"/>
  <c r="P21" i="4"/>
  <c r="O21" i="4"/>
  <c r="N21" i="4"/>
  <c r="M21" i="4"/>
  <c r="L21" i="4"/>
  <c r="K21" i="4"/>
  <c r="J21" i="4"/>
  <c r="I21" i="4"/>
  <c r="R20" i="4"/>
  <c r="Q20" i="4"/>
  <c r="P20" i="4"/>
  <c r="O20" i="4"/>
  <c r="N20" i="4"/>
  <c r="M20" i="4"/>
  <c r="L20" i="4"/>
  <c r="K20" i="4"/>
  <c r="J20" i="4"/>
  <c r="I20" i="4"/>
  <c r="R27" i="4"/>
  <c r="R28" i="4" s="1"/>
  <c r="R10" i="4"/>
  <c r="R9" i="4"/>
  <c r="R8" i="4"/>
  <c r="R7" i="4"/>
  <c r="L27" i="4"/>
  <c r="L30" i="4" s="1"/>
  <c r="L37" i="4" s="1"/>
  <c r="L10" i="4"/>
  <c r="L9" i="4"/>
  <c r="L8" i="4"/>
  <c r="L7" i="4"/>
  <c r="J27" i="4"/>
  <c r="J45" i="4" s="1"/>
  <c r="J10" i="4"/>
  <c r="J9" i="4"/>
  <c r="J8" i="4"/>
  <c r="J7" i="4"/>
  <c r="Q27" i="4"/>
  <c r="Q30" i="4" s="1"/>
  <c r="P27" i="4"/>
  <c r="P30" i="4" s="1"/>
  <c r="O27" i="4"/>
  <c r="O30" i="4" s="1"/>
  <c r="O37" i="4" s="1"/>
  <c r="N27" i="4"/>
  <c r="N29" i="4" s="1"/>
  <c r="M27" i="4"/>
  <c r="M29" i="4" s="1"/>
  <c r="K27" i="4"/>
  <c r="K30" i="4" s="1"/>
  <c r="K37" i="4" s="1"/>
  <c r="I27" i="4"/>
  <c r="I30" i="4" s="1"/>
  <c r="I37" i="4" s="1"/>
  <c r="Q10" i="4"/>
  <c r="Q9" i="4"/>
  <c r="Q8" i="4"/>
  <c r="Q7" i="4"/>
  <c r="P10" i="4"/>
  <c r="P9" i="4"/>
  <c r="P8" i="4"/>
  <c r="P7" i="4"/>
  <c r="O10" i="4"/>
  <c r="O12" i="4" s="1"/>
  <c r="O9" i="4"/>
  <c r="O8" i="4"/>
  <c r="O7" i="4"/>
  <c r="N10" i="4"/>
  <c r="N11" i="4" s="1"/>
  <c r="N9" i="4"/>
  <c r="N8" i="4"/>
  <c r="N7" i="4"/>
  <c r="M10" i="4"/>
  <c r="M9" i="4"/>
  <c r="M8" i="4"/>
  <c r="M7" i="4"/>
  <c r="K10" i="4"/>
  <c r="K9" i="4"/>
  <c r="K8" i="4"/>
  <c r="K7" i="4"/>
  <c r="I10" i="4"/>
  <c r="I9" i="4"/>
  <c r="I8" i="4"/>
  <c r="I7" i="4"/>
  <c r="M59" i="8" l="1"/>
  <c r="M18" i="8"/>
  <c r="M27" i="8" s="1"/>
  <c r="M28" i="8" s="1"/>
  <c r="M30" i="8" s="1"/>
  <c r="M31" i="8" s="1"/>
  <c r="M15" i="8"/>
  <c r="M16" i="8"/>
  <c r="M14" i="8"/>
  <c r="M17" i="8" s="1"/>
  <c r="D5" i="8"/>
  <c r="U40" i="8"/>
  <c r="U41" i="8" s="1"/>
  <c r="U42" i="8" s="1"/>
  <c r="U45" i="8" s="1"/>
  <c r="U47" i="8" s="1"/>
  <c r="U6" i="8"/>
  <c r="U7" i="8" s="1"/>
  <c r="U10" i="8" s="1"/>
  <c r="T5" i="8"/>
  <c r="T40" i="8"/>
  <c r="T41" i="8" s="1"/>
  <c r="T42" i="8" s="1"/>
  <c r="T45" i="8" s="1"/>
  <c r="T47" i="8" s="1"/>
  <c r="S5" i="8"/>
  <c r="S40" i="8"/>
  <c r="S41" i="8" s="1"/>
  <c r="S42" i="8" s="1"/>
  <c r="R40" i="8"/>
  <c r="R41" i="8" s="1"/>
  <c r="R42" i="8" s="1"/>
  <c r="R45" i="8" s="1"/>
  <c r="R47" i="8" s="1"/>
  <c r="R5" i="8"/>
  <c r="R6" i="8"/>
  <c r="Q6" i="8"/>
  <c r="Q7" i="8" s="1"/>
  <c r="Q10" i="8" s="1"/>
  <c r="Q40" i="8"/>
  <c r="Q41" i="8" s="1"/>
  <c r="Q42" i="8" s="1"/>
  <c r="Q45" i="8" s="1"/>
  <c r="Q47" i="8" s="1"/>
  <c r="P40" i="8"/>
  <c r="P41" i="8" s="1"/>
  <c r="P42" i="8" s="1"/>
  <c r="P7" i="8"/>
  <c r="P10" i="8" s="1"/>
  <c r="O5" i="8"/>
  <c r="N6" i="8"/>
  <c r="N7" i="8" s="1"/>
  <c r="N10" i="8" s="1"/>
  <c r="E6" i="8"/>
  <c r="E7" i="8" s="1"/>
  <c r="L17" i="8"/>
  <c r="L20" i="8"/>
  <c r="L21" i="8"/>
  <c r="L26" i="8" s="1"/>
  <c r="K59" i="8"/>
  <c r="K11" i="8"/>
  <c r="K18" i="8"/>
  <c r="K16" i="8"/>
  <c r="K15" i="8"/>
  <c r="K13" i="8"/>
  <c r="K19" i="8" s="1"/>
  <c r="K12" i="8"/>
  <c r="K14" i="8"/>
  <c r="K17" i="8" s="1"/>
  <c r="J6" i="8"/>
  <c r="J7" i="8" s="1"/>
  <c r="J10" i="8" s="1"/>
  <c r="I19" i="8"/>
  <c r="I17" i="8"/>
  <c r="I20" i="8"/>
  <c r="I21" i="8"/>
  <c r="I26" i="8" s="1"/>
  <c r="H6" i="8"/>
  <c r="H7" i="8" s="1"/>
  <c r="H10" i="8" s="1"/>
  <c r="G59" i="8"/>
  <c r="G12" i="8"/>
  <c r="G11" i="8"/>
  <c r="G16" i="8"/>
  <c r="G14" i="8"/>
  <c r="G18" i="8"/>
  <c r="G15" i="8"/>
  <c r="G13" i="8"/>
  <c r="G19" i="8" s="1"/>
  <c r="F59" i="8"/>
  <c r="F18" i="8"/>
  <c r="F14" i="8"/>
  <c r="F13" i="8"/>
  <c r="F12" i="8"/>
  <c r="F16" i="8"/>
  <c r="F15" i="8"/>
  <c r="F11" i="8"/>
  <c r="W23" i="8"/>
  <c r="W24" i="8" s="1"/>
  <c r="W27" i="8" s="1"/>
  <c r="W25" i="8"/>
  <c r="D30" i="6"/>
  <c r="C34" i="6" s="1"/>
  <c r="D14" i="6"/>
  <c r="C10" i="6"/>
  <c r="E26" i="6"/>
  <c r="D26" i="6" s="1"/>
  <c r="C26" i="6" s="1"/>
  <c r="D18" i="6"/>
  <c r="C18" i="6" s="1"/>
  <c r="B18" i="6" s="1"/>
  <c r="L28" i="4"/>
  <c r="L29" i="4"/>
  <c r="L31" i="4" s="1"/>
  <c r="L45" i="4"/>
  <c r="J28" i="4"/>
  <c r="R29" i="4"/>
  <c r="R45" i="4"/>
  <c r="R30" i="4"/>
  <c r="R11" i="4"/>
  <c r="R12" i="4"/>
  <c r="R14" i="4" s="1"/>
  <c r="L46" i="4"/>
  <c r="L47" i="4"/>
  <c r="L48" i="4"/>
  <c r="L36" i="4"/>
  <c r="L33" i="4"/>
  <c r="L34" i="4" s="1"/>
  <c r="L35" i="4" s="1"/>
  <c r="L32" i="4"/>
  <c r="L11" i="4"/>
  <c r="L12" i="4"/>
  <c r="L14" i="4" s="1"/>
  <c r="J29" i="4"/>
  <c r="J32" i="4" s="1"/>
  <c r="J30" i="4"/>
  <c r="J36" i="4" s="1"/>
  <c r="J47" i="4"/>
  <c r="J46" i="4"/>
  <c r="J48" i="4"/>
  <c r="J11" i="4"/>
  <c r="J12" i="4"/>
  <c r="J14" i="4" s="1"/>
  <c r="M45" i="4"/>
  <c r="M48" i="4" s="1"/>
  <c r="M54" i="4" s="1"/>
  <c r="I28" i="4"/>
  <c r="I45" i="4"/>
  <c r="I48" i="4" s="1"/>
  <c r="I53" i="4" s="1"/>
  <c r="K45" i="4"/>
  <c r="K46" i="4" s="1"/>
  <c r="I29" i="4"/>
  <c r="I31" i="4" s="1"/>
  <c r="K28" i="4"/>
  <c r="I36" i="4"/>
  <c r="M28" i="4"/>
  <c r="K29" i="4"/>
  <c r="Q36" i="4"/>
  <c r="Q37" i="4"/>
  <c r="Q45" i="4"/>
  <c r="Q28" i="4"/>
  <c r="O29" i="4"/>
  <c r="O31" i="4" s="1"/>
  <c r="Q29" i="4"/>
  <c r="Q32" i="4" s="1"/>
  <c r="O45" i="4"/>
  <c r="M30" i="4"/>
  <c r="M36" i="4" s="1"/>
  <c r="O28" i="4"/>
  <c r="P36" i="4"/>
  <c r="P37" i="4"/>
  <c r="P45" i="4"/>
  <c r="P29" i="4"/>
  <c r="P28" i="4"/>
  <c r="N33" i="4"/>
  <c r="N34" i="4" s="1"/>
  <c r="N32" i="4"/>
  <c r="N31" i="4"/>
  <c r="N30" i="4"/>
  <c r="N37" i="4" s="1"/>
  <c r="N45" i="4"/>
  <c r="N28" i="4"/>
  <c r="M32" i="4"/>
  <c r="M33" i="4"/>
  <c r="M34" i="4" s="1"/>
  <c r="M31" i="4"/>
  <c r="K36" i="4"/>
  <c r="O36" i="4"/>
  <c r="Q12" i="4"/>
  <c r="Q14" i="4" s="1"/>
  <c r="Q11" i="4"/>
  <c r="P11" i="4"/>
  <c r="P12" i="4"/>
  <c r="P14" i="4" s="1"/>
  <c r="O11" i="4"/>
  <c r="O13" i="4" s="1"/>
  <c r="O19" i="4" s="1"/>
  <c r="O14" i="4"/>
  <c r="N12" i="4"/>
  <c r="N13" i="4" s="1"/>
  <c r="M11" i="4"/>
  <c r="M12" i="4"/>
  <c r="M14" i="4" s="1"/>
  <c r="K12" i="4"/>
  <c r="K14" i="4" s="1"/>
  <c r="K11" i="4"/>
  <c r="I12" i="4"/>
  <c r="I14" i="4" s="1"/>
  <c r="I11" i="4"/>
  <c r="M32" i="8" l="1"/>
  <c r="T43" i="8"/>
  <c r="T48" i="8" s="1"/>
  <c r="T49" i="8" s="1"/>
  <c r="D6" i="8"/>
  <c r="D7" i="8" s="1"/>
  <c r="D10" i="8" s="1"/>
  <c r="U59" i="8"/>
  <c r="U18" i="8"/>
  <c r="U14" i="8"/>
  <c r="U16" i="8"/>
  <c r="U15" i="8"/>
  <c r="U43" i="8"/>
  <c r="U48" i="8" s="1"/>
  <c r="U49" i="8" s="1"/>
  <c r="T50" i="8"/>
  <c r="T51" i="8" s="1"/>
  <c r="T6" i="8"/>
  <c r="T7" i="8" s="1"/>
  <c r="T10" i="8" s="1"/>
  <c r="S45" i="8"/>
  <c r="S47" i="8" s="1"/>
  <c r="S43" i="8"/>
  <c r="S48" i="8" s="1"/>
  <c r="S49" i="8" s="1"/>
  <c r="S50" i="8" s="1"/>
  <c r="S51" i="8" s="1"/>
  <c r="S6" i="8"/>
  <c r="S7" i="8" s="1"/>
  <c r="S10" i="8" s="1"/>
  <c r="R7" i="8"/>
  <c r="R10" i="8" s="1"/>
  <c r="R43" i="8"/>
  <c r="R48" i="8" s="1"/>
  <c r="R49" i="8" s="1"/>
  <c r="Q59" i="8"/>
  <c r="Q18" i="8"/>
  <c r="Q16" i="8"/>
  <c r="Q14" i="8"/>
  <c r="Q15" i="8"/>
  <c r="Q43" i="8"/>
  <c r="Q48" i="8" s="1"/>
  <c r="Q49" i="8" s="1"/>
  <c r="P45" i="8"/>
  <c r="P47" i="8" s="1"/>
  <c r="P43" i="8"/>
  <c r="P48" i="8" s="1"/>
  <c r="P49" i="8" s="1"/>
  <c r="P59" i="8"/>
  <c r="P18" i="8"/>
  <c r="P14" i="8"/>
  <c r="P16" i="8"/>
  <c r="P15" i="8"/>
  <c r="O6" i="8"/>
  <c r="O7" i="8" s="1"/>
  <c r="O10" i="8" s="1"/>
  <c r="N59" i="8"/>
  <c r="N15" i="8"/>
  <c r="N18" i="8"/>
  <c r="N14" i="8"/>
  <c r="N16" i="8"/>
  <c r="E59" i="8"/>
  <c r="E18" i="8"/>
  <c r="E16" i="8"/>
  <c r="E14" i="8"/>
  <c r="E15" i="8"/>
  <c r="L23" i="8"/>
  <c r="L24" i="8" s="1"/>
  <c r="L27" i="8" s="1"/>
  <c r="L25" i="8"/>
  <c r="K20" i="8"/>
  <c r="K26" i="8"/>
  <c r="J59" i="8"/>
  <c r="J18" i="8"/>
  <c r="J16" i="8"/>
  <c r="J15" i="8"/>
  <c r="J13" i="8"/>
  <c r="J11" i="8"/>
  <c r="J14" i="8"/>
  <c r="J12" i="8"/>
  <c r="I25" i="8"/>
  <c r="I23" i="8"/>
  <c r="I24" i="8" s="1"/>
  <c r="I27" i="8" s="1"/>
  <c r="H59" i="8"/>
  <c r="H18" i="8"/>
  <c r="H16" i="8"/>
  <c r="H15" i="8"/>
  <c r="H14" i="8"/>
  <c r="H13" i="8"/>
  <c r="H19" i="8" s="1"/>
  <c r="H12" i="8"/>
  <c r="H11" i="8"/>
  <c r="G20" i="8"/>
  <c r="G21" i="8"/>
  <c r="G26" i="8" s="1"/>
  <c r="G17" i="8"/>
  <c r="F19" i="8"/>
  <c r="F20" i="8"/>
  <c r="F21" i="8"/>
  <c r="F26" i="8" s="1"/>
  <c r="F17" i="8"/>
  <c r="W28" i="8"/>
  <c r="W30" i="8" s="1"/>
  <c r="W31" i="8" s="1"/>
  <c r="B34" i="6"/>
  <c r="A2" i="6" s="1"/>
  <c r="U4" i="6" s="1"/>
  <c r="W4" i="6" s="1"/>
  <c r="K13" i="4"/>
  <c r="K19" i="4" s="1"/>
  <c r="I47" i="4"/>
  <c r="J37" i="4"/>
  <c r="J33" i="4"/>
  <c r="J34" i="4" s="1"/>
  <c r="J31" i="4"/>
  <c r="R13" i="4"/>
  <c r="R15" i="4" s="1"/>
  <c r="R19" i="4"/>
  <c r="R46" i="4"/>
  <c r="R48" i="4"/>
  <c r="R47" i="4"/>
  <c r="R37" i="4"/>
  <c r="R36" i="4"/>
  <c r="R32" i="4"/>
  <c r="R31" i="4"/>
  <c r="R33" i="4"/>
  <c r="R34" i="4" s="1"/>
  <c r="R35" i="4" s="1"/>
  <c r="L51" i="4"/>
  <c r="L52" i="4" s="1"/>
  <c r="L49" i="4"/>
  <c r="L50" i="4"/>
  <c r="L54" i="4"/>
  <c r="L53" i="4"/>
  <c r="L38" i="4"/>
  <c r="L13" i="4"/>
  <c r="K47" i="4"/>
  <c r="K50" i="4" s="1"/>
  <c r="I54" i="4"/>
  <c r="M53" i="4"/>
  <c r="I33" i="4"/>
  <c r="I34" i="4" s="1"/>
  <c r="I35" i="4" s="1"/>
  <c r="I46" i="4"/>
  <c r="M47" i="4"/>
  <c r="M46" i="4"/>
  <c r="I32" i="4"/>
  <c r="J53" i="4"/>
  <c r="J54" i="4"/>
  <c r="J51" i="4"/>
  <c r="J50" i="4"/>
  <c r="J49" i="4"/>
  <c r="J13" i="4"/>
  <c r="J15" i="4" s="1"/>
  <c r="J19" i="4"/>
  <c r="M37" i="4"/>
  <c r="K48" i="4"/>
  <c r="K54" i="4" s="1"/>
  <c r="K32" i="4"/>
  <c r="K33" i="4"/>
  <c r="K34" i="4" s="1"/>
  <c r="K31" i="4"/>
  <c r="K35" i="4" s="1"/>
  <c r="Q48" i="4"/>
  <c r="Q47" i="4"/>
  <c r="Q46" i="4"/>
  <c r="O46" i="4"/>
  <c r="O48" i="4"/>
  <c r="O47" i="4"/>
  <c r="P48" i="4"/>
  <c r="P47" i="4"/>
  <c r="P46" i="4"/>
  <c r="N48" i="4"/>
  <c r="N47" i="4"/>
  <c r="N46" i="4"/>
  <c r="P13" i="4"/>
  <c r="P19" i="4" s="1"/>
  <c r="I13" i="4"/>
  <c r="Q33" i="4"/>
  <c r="Q34" i="4" s="1"/>
  <c r="Q31" i="4"/>
  <c r="K53" i="4"/>
  <c r="O33" i="4"/>
  <c r="O34" i="4" s="1"/>
  <c r="O35" i="4" s="1"/>
  <c r="O32" i="4"/>
  <c r="N35" i="4"/>
  <c r="N36" i="4"/>
  <c r="N38" i="4" s="1"/>
  <c r="M35" i="4"/>
  <c r="I50" i="4"/>
  <c r="I49" i="4"/>
  <c r="I51" i="4"/>
  <c r="P32" i="4"/>
  <c r="P31" i="4"/>
  <c r="P33" i="4"/>
  <c r="P34" i="4" s="1"/>
  <c r="P35" i="4" s="1"/>
  <c r="Q13" i="4"/>
  <c r="Q19" i="4" s="1"/>
  <c r="O15" i="4"/>
  <c r="N19" i="4"/>
  <c r="N15" i="4"/>
  <c r="N14" i="4"/>
  <c r="M13" i="4"/>
  <c r="K15" i="4"/>
  <c r="M35" i="8" l="1"/>
  <c r="M36" i="8" s="1"/>
  <c r="M37" i="8" s="1"/>
  <c r="M39" i="8" s="1"/>
  <c r="M33" i="8"/>
  <c r="Q17" i="8"/>
  <c r="J17" i="8"/>
  <c r="J19" i="8"/>
  <c r="D59" i="8"/>
  <c r="D14" i="8"/>
  <c r="D15" i="8"/>
  <c r="D16" i="8"/>
  <c r="D12" i="8"/>
  <c r="D13" i="8"/>
  <c r="D11" i="8"/>
  <c r="D18" i="8"/>
  <c r="U50" i="8"/>
  <c r="U17" i="8"/>
  <c r="T59" i="8"/>
  <c r="T18" i="8"/>
  <c r="T16" i="8"/>
  <c r="T15" i="8"/>
  <c r="T14" i="8"/>
  <c r="T52" i="8"/>
  <c r="T53" i="8" s="1"/>
  <c r="S59" i="8"/>
  <c r="S18" i="8"/>
  <c r="S16" i="8"/>
  <c r="S14" i="8"/>
  <c r="S15" i="8"/>
  <c r="S52" i="8"/>
  <c r="S53" i="8" s="1"/>
  <c r="R50" i="8"/>
  <c r="R51" i="8" s="1"/>
  <c r="R59" i="8"/>
  <c r="R18" i="8"/>
  <c r="R16" i="8"/>
  <c r="R15" i="8"/>
  <c r="R14" i="8"/>
  <c r="R17" i="8" s="1"/>
  <c r="Q50" i="8"/>
  <c r="Q51" i="8" s="1"/>
  <c r="P50" i="8"/>
  <c r="P17" i="8"/>
  <c r="O59" i="8"/>
  <c r="O18" i="8"/>
  <c r="O27" i="8" s="1"/>
  <c r="O28" i="8" s="1"/>
  <c r="O30" i="8" s="1"/>
  <c r="O31" i="8" s="1"/>
  <c r="O16" i="8"/>
  <c r="O14" i="8"/>
  <c r="O15" i="8"/>
  <c r="N19" i="8"/>
  <c r="N20" i="8"/>
  <c r="N21" i="8"/>
  <c r="N26" i="8" s="1"/>
  <c r="N17" i="8"/>
  <c r="E20" i="8"/>
  <c r="E21" i="8"/>
  <c r="E26" i="8" s="1"/>
  <c r="E17" i="8"/>
  <c r="L28" i="8"/>
  <c r="L30" i="8" s="1"/>
  <c r="L31" i="8" s="1"/>
  <c r="L32" i="8" s="1"/>
  <c r="L33" i="8" s="1"/>
  <c r="K23" i="8"/>
  <c r="K24" i="8" s="1"/>
  <c r="K27" i="8" s="1"/>
  <c r="K25" i="8"/>
  <c r="J20" i="8"/>
  <c r="J21" i="8"/>
  <c r="J26" i="8" s="1"/>
  <c r="I28" i="8"/>
  <c r="I30" i="8" s="1"/>
  <c r="I31" i="8" s="1"/>
  <c r="H17" i="8"/>
  <c r="H20" i="8"/>
  <c r="H21" i="8"/>
  <c r="H26" i="8" s="1"/>
  <c r="G25" i="8"/>
  <c r="G23" i="8"/>
  <c r="G24" i="8" s="1"/>
  <c r="G27" i="8" s="1"/>
  <c r="F25" i="8"/>
  <c r="F23" i="8"/>
  <c r="F24" i="8" s="1"/>
  <c r="F27" i="8" s="1"/>
  <c r="W32" i="8"/>
  <c r="W33" i="8" s="1"/>
  <c r="J35" i="4"/>
  <c r="J38" i="4" s="1"/>
  <c r="K49" i="4"/>
  <c r="K38" i="4"/>
  <c r="K39" i="4" s="1"/>
  <c r="K41" i="4" s="1"/>
  <c r="K42" i="4" s="1"/>
  <c r="J52" i="4"/>
  <c r="I38" i="4"/>
  <c r="Q35" i="4"/>
  <c r="K51" i="4"/>
  <c r="K52" i="4" s="1"/>
  <c r="M38" i="4"/>
  <c r="R50" i="4"/>
  <c r="R51" i="4"/>
  <c r="R49" i="4"/>
  <c r="R38" i="4"/>
  <c r="R53" i="4"/>
  <c r="R54" i="4"/>
  <c r="R52" i="4"/>
  <c r="R16" i="4"/>
  <c r="R17" i="4" s="1"/>
  <c r="L55" i="4"/>
  <c r="L39" i="4"/>
  <c r="L41" i="4" s="1"/>
  <c r="L42" i="4" s="1"/>
  <c r="L40" i="4"/>
  <c r="L15" i="4"/>
  <c r="L19" i="4"/>
  <c r="M51" i="4"/>
  <c r="M49" i="4"/>
  <c r="M52" i="4" s="1"/>
  <c r="M50" i="4"/>
  <c r="M55" i="4" s="1"/>
  <c r="J55" i="4"/>
  <c r="J39" i="4"/>
  <c r="J41" i="4" s="1"/>
  <c r="J42" i="4" s="1"/>
  <c r="J16" i="4"/>
  <c r="J17" i="4" s="1"/>
  <c r="Q15" i="4"/>
  <c r="P54" i="4"/>
  <c r="P53" i="4"/>
  <c r="O50" i="4"/>
  <c r="O49" i="4"/>
  <c r="O51" i="4"/>
  <c r="P51" i="4"/>
  <c r="P50" i="4"/>
  <c r="P49" i="4"/>
  <c r="I52" i="4"/>
  <c r="O54" i="4"/>
  <c r="O53" i="4"/>
  <c r="Q51" i="4"/>
  <c r="Q49" i="4"/>
  <c r="Q50" i="4"/>
  <c r="P15" i="4"/>
  <c r="Q54" i="4"/>
  <c r="Q53" i="4"/>
  <c r="K55" i="4"/>
  <c r="K56" i="4" s="1"/>
  <c r="K57" i="4" s="1"/>
  <c r="N39" i="4"/>
  <c r="N40" i="4" s="1"/>
  <c r="M40" i="4"/>
  <c r="M43" i="4" s="1"/>
  <c r="N51" i="4"/>
  <c r="N49" i="4"/>
  <c r="N50" i="4"/>
  <c r="N53" i="4"/>
  <c r="N54" i="4"/>
  <c r="I19" i="4"/>
  <c r="I15" i="4"/>
  <c r="I16" i="4" s="1"/>
  <c r="I17" i="4" s="1"/>
  <c r="I39" i="4"/>
  <c r="I41" i="4" s="1"/>
  <c r="I42" i="4" s="1"/>
  <c r="M39" i="4"/>
  <c r="M41" i="4"/>
  <c r="M42" i="4" s="1"/>
  <c r="M56" i="4"/>
  <c r="M57" i="4" s="1"/>
  <c r="P38" i="4"/>
  <c r="P39" i="4" s="1"/>
  <c r="P41" i="4" s="1"/>
  <c r="P42" i="4" s="1"/>
  <c r="O38" i="4"/>
  <c r="O39" i="4" s="1"/>
  <c r="O41" i="4" s="1"/>
  <c r="O42" i="4" s="1"/>
  <c r="Q38" i="4"/>
  <c r="Q39" i="4" s="1"/>
  <c r="Q16" i="4"/>
  <c r="Q17" i="4" s="1"/>
  <c r="P16" i="4"/>
  <c r="P17" i="4" s="1"/>
  <c r="O16" i="4"/>
  <c r="O17" i="4" s="1"/>
  <c r="N16" i="4"/>
  <c r="N18" i="4" s="1"/>
  <c r="M19" i="4"/>
  <c r="M15" i="4"/>
  <c r="K16" i="4"/>
  <c r="K17" i="4" s="1"/>
  <c r="M40" i="8" l="1"/>
  <c r="M41" i="8" s="1"/>
  <c r="M42" i="8" s="1"/>
  <c r="M45" i="8" s="1"/>
  <c r="M47" i="8" s="1"/>
  <c r="T17" i="8"/>
  <c r="D19" i="8"/>
  <c r="S17" i="8"/>
  <c r="D17" i="8"/>
  <c r="D21" i="8"/>
  <c r="D26" i="8" s="1"/>
  <c r="D20" i="8"/>
  <c r="O17" i="8"/>
  <c r="K28" i="8"/>
  <c r="K30" i="8" s="1"/>
  <c r="K31" i="8" s="1"/>
  <c r="K32" i="8" s="1"/>
  <c r="K33" i="8" s="1"/>
  <c r="U51" i="8"/>
  <c r="T54" i="8"/>
  <c r="T55" i="8" s="1"/>
  <c r="T56" i="8"/>
  <c r="T57" i="8" s="1"/>
  <c r="S54" i="8"/>
  <c r="S55" i="8" s="1"/>
  <c r="S56" i="8"/>
  <c r="S57" i="8" s="1"/>
  <c r="R52" i="8"/>
  <c r="R53" i="8" s="1"/>
  <c r="Q52" i="8"/>
  <c r="Q53" i="8" s="1"/>
  <c r="P51" i="8"/>
  <c r="O32" i="8"/>
  <c r="O33" i="8" s="1"/>
  <c r="N25" i="8"/>
  <c r="N23" i="8"/>
  <c r="N24" i="8" s="1"/>
  <c r="N27" i="8" s="1"/>
  <c r="E25" i="8"/>
  <c r="E23" i="8"/>
  <c r="E27" i="8" s="1"/>
  <c r="L35" i="8"/>
  <c r="L36" i="8" s="1"/>
  <c r="L37" i="8" s="1"/>
  <c r="L39" i="8" s="1"/>
  <c r="J23" i="8"/>
  <c r="J24" i="8" s="1"/>
  <c r="J27" i="8" s="1"/>
  <c r="J25" i="8"/>
  <c r="I32" i="8"/>
  <c r="H23" i="8"/>
  <c r="H24" i="8" s="1"/>
  <c r="H27" i="8" s="1"/>
  <c r="H25" i="8"/>
  <c r="G28" i="8"/>
  <c r="G30" i="8" s="1"/>
  <c r="G31" i="8" s="1"/>
  <c r="F28" i="8"/>
  <c r="F30" i="8" s="1"/>
  <c r="F31" i="8" s="1"/>
  <c r="W35" i="8"/>
  <c r="W36" i="8" s="1"/>
  <c r="W37" i="8" s="1"/>
  <c r="W39" i="8" s="1"/>
  <c r="K40" i="4"/>
  <c r="K43" i="4" s="1"/>
  <c r="O52" i="4"/>
  <c r="P52" i="4"/>
  <c r="P55" i="4" s="1"/>
  <c r="P56" i="4" s="1"/>
  <c r="P57" i="4" s="1"/>
  <c r="R18" i="4"/>
  <c r="R55" i="4"/>
  <c r="R39" i="4"/>
  <c r="R41" i="4" s="1"/>
  <c r="R42" i="4" s="1"/>
  <c r="L56" i="4"/>
  <c r="L57" i="4" s="1"/>
  <c r="L43" i="4"/>
  <c r="L16" i="4"/>
  <c r="L18" i="4" s="1"/>
  <c r="K58" i="4"/>
  <c r="K59" i="4" s="1"/>
  <c r="J56" i="4"/>
  <c r="J57" i="4" s="1"/>
  <c r="J40" i="4"/>
  <c r="J43" i="4" s="1"/>
  <c r="J18" i="4"/>
  <c r="N41" i="4"/>
  <c r="N42" i="4" s="1"/>
  <c r="N43" i="4" s="1"/>
  <c r="N52" i="4"/>
  <c r="N55" i="4" s="1"/>
  <c r="Q52" i="4"/>
  <c r="O55" i="4"/>
  <c r="O56" i="4" s="1"/>
  <c r="I55" i="4"/>
  <c r="I56" i="4" s="1"/>
  <c r="I57" i="4" s="1"/>
  <c r="I40" i="4"/>
  <c r="I43" i="4" s="1"/>
  <c r="Q55" i="4"/>
  <c r="Q56" i="4" s="1"/>
  <c r="Q57" i="4" s="1"/>
  <c r="M58" i="4"/>
  <c r="M59" i="4" s="1"/>
  <c r="I18" i="4"/>
  <c r="O40" i="4"/>
  <c r="O43" i="4" s="1"/>
  <c r="Q41" i="4"/>
  <c r="Q42" i="4" s="1"/>
  <c r="Q40" i="4"/>
  <c r="P40" i="4"/>
  <c r="P43" i="4" s="1"/>
  <c r="Q18" i="4"/>
  <c r="P18" i="4"/>
  <c r="O18" i="4"/>
  <c r="N17" i="4"/>
  <c r="M16" i="4"/>
  <c r="K18" i="4"/>
  <c r="M43" i="8" l="1"/>
  <c r="M48" i="8" s="1"/>
  <c r="M49" i="8" s="1"/>
  <c r="H28" i="8"/>
  <c r="H30" i="8" s="1"/>
  <c r="H31" i="8" s="1"/>
  <c r="D23" i="8"/>
  <c r="D24" i="8" s="1"/>
  <c r="D27" i="8" s="1"/>
  <c r="D25" i="8"/>
  <c r="U52" i="8"/>
  <c r="R54" i="8"/>
  <c r="R55" i="8" s="1"/>
  <c r="R56" i="8"/>
  <c r="R57" i="8" s="1"/>
  <c r="Q56" i="8"/>
  <c r="Q57" i="8" s="1"/>
  <c r="Q54" i="8"/>
  <c r="Q55" i="8" s="1"/>
  <c r="P52" i="8"/>
  <c r="O35" i="8"/>
  <c r="O36" i="8" s="1"/>
  <c r="O37" i="8" s="1"/>
  <c r="O39" i="8" s="1"/>
  <c r="N28" i="8"/>
  <c r="N30" i="8" s="1"/>
  <c r="N31" i="8" s="1"/>
  <c r="E28" i="8"/>
  <c r="E30" i="8" s="1"/>
  <c r="E31" i="8" s="1"/>
  <c r="L40" i="8"/>
  <c r="L41" i="8" s="1"/>
  <c r="L42" i="8" s="1"/>
  <c r="L45" i="8" s="1"/>
  <c r="L47" i="8" s="1"/>
  <c r="K35" i="8"/>
  <c r="K36" i="8" s="1"/>
  <c r="K37" i="8" s="1"/>
  <c r="K39" i="8" s="1"/>
  <c r="J28" i="8"/>
  <c r="J30" i="8" s="1"/>
  <c r="J31" i="8" s="1"/>
  <c r="I35" i="8"/>
  <c r="I36" i="8" s="1"/>
  <c r="I37" i="8" s="1"/>
  <c r="I39" i="8" s="1"/>
  <c r="I33" i="8"/>
  <c r="H32" i="8"/>
  <c r="H33" i="8" s="1"/>
  <c r="G32" i="8"/>
  <c r="F32" i="8"/>
  <c r="F33" i="8" s="1"/>
  <c r="W40" i="8"/>
  <c r="W41" i="8" s="1"/>
  <c r="W42" i="8" s="1"/>
  <c r="W45" i="8" s="1"/>
  <c r="W47" i="8" s="1"/>
  <c r="R40" i="4"/>
  <c r="R43" i="4" s="1"/>
  <c r="R56" i="4"/>
  <c r="R57" i="4" s="1"/>
  <c r="R25" i="4"/>
  <c r="L58" i="4"/>
  <c r="L59" i="4" s="1"/>
  <c r="L17" i="4"/>
  <c r="J58" i="4"/>
  <c r="J59" i="4" s="1"/>
  <c r="J25" i="4"/>
  <c r="N56" i="4"/>
  <c r="N57" i="4" s="1"/>
  <c r="N58" i="4" s="1"/>
  <c r="N59" i="4" s="1"/>
  <c r="P58" i="4"/>
  <c r="P59" i="4" s="1"/>
  <c r="I58" i="4"/>
  <c r="I59" i="4" s="1"/>
  <c r="Q58" i="4"/>
  <c r="Q59" i="4" s="1"/>
  <c r="Q43" i="4"/>
  <c r="O57" i="4"/>
  <c r="I4" i="4"/>
  <c r="Q25" i="4"/>
  <c r="P25" i="4"/>
  <c r="O25" i="4"/>
  <c r="M17" i="4"/>
  <c r="M18" i="4"/>
  <c r="K25" i="4"/>
  <c r="K4" i="4" s="1"/>
  <c r="M50" i="8" l="1"/>
  <c r="D28" i="8"/>
  <c r="D30" i="8" s="1"/>
  <c r="D31" i="8" s="1"/>
  <c r="D32" i="8"/>
  <c r="D35" i="8" s="1"/>
  <c r="D36" i="8" s="1"/>
  <c r="D37" i="8" s="1"/>
  <c r="D39" i="8" s="1"/>
  <c r="D40" i="8" s="1"/>
  <c r="D41" i="8" s="1"/>
  <c r="D42" i="8" s="1"/>
  <c r="D45" i="8" s="1"/>
  <c r="D47" i="8" s="1"/>
  <c r="D33" i="8"/>
  <c r="J32" i="8"/>
  <c r="J33" i="8" s="1"/>
  <c r="U53" i="8"/>
  <c r="P53" i="8"/>
  <c r="O40" i="8"/>
  <c r="O41" i="8" s="1"/>
  <c r="O42" i="8" s="1"/>
  <c r="O45" i="8" s="1"/>
  <c r="O47" i="8" s="1"/>
  <c r="N32" i="8"/>
  <c r="N33" i="8" s="1"/>
  <c r="E32" i="8"/>
  <c r="L43" i="8"/>
  <c r="L48" i="8" s="1"/>
  <c r="L49" i="8" s="1"/>
  <c r="K40" i="8"/>
  <c r="K41" i="8" s="1"/>
  <c r="K42" i="8" s="1"/>
  <c r="K45" i="8" s="1"/>
  <c r="K47" i="8" s="1"/>
  <c r="J35" i="8"/>
  <c r="J36" i="8" s="1"/>
  <c r="J37" i="8" s="1"/>
  <c r="J39" i="8" s="1"/>
  <c r="I40" i="8"/>
  <c r="I41" i="8" s="1"/>
  <c r="I42" i="8" s="1"/>
  <c r="I45" i="8" s="1"/>
  <c r="I47" i="8" s="1"/>
  <c r="H35" i="8"/>
  <c r="H36" i="8" s="1"/>
  <c r="H37" i="8" s="1"/>
  <c r="H39" i="8" s="1"/>
  <c r="G35" i="8"/>
  <c r="G36" i="8" s="1"/>
  <c r="G37" i="8" s="1"/>
  <c r="G39" i="8" s="1"/>
  <c r="G33" i="8"/>
  <c r="F35" i="8"/>
  <c r="F36" i="8" s="1"/>
  <c r="F37" i="8" s="1"/>
  <c r="F39" i="8" s="1"/>
  <c r="W43" i="8"/>
  <c r="P4" i="4"/>
  <c r="J4" i="4"/>
  <c r="Q4" i="4"/>
  <c r="R58" i="4"/>
  <c r="R59" i="4" s="1"/>
  <c r="R4" i="4" s="1"/>
  <c r="O58" i="4"/>
  <c r="O59" i="4" s="1"/>
  <c r="O4" i="4" s="1"/>
  <c r="N25" i="4"/>
  <c r="N4" i="4" s="1"/>
  <c r="M25" i="4"/>
  <c r="M4" i="4" s="1"/>
  <c r="M51" i="8" l="1"/>
  <c r="D43" i="8"/>
  <c r="D48" i="8" s="1"/>
  <c r="D49" i="8" s="1"/>
  <c r="D50" i="8" s="1"/>
  <c r="D51" i="8" s="1"/>
  <c r="U54" i="8"/>
  <c r="U55" i="8" s="1"/>
  <c r="U56" i="8"/>
  <c r="U57" i="8" s="1"/>
  <c r="P54" i="8"/>
  <c r="P55" i="8" s="1"/>
  <c r="P56" i="8"/>
  <c r="P57" i="8" s="1"/>
  <c r="O43" i="8"/>
  <c r="O48" i="8" s="1"/>
  <c r="O49" i="8" s="1"/>
  <c r="N35" i="8"/>
  <c r="N36" i="8" s="1"/>
  <c r="N37" i="8" s="1"/>
  <c r="N39" i="8" s="1"/>
  <c r="E35" i="8"/>
  <c r="E36" i="8" s="1"/>
  <c r="E37" i="8" s="1"/>
  <c r="E39" i="8" s="1"/>
  <c r="E33" i="8"/>
  <c r="L50" i="8"/>
  <c r="K43" i="8"/>
  <c r="K48" i="8" s="1"/>
  <c r="K49" i="8" s="1"/>
  <c r="J40" i="8"/>
  <c r="J41" i="8" s="1"/>
  <c r="J42" i="8" s="1"/>
  <c r="J45" i="8" s="1"/>
  <c r="J47" i="8" s="1"/>
  <c r="I43" i="8"/>
  <c r="I48" i="8" s="1"/>
  <c r="I49" i="8" s="1"/>
  <c r="H40" i="8"/>
  <c r="H41" i="8" s="1"/>
  <c r="H42" i="8" s="1"/>
  <c r="H45" i="8" s="1"/>
  <c r="H47" i="8" s="1"/>
  <c r="G40" i="8"/>
  <c r="G41" i="8" s="1"/>
  <c r="G42" i="8" s="1"/>
  <c r="G45" i="8" s="1"/>
  <c r="G47" i="8" s="1"/>
  <c r="F40" i="8"/>
  <c r="F41" i="8" s="1"/>
  <c r="F42" i="8" s="1"/>
  <c r="F45" i="8" s="1"/>
  <c r="F47" i="8" s="1"/>
  <c r="D52" i="8"/>
  <c r="D53" i="8" s="1"/>
  <c r="W48" i="8"/>
  <c r="W49" i="8" s="1"/>
  <c r="W50" i="8" s="1"/>
  <c r="L25" i="4"/>
  <c r="L4" i="4" s="1"/>
  <c r="M52" i="8" l="1"/>
  <c r="O50" i="8"/>
  <c r="N40" i="8"/>
  <c r="N41" i="8" s="1"/>
  <c r="N42" i="8" s="1"/>
  <c r="N45" i="8" s="1"/>
  <c r="N47" i="8" s="1"/>
  <c r="E40" i="8"/>
  <c r="E41" i="8" s="1"/>
  <c r="E42" i="8" s="1"/>
  <c r="E45" i="8" s="1"/>
  <c r="E47" i="8" s="1"/>
  <c r="L51" i="8"/>
  <c r="K50" i="8"/>
  <c r="J43" i="8"/>
  <c r="J48" i="8" s="1"/>
  <c r="J49" i="8" s="1"/>
  <c r="J50" i="8" s="1"/>
  <c r="I50" i="8"/>
  <c r="H43" i="8"/>
  <c r="H48" i="8" s="1"/>
  <c r="H49" i="8" s="1"/>
  <c r="G43" i="8"/>
  <c r="G48" i="8" s="1"/>
  <c r="G49" i="8" s="1"/>
  <c r="F43" i="8"/>
  <c r="F48" i="8" s="1"/>
  <c r="F49" i="8" s="1"/>
  <c r="D54" i="8"/>
  <c r="D55" i="8" s="1"/>
  <c r="D56" i="8"/>
  <c r="D57" i="8" s="1"/>
  <c r="W51" i="8"/>
  <c r="M53" i="8" l="1"/>
  <c r="O51" i="8"/>
  <c r="N43" i="8"/>
  <c r="N48" i="8" s="1"/>
  <c r="N49" i="8" s="1"/>
  <c r="E43" i="8"/>
  <c r="E48" i="8" s="1"/>
  <c r="E49" i="8" s="1"/>
  <c r="L52" i="8"/>
  <c r="K51" i="8"/>
  <c r="J51" i="8"/>
  <c r="I51" i="8"/>
  <c r="H50" i="8"/>
  <c r="H51" i="8" s="1"/>
  <c r="G50" i="8"/>
  <c r="F50" i="8"/>
  <c r="F51" i="8" s="1"/>
  <c r="W52" i="8"/>
  <c r="M54" i="8" l="1"/>
  <c r="M55" i="8" s="1"/>
  <c r="M56" i="8"/>
  <c r="M57" i="8" s="1"/>
  <c r="O52" i="8"/>
  <c r="N50" i="8"/>
  <c r="N51" i="8" s="1"/>
  <c r="E50" i="8"/>
  <c r="L53" i="8"/>
  <c r="K52" i="8"/>
  <c r="K53" i="8" s="1"/>
  <c r="J52" i="8"/>
  <c r="I52" i="8"/>
  <c r="H52" i="8"/>
  <c r="H53" i="8" s="1"/>
  <c r="G51" i="8"/>
  <c r="F52" i="8"/>
  <c r="F53" i="8" s="1"/>
  <c r="W53" i="8"/>
  <c r="W56" i="8" s="1"/>
  <c r="W57" i="8" s="1"/>
  <c r="O53" i="8" l="1"/>
  <c r="N52" i="8"/>
  <c r="N53" i="8"/>
  <c r="N56" i="8" s="1"/>
  <c r="N57" i="8" s="1"/>
  <c r="E51" i="8"/>
  <c r="L54" i="8"/>
  <c r="L55" i="8" s="1"/>
  <c r="L56" i="8"/>
  <c r="L57" i="8" s="1"/>
  <c r="K54" i="8"/>
  <c r="K55" i="8" s="1"/>
  <c r="K56" i="8"/>
  <c r="K57" i="8" s="1"/>
  <c r="J53" i="8"/>
  <c r="I53" i="8"/>
  <c r="H54" i="8"/>
  <c r="H55" i="8" s="1"/>
  <c r="H56" i="8"/>
  <c r="H57" i="8" s="1"/>
  <c r="G52" i="8"/>
  <c r="F54" i="8"/>
  <c r="F55" i="8" s="1"/>
  <c r="F56" i="8"/>
  <c r="F57" i="8" s="1"/>
  <c r="W54" i="8"/>
  <c r="W55" i="8" s="1"/>
  <c r="O54" i="8" l="1"/>
  <c r="O55" i="8" s="1"/>
  <c r="O56" i="8"/>
  <c r="O57" i="8" s="1"/>
  <c r="N54" i="8"/>
  <c r="N55" i="8" s="1"/>
  <c r="E52" i="8"/>
  <c r="E53" i="8" s="1"/>
  <c r="J54" i="8"/>
  <c r="J55" i="8" s="1"/>
  <c r="J56" i="8"/>
  <c r="J57" i="8" s="1"/>
  <c r="I54" i="8"/>
  <c r="I55" i="8" s="1"/>
  <c r="I56" i="8"/>
  <c r="I57" i="8" s="1"/>
  <c r="G53" i="8"/>
  <c r="E54" i="8" l="1"/>
  <c r="E55" i="8" s="1"/>
  <c r="E56" i="8"/>
  <c r="E57" i="8" s="1"/>
  <c r="G54" i="8"/>
  <c r="G55" i="8" s="1"/>
  <c r="G56" i="8"/>
  <c r="G57" i="8" s="1"/>
</calcChain>
</file>

<file path=xl/sharedStrings.xml><?xml version="1.0" encoding="utf-8"?>
<sst xmlns="http://schemas.openxmlformats.org/spreadsheetml/2006/main" count="479" uniqueCount="259">
  <si>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</si>
  <si>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</si>
  <si>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</si>
  <si>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</si>
  <si>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</si>
  <si>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</si>
  <si>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</si>
  <si>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</si>
  <si>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</si>
  <si>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</si>
  <si>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</si>
  <si>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</si>
  <si>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</si>
  <si>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</si>
  <si>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Y mod 19</t>
  </si>
  <si>
    <t>Y mod 100</t>
  </si>
  <si>
    <t>b mod 4</t>
  </si>
  <si>
    <t>c mod 4</t>
  </si>
  <si>
    <t>year</t>
  </si>
  <si>
    <t>Dividend</t>
  </si>
  <si>
    <t>Divisor</t>
  </si>
  <si>
    <t>Quotient</t>
  </si>
  <si>
    <t>Y</t>
  </si>
  <si>
    <t>--</t>
  </si>
  <si>
    <t>b+8</t>
  </si>
  <si>
    <t>b-f+1</t>
  </si>
  <si>
    <t>19a+b-d-g+15</t>
  </si>
  <si>
    <t>32+2e+2i-h-k</t>
  </si>
  <si>
    <t>h+l-7m+114</t>
  </si>
  <si>
    <t>p</t>
  </si>
  <si>
    <t>(h+l-7m+33n+19) mod 32</t>
  </si>
  <si>
    <t>Month</t>
  </si>
  <si>
    <t>Day</t>
  </si>
  <si>
    <t>https://en.wikipedia.org/wiki/Date_of_Easter</t>
  </si>
  <si>
    <t>Var</t>
  </si>
  <si>
    <t>Definition</t>
  </si>
  <si>
    <t>=</t>
  </si>
  <si>
    <t>Yr mod 19</t>
  </si>
  <si>
    <t>Yr mod 4</t>
  </si>
  <si>
    <t>Yr mod 7</t>
  </si>
  <si>
    <t>q</t>
  </si>
  <si>
    <t>M</t>
  </si>
  <si>
    <t>N</t>
  </si>
  <si>
    <t>Note: in Gauss algorithm, for Julian calendar, M = 15, N = 6; no need for k, p, or q)</t>
  </si>
  <si>
    <r>
      <t>E</t>
    </r>
    <r>
      <rPr>
        <vertAlign val="subscript"/>
        <sz val="11"/>
        <color theme="1"/>
        <rFont val="Calibri"/>
        <family val="2"/>
        <scheme val="minor"/>
      </rPr>
      <t>m</t>
    </r>
  </si>
  <si>
    <r>
      <t>E</t>
    </r>
    <r>
      <rPr>
        <vertAlign val="subscript"/>
        <sz val="11"/>
        <color theme="1"/>
        <rFont val="Calibri"/>
        <family val="2"/>
        <scheme val="minor"/>
      </rPr>
      <t>a</t>
    </r>
  </si>
  <si>
    <t>22 + d + e</t>
  </si>
  <si>
    <t>d + e - 9</t>
  </si>
  <si>
    <r>
      <t>A</t>
    </r>
    <r>
      <rPr>
        <vertAlign val="subscript"/>
        <sz val="11"/>
        <color theme="1"/>
        <rFont val="Calibri"/>
        <family val="2"/>
        <scheme val="minor"/>
      </rPr>
      <t>f1</t>
    </r>
  </si>
  <si>
    <r>
      <t>A</t>
    </r>
    <r>
      <rPr>
        <vertAlign val="subscript"/>
        <sz val="11"/>
        <color theme="1"/>
        <rFont val="Calibri"/>
        <family val="2"/>
        <scheme val="minor"/>
      </rPr>
      <t>f2</t>
    </r>
  </si>
  <si>
    <t>(11M + 11) mod 30</t>
  </si>
  <si>
    <t>Yr</t>
  </si>
  <si>
    <t>Year</t>
  </si>
  <si>
    <t>⌊b / 4⌋</t>
  </si>
  <si>
    <t>Meeus/Jones/Butcher</t>
  </si>
  <si>
    <r>
      <t>(</t>
    </r>
    <r>
      <rPr>
        <i/>
        <sz val="11"/>
        <color rgb="FF202122"/>
        <rFont val="Calibri"/>
        <family val="2"/>
        <scheme val="minor"/>
      </rPr>
      <t>h</t>
    </r>
    <r>
      <rPr>
        <sz val="11"/>
        <color rgb="FF202122"/>
        <rFont val="Calibri"/>
        <family val="2"/>
        <scheme val="minor"/>
      </rPr>
      <t> + </t>
    </r>
    <r>
      <rPr>
        <i/>
        <sz val="11"/>
        <color rgb="FF202122"/>
        <rFont val="Calibri"/>
        <family val="2"/>
        <scheme val="minor"/>
      </rPr>
      <t>l</t>
    </r>
    <r>
      <rPr>
        <sz val="11"/>
        <color rgb="FF202122"/>
        <rFont val="Calibri"/>
        <family val="2"/>
        <scheme val="minor"/>
      </rPr>
      <t> − 7</t>
    </r>
    <r>
      <rPr>
        <i/>
        <sz val="11"/>
        <color rgb="FF202122"/>
        <rFont val="Calibri"/>
        <family val="2"/>
        <scheme val="minor"/>
      </rPr>
      <t>m</t>
    </r>
    <r>
      <rPr>
        <sz val="11"/>
        <color rgb="FF202122"/>
        <rFont val="Calibri"/>
        <family val="2"/>
        <scheme val="minor"/>
      </rPr>
      <t> + 114) mod 31</t>
    </r>
  </si>
  <si>
    <t>o + 1</t>
  </si>
  <si>
    <t>Note: ⌊ &lt;val&gt; ⌋ means take the FLOOR(val) or round down to an integer</t>
  </si>
  <si>
    <t>Gauss Date:</t>
  </si>
  <si>
    <r>
      <t>(15 − </t>
    </r>
    <r>
      <rPr>
        <i/>
        <sz val="11"/>
        <color rgb="FF202122"/>
        <rFont val="Calibri"/>
        <family val="2"/>
        <scheme val="minor"/>
      </rPr>
      <t>p</t>
    </r>
    <r>
      <rPr>
        <sz val="11"/>
        <color rgb="FF202122"/>
        <rFont val="Calibri"/>
        <family val="2"/>
        <scheme val="minor"/>
      </rPr>
      <t> + </t>
    </r>
    <r>
      <rPr>
        <i/>
        <sz val="11"/>
        <color rgb="FF202122"/>
        <rFont val="Calibri"/>
        <family val="2"/>
        <scheme val="minor"/>
      </rPr>
      <t>k</t>
    </r>
    <r>
      <rPr>
        <sz val="11"/>
        <color rgb="FF202122"/>
        <rFont val="Calibri"/>
        <family val="2"/>
        <scheme val="minor"/>
      </rPr>
      <t> − </t>
    </r>
    <r>
      <rPr>
        <i/>
        <sz val="11"/>
        <color rgb="FF202122"/>
        <rFont val="Calibri"/>
        <family val="2"/>
        <scheme val="minor"/>
      </rPr>
      <t>q</t>
    </r>
    <r>
      <rPr>
        <sz val="11"/>
        <color rgb="FF202122"/>
        <rFont val="Calibri"/>
        <family val="2"/>
        <scheme val="minor"/>
      </rPr>
      <t>) mod 30</t>
    </r>
  </si>
  <si>
    <r>
      <t>(4 + </t>
    </r>
    <r>
      <rPr>
        <i/>
        <sz val="11"/>
        <color rgb="FF202122"/>
        <rFont val="Calibri"/>
        <family val="2"/>
        <scheme val="minor"/>
      </rPr>
      <t>k</t>
    </r>
    <r>
      <rPr>
        <sz val="11"/>
        <color rgb="FF202122"/>
        <rFont val="Calibri"/>
        <family val="2"/>
        <scheme val="minor"/>
      </rPr>
      <t> − </t>
    </r>
    <r>
      <rPr>
        <i/>
        <sz val="11"/>
        <color rgb="FF202122"/>
        <rFont val="Calibri"/>
        <family val="2"/>
        <scheme val="minor"/>
      </rPr>
      <t>q</t>
    </r>
    <r>
      <rPr>
        <sz val="11"/>
        <color rgb="FF202122"/>
        <rFont val="Calibri"/>
        <family val="2"/>
        <scheme val="minor"/>
      </rPr>
      <t>) mod 7</t>
    </r>
  </si>
  <si>
    <r>
      <t>(19</t>
    </r>
    <r>
      <rPr>
        <i/>
        <sz val="11"/>
        <color rgb="FF202122"/>
        <rFont val="Calibri"/>
        <family val="2"/>
        <scheme val="minor"/>
      </rPr>
      <t>a</t>
    </r>
    <r>
      <rPr>
        <sz val="11"/>
        <color rgb="FF202122"/>
        <rFont val="Calibri"/>
        <family val="2"/>
        <scheme val="minor"/>
      </rPr>
      <t> + </t>
    </r>
    <r>
      <rPr>
        <i/>
        <sz val="11"/>
        <color rgb="FF202122"/>
        <rFont val="Calibri"/>
        <family val="2"/>
        <scheme val="minor"/>
      </rPr>
      <t>M</t>
    </r>
    <r>
      <rPr>
        <sz val="11"/>
        <color rgb="FF202122"/>
        <rFont val="Calibri"/>
        <family val="2"/>
        <scheme val="minor"/>
      </rPr>
      <t>) mod 30</t>
    </r>
  </si>
  <si>
    <r>
      <t>(2</t>
    </r>
    <r>
      <rPr>
        <i/>
        <sz val="11"/>
        <color rgb="FF202122"/>
        <rFont val="Calibri"/>
        <family val="2"/>
        <scheme val="minor"/>
      </rPr>
      <t>b</t>
    </r>
    <r>
      <rPr>
        <sz val="11"/>
        <color rgb="FF202122"/>
        <rFont val="Calibri"/>
        <family val="2"/>
        <scheme val="minor"/>
      </rPr>
      <t> + 4</t>
    </r>
    <r>
      <rPr>
        <i/>
        <sz val="11"/>
        <color rgb="FF202122"/>
        <rFont val="Calibri"/>
        <family val="2"/>
        <scheme val="minor"/>
      </rPr>
      <t>c</t>
    </r>
    <r>
      <rPr>
        <sz val="11"/>
        <color rgb="FF202122"/>
        <rFont val="Calibri"/>
        <family val="2"/>
        <scheme val="minor"/>
      </rPr>
      <t> + 6</t>
    </r>
    <r>
      <rPr>
        <i/>
        <sz val="11"/>
        <color rgb="FF202122"/>
        <rFont val="Calibri"/>
        <family val="2"/>
        <scheme val="minor"/>
      </rPr>
      <t>d</t>
    </r>
    <r>
      <rPr>
        <sz val="11"/>
        <color rgb="FF202122"/>
        <rFont val="Calibri"/>
        <family val="2"/>
        <scheme val="minor"/>
      </rPr>
      <t> + </t>
    </r>
    <r>
      <rPr>
        <i/>
        <sz val="11"/>
        <color rgb="FF202122"/>
        <rFont val="Calibri"/>
        <family val="2"/>
        <scheme val="minor"/>
      </rPr>
      <t>N</t>
    </r>
    <r>
      <rPr>
        <sz val="11"/>
        <color rgb="FF202122"/>
        <rFont val="Calibri"/>
        <family val="2"/>
        <scheme val="minor"/>
      </rPr>
      <t>) mod 7</t>
    </r>
  </si>
  <si>
    <r>
      <t>(19</t>
    </r>
    <r>
      <rPr>
        <i/>
        <sz val="11"/>
        <color rgb="FF202122"/>
        <rFont val="Calibri"/>
        <family val="2"/>
        <scheme val="minor"/>
      </rPr>
      <t>a</t>
    </r>
    <r>
      <rPr>
        <sz val="11"/>
        <color rgb="FF202122"/>
        <rFont val="Calibri"/>
        <family val="2"/>
        <scheme val="minor"/>
      </rPr>
      <t> + </t>
    </r>
    <r>
      <rPr>
        <i/>
        <sz val="11"/>
        <color rgb="FF202122"/>
        <rFont val="Calibri"/>
        <family val="2"/>
        <scheme val="minor"/>
      </rPr>
      <t>b</t>
    </r>
    <r>
      <rPr>
        <sz val="11"/>
        <color rgb="FF202122"/>
        <rFont val="Calibri"/>
        <family val="2"/>
        <scheme val="minor"/>
      </rPr>
      <t> − </t>
    </r>
    <r>
      <rPr>
        <i/>
        <sz val="11"/>
        <color rgb="FF202122"/>
        <rFont val="Calibri"/>
        <family val="2"/>
        <scheme val="minor"/>
      </rPr>
      <t>d</t>
    </r>
    <r>
      <rPr>
        <sz val="11"/>
        <color rgb="FF202122"/>
        <rFont val="Calibri"/>
        <family val="2"/>
        <scheme val="minor"/>
      </rPr>
      <t> − </t>
    </r>
    <r>
      <rPr>
        <i/>
        <sz val="11"/>
        <color rgb="FF202122"/>
        <rFont val="Calibri"/>
        <family val="2"/>
        <scheme val="minor"/>
      </rPr>
      <t>g</t>
    </r>
    <r>
      <rPr>
        <sz val="11"/>
        <color rgb="FF202122"/>
        <rFont val="Calibri"/>
        <family val="2"/>
        <scheme val="minor"/>
      </rPr>
      <t> + 15) mod 30</t>
    </r>
  </si>
  <si>
    <r>
      <t>(32 + 2</t>
    </r>
    <r>
      <rPr>
        <i/>
        <sz val="11"/>
        <color rgb="FF202122"/>
        <rFont val="Calibri"/>
        <family val="2"/>
        <scheme val="minor"/>
      </rPr>
      <t>e</t>
    </r>
    <r>
      <rPr>
        <sz val="11"/>
        <color rgb="FF202122"/>
        <rFont val="Calibri"/>
        <family val="2"/>
        <scheme val="minor"/>
      </rPr>
      <t> + 2</t>
    </r>
    <r>
      <rPr>
        <i/>
        <sz val="11"/>
        <color rgb="FF202122"/>
        <rFont val="Calibri"/>
        <family val="2"/>
        <scheme val="minor"/>
      </rPr>
      <t>i</t>
    </r>
    <r>
      <rPr>
        <sz val="11"/>
        <color rgb="FF202122"/>
        <rFont val="Calibri"/>
        <family val="2"/>
        <scheme val="minor"/>
      </rPr>
      <t> − </t>
    </r>
    <r>
      <rPr>
        <i/>
        <sz val="11"/>
        <color rgb="FF202122"/>
        <rFont val="Calibri"/>
        <family val="2"/>
        <scheme val="minor"/>
      </rPr>
      <t>h</t>
    </r>
    <r>
      <rPr>
        <sz val="11"/>
        <color rgb="FF202122"/>
        <rFont val="Calibri"/>
        <family val="2"/>
        <scheme val="minor"/>
      </rPr>
      <t> − </t>
    </r>
    <r>
      <rPr>
        <i/>
        <sz val="11"/>
        <color rgb="FF202122"/>
        <rFont val="Calibri"/>
        <family val="2"/>
        <scheme val="minor"/>
      </rPr>
      <t>k</t>
    </r>
    <r>
      <rPr>
        <sz val="11"/>
        <color rgb="FF202122"/>
        <rFont val="Calibri"/>
        <family val="2"/>
        <scheme val="minor"/>
      </rPr>
      <t>) mod 7</t>
    </r>
  </si>
  <si>
    <t>Remain</t>
  </si>
  <si>
    <t>a+11h+22 l</t>
  </si>
  <si>
    <t>(original format)</t>
  </si>
  <si>
    <t>New Scientist Date</t>
  </si>
  <si>
    <r>
      <t xml:space="preserve">⌊Yr </t>
    </r>
    <r>
      <rPr>
        <sz val="11"/>
        <color rgb="FF202122"/>
        <rFont val="Calibri"/>
        <family val="2"/>
        <scheme val="minor"/>
      </rPr>
      <t>/ 100⌋</t>
    </r>
  </si>
  <si>
    <r>
      <t>⌊ (</t>
    </r>
    <r>
      <rPr>
        <sz val="11"/>
        <color rgb="FF202122"/>
        <rFont val="Calibri"/>
        <family val="2"/>
        <scheme val="minor"/>
      </rPr>
      <t>13 + 8</t>
    </r>
    <r>
      <rPr>
        <i/>
        <sz val="11"/>
        <color rgb="FF202122"/>
        <rFont val="Calibri"/>
        <family val="2"/>
        <scheme val="minor"/>
      </rPr>
      <t xml:space="preserve">k) </t>
    </r>
    <r>
      <rPr>
        <sz val="11"/>
        <color rgb="FF202122"/>
        <rFont val="Calibri"/>
        <family val="2"/>
        <scheme val="minor"/>
      </rPr>
      <t>/ 25 ⌋</t>
    </r>
  </si>
  <si>
    <r>
      <t>⌊</t>
    </r>
    <r>
      <rPr>
        <i/>
        <sz val="11"/>
        <color rgb="FF202122"/>
        <rFont val="Calibri"/>
        <family val="2"/>
        <scheme val="minor"/>
      </rPr>
      <t xml:space="preserve">k </t>
    </r>
    <r>
      <rPr>
        <sz val="11"/>
        <color rgb="FF202122"/>
        <rFont val="Calibri"/>
        <family val="2"/>
        <scheme val="minor"/>
      </rPr>
      <t>/ 4⌋</t>
    </r>
  </si>
  <si>
    <r>
      <t xml:space="preserve">⌊Y </t>
    </r>
    <r>
      <rPr>
        <sz val="11"/>
        <color rgb="FF202122"/>
        <rFont val="Calibri"/>
        <family val="2"/>
        <scheme val="minor"/>
      </rPr>
      <t>/ 100⌋</t>
    </r>
  </si>
  <si>
    <r>
      <t>⌊(</t>
    </r>
    <r>
      <rPr>
        <i/>
        <sz val="11"/>
        <color rgb="FF202122"/>
        <rFont val="Calibri"/>
        <family val="2"/>
        <scheme val="minor"/>
      </rPr>
      <t>b</t>
    </r>
    <r>
      <rPr>
        <sz val="11"/>
        <color rgb="FF202122"/>
        <rFont val="Calibri"/>
        <family val="2"/>
        <scheme val="minor"/>
      </rPr>
      <t> + 8) / 25⌋</t>
    </r>
  </si>
  <si>
    <r>
      <t>⌊(</t>
    </r>
    <r>
      <rPr>
        <i/>
        <sz val="11"/>
        <color rgb="FF202122"/>
        <rFont val="Calibri"/>
        <family val="2"/>
        <scheme val="minor"/>
      </rPr>
      <t>b</t>
    </r>
    <r>
      <rPr>
        <sz val="11"/>
        <color rgb="FF202122"/>
        <rFont val="Calibri"/>
        <family val="2"/>
        <scheme val="minor"/>
      </rPr>
      <t> − </t>
    </r>
    <r>
      <rPr>
        <i/>
        <sz val="11"/>
        <color rgb="FF202122"/>
        <rFont val="Calibri"/>
        <family val="2"/>
        <scheme val="minor"/>
      </rPr>
      <t>f</t>
    </r>
    <r>
      <rPr>
        <sz val="11"/>
        <color rgb="FF202122"/>
        <rFont val="Calibri"/>
        <family val="2"/>
        <scheme val="minor"/>
      </rPr>
      <t> + 1)/3⌋</t>
    </r>
  </si>
  <si>
    <r>
      <t>⌊</t>
    </r>
    <r>
      <rPr>
        <i/>
        <sz val="11"/>
        <color rgb="FF202122"/>
        <rFont val="Calibri"/>
        <family val="2"/>
        <scheme val="minor"/>
      </rPr>
      <t xml:space="preserve">c </t>
    </r>
    <r>
      <rPr>
        <sz val="11"/>
        <color rgb="FF202122"/>
        <rFont val="Calibri"/>
        <family val="2"/>
        <scheme val="minor"/>
      </rPr>
      <t>/ 4⌋</t>
    </r>
  </si>
  <si>
    <r>
      <t>⌊ (</t>
    </r>
    <r>
      <rPr>
        <sz val="11"/>
        <color rgb="FF202122"/>
        <rFont val="Calibri"/>
        <family val="2"/>
        <scheme val="minor"/>
      </rPr>
      <t xml:space="preserve">a + 11h + 22 </t>
    </r>
    <r>
      <rPr>
        <i/>
        <sz val="11"/>
        <color rgb="FF202122"/>
        <rFont val="Calibri"/>
        <family val="2"/>
        <scheme val="minor"/>
      </rPr>
      <t>l</t>
    </r>
    <r>
      <rPr>
        <sz val="11"/>
        <color rgb="FF202122"/>
        <rFont val="Calibri"/>
        <family val="2"/>
        <scheme val="minor"/>
      </rPr>
      <t xml:space="preserve">) / 451 ⌋ </t>
    </r>
  </si>
  <si>
    <r>
      <t>⌊ (h + </t>
    </r>
    <r>
      <rPr>
        <i/>
        <sz val="11"/>
        <color rgb="FF202122"/>
        <rFont val="Calibri"/>
        <family val="2"/>
        <scheme val="minor"/>
      </rPr>
      <t>l</t>
    </r>
    <r>
      <rPr>
        <sz val="11"/>
        <color rgb="FF202122"/>
        <rFont val="Calibri"/>
        <family val="2"/>
        <scheme val="minor"/>
      </rPr>
      <t> − 7m + 114) / 31 ⌋</t>
    </r>
  </si>
  <si>
    <r>
      <t>⌊ (</t>
    </r>
    <r>
      <rPr>
        <sz val="11"/>
        <color rgb="FF202122"/>
        <rFont val="Calibri"/>
        <family val="2"/>
        <scheme val="minor"/>
      </rPr>
      <t xml:space="preserve">a + 11h + 19 </t>
    </r>
    <r>
      <rPr>
        <i/>
        <sz val="11"/>
        <color rgb="FF202122"/>
        <rFont val="Calibri"/>
        <family val="2"/>
        <scheme val="minor"/>
      </rPr>
      <t>l</t>
    </r>
    <r>
      <rPr>
        <sz val="11"/>
        <color rgb="FF202122"/>
        <rFont val="Calibri"/>
        <family val="2"/>
        <scheme val="minor"/>
      </rPr>
      <t xml:space="preserve">) / 433 ⌋ </t>
    </r>
  </si>
  <si>
    <r>
      <t>⌊(</t>
    </r>
    <r>
      <rPr>
        <i/>
        <sz val="11"/>
        <color rgb="FF202122"/>
        <rFont val="Calibri"/>
        <family val="2"/>
        <scheme val="minor"/>
      </rPr>
      <t>8b + 13</t>
    </r>
    <r>
      <rPr>
        <sz val="11"/>
        <color rgb="FF202122"/>
        <rFont val="Calibri"/>
        <family val="2"/>
        <scheme val="minor"/>
      </rPr>
      <t>) / 25⌋</t>
    </r>
  </si>
  <si>
    <r>
      <t>⌊(</t>
    </r>
    <r>
      <rPr>
        <i/>
        <sz val="11"/>
        <color rgb="FF202122"/>
        <rFont val="Calibri"/>
        <family val="2"/>
        <scheme val="minor"/>
      </rPr>
      <t>h</t>
    </r>
    <r>
      <rPr>
        <sz val="11"/>
        <color rgb="FF202122"/>
        <rFont val="Calibri"/>
        <family val="2"/>
        <scheme val="minor"/>
      </rPr>
      <t> + </t>
    </r>
    <r>
      <rPr>
        <i/>
        <sz val="11"/>
        <color rgb="FF202122"/>
        <rFont val="Calibri"/>
        <family val="2"/>
        <scheme val="minor"/>
      </rPr>
      <t>l</t>
    </r>
    <r>
      <rPr>
        <sz val="11"/>
        <color rgb="FF202122"/>
        <rFont val="Calibri"/>
        <family val="2"/>
        <scheme val="minor"/>
      </rPr>
      <t> − 7</t>
    </r>
    <r>
      <rPr>
        <i/>
        <sz val="11"/>
        <color rgb="FF202122"/>
        <rFont val="Calibri"/>
        <family val="2"/>
        <scheme val="minor"/>
      </rPr>
      <t>m</t>
    </r>
    <r>
      <rPr>
        <sz val="11"/>
        <color rgb="FF202122"/>
        <rFont val="Calibri"/>
        <family val="2"/>
        <scheme val="minor"/>
      </rPr>
      <t> + 90) / 25⌋</t>
    </r>
  </si>
  <si>
    <t>Dy</t>
  </si>
  <si>
    <r>
      <t>A</t>
    </r>
    <r>
      <rPr>
        <vertAlign val="subscript"/>
        <sz val="11"/>
        <color theme="1"/>
        <rFont val="Calibri"/>
        <family val="2"/>
        <scheme val="minor"/>
      </rPr>
      <t>f3</t>
    </r>
  </si>
  <si>
    <t>if d=28 &amp; e=6 &amp; m&lt;19 Then Apr 18</t>
  </si>
  <si>
    <t>if d=29 &amp; e=6 Then Apr 19</t>
  </si>
  <si>
    <r>
      <t>if E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&lt; 32 Then E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Else E</t>
    </r>
    <r>
      <rPr>
        <vertAlign val="subscript"/>
        <sz val="11"/>
        <color theme="1"/>
        <rFont val="Calibri"/>
        <family val="2"/>
        <scheme val="minor"/>
      </rPr>
      <t>a</t>
    </r>
  </si>
  <si>
    <r>
      <t>if A</t>
    </r>
    <r>
      <rPr>
        <vertAlign val="subscript"/>
        <sz val="11"/>
        <color theme="1"/>
        <rFont val="Calibri"/>
        <family val="2"/>
        <scheme val="minor"/>
      </rPr>
      <t>f1</t>
    </r>
    <r>
      <rPr>
        <sz val="11"/>
        <color theme="1"/>
        <rFont val="Calibri"/>
        <family val="2"/>
        <scheme val="minor"/>
      </rPr>
      <t>&gt;0 then A</t>
    </r>
    <r>
      <rPr>
        <vertAlign val="subscript"/>
        <sz val="11"/>
        <color theme="1"/>
        <rFont val="Calibri"/>
        <family val="2"/>
        <scheme val="minor"/>
      </rPr>
      <t>f1</t>
    </r>
    <r>
      <rPr>
        <sz val="11"/>
        <color theme="1"/>
        <rFont val="Calibri"/>
        <family val="2"/>
        <scheme val="minor"/>
      </rPr>
      <t>. if A</t>
    </r>
    <r>
      <rPr>
        <vertAlign val="subscript"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>&gt;0 then A</t>
    </r>
    <r>
      <rPr>
        <vertAlign val="subscript"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>. Else A</t>
    </r>
    <r>
      <rPr>
        <vertAlign val="subscript"/>
        <sz val="11"/>
        <color theme="1"/>
        <rFont val="Calibri"/>
        <family val="2"/>
        <scheme val="minor"/>
      </rPr>
      <t>f3</t>
    </r>
  </si>
  <si>
    <r>
      <t>if A</t>
    </r>
    <r>
      <rPr>
        <vertAlign val="subscript"/>
        <sz val="11"/>
        <color theme="1"/>
        <rFont val="Calibri"/>
        <family val="2"/>
        <scheme val="minor"/>
      </rPr>
      <t>f1</t>
    </r>
    <r>
      <rPr>
        <sz val="11"/>
        <color theme="1"/>
        <rFont val="Calibri"/>
        <family val="2"/>
        <scheme val="minor"/>
      </rPr>
      <t>&gt;0 or A</t>
    </r>
    <r>
      <rPr>
        <vertAlign val="subscript"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>&gt;0 then 4. If E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&lt; 32 then 3. Else 4</t>
    </r>
  </si>
  <si>
    <t>Meeus/Jones/Butcher Date:</t>
  </si>
  <si>
    <t>New Scientist (14 steps)</t>
  </si>
  <si>
    <t>Meeus/Jones/Butcher (16 steps)</t>
  </si>
  <si>
    <t>Gauss (19 steps)</t>
  </si>
  <si>
    <t>Day = o + 1</t>
  </si>
  <si>
    <t>Month = n</t>
  </si>
  <si>
    <t>used once:</t>
  </si>
  <si>
    <t>Valentine's Day</t>
  </si>
  <si>
    <t>Saint Patrick's Day</t>
  </si>
  <si>
    <t>Palm Sunday (Sun before Easter)</t>
  </si>
  <si>
    <t>Maundy Thursday (Thu before Easter)</t>
  </si>
  <si>
    <t>Good Friday (Fri before Easter)</t>
  </si>
  <si>
    <t>Mother's Day</t>
  </si>
  <si>
    <t>Father's Day</t>
  </si>
  <si>
    <t>Halloween</t>
  </si>
  <si>
    <t>Christmas Eve</t>
  </si>
  <si>
    <t>New Year's Eve</t>
  </si>
  <si>
    <t>Jan 3rd Mon</t>
  </si>
  <si>
    <t>0b0000 0000 0000 0000 0000 0000 0000    1</t>
  </si>
  <si>
    <t>0b0000 0000 0000 0000 0000 0000 0000   10</t>
  </si>
  <si>
    <t xml:space="preserve">Feb 3rd Mon </t>
  </si>
  <si>
    <t>0b0000 0000 0000 0000 0000 0000 0000  100</t>
  </si>
  <si>
    <t>0b0000 0000 0000 0000 0000 0000 0000 1000</t>
  </si>
  <si>
    <t>0b0000 0000 0000 0000 0000 0000    1 0000</t>
  </si>
  <si>
    <t>0b0000 0000 0000 0000 0000 0000   10 0000</t>
  </si>
  <si>
    <t>0b0000 0000 0000 0000 0000 0000  100 0000</t>
  </si>
  <si>
    <t>Easter Sunday (Easter falls on the first Sunday after the ecclesiastical full moon that occurs on or soonest after 21 March.)</t>
  </si>
  <si>
    <t>0b0000 0000 0000 0000 0000 0000 1000 0000</t>
  </si>
  <si>
    <t>May 2nd Sun</t>
  </si>
  <si>
    <t>0b0000 0000 0000 0000 0000    1 0000 0000</t>
  </si>
  <si>
    <t>May Last Mon</t>
  </si>
  <si>
    <t>0b0000 0000 0000 0000 0000   10 0000 0000</t>
  </si>
  <si>
    <t>0b0000 0000 0000 0000 0000  100 0000 0000</t>
  </si>
  <si>
    <t xml:space="preserve">Jun 3rd Sun </t>
  </si>
  <si>
    <t>0b0000 0000 0000 0000 0000 1000 0000 0000</t>
  </si>
  <si>
    <t>0b0000 0000 0000 0000    1 0000 0000 0000</t>
  </si>
  <si>
    <t>Sep 1st Mon</t>
  </si>
  <si>
    <t>0b0000 0000 0000 0000   10 0000 0000 0000</t>
  </si>
  <si>
    <t>Oct 2nd Mon</t>
  </si>
  <si>
    <t>0b0000 0000 0000 0000  100 0000 0000 0000</t>
  </si>
  <si>
    <t>0b0000 0000 0000 0000 1000 0000 0000 0000</t>
  </si>
  <si>
    <t>0b0000 0000 0000    1 0000 0000 0000 0000</t>
  </si>
  <si>
    <t>Nov 4th THu</t>
  </si>
  <si>
    <t>0b0000 0000 0000   10 0000 0000 0000 0000</t>
  </si>
  <si>
    <t>Nov 4th Fri</t>
  </si>
  <si>
    <t>0b0000 0000 0000  100 0000 0000 0000 0000</t>
  </si>
  <si>
    <t>0b0000 0000 0000 1000 0000 0000 0000 0000</t>
  </si>
  <si>
    <t>0b0000 0000    1 0000 0000 0000 0000 0000</t>
  </si>
  <si>
    <t>0b0000 0000   10 0000 0000 0000 0000 0000</t>
  </si>
  <si>
    <t>0b0000 0000  100 0000 0000 0000 0000 0000</t>
  </si>
  <si>
    <t>0b0000 0000 1000 0000 0000 0000 0000 0000</t>
  </si>
  <si>
    <t>0b0000 0000 0000 0000 0000 0000 0000 0000</t>
  </si>
  <si>
    <t>0x</t>
  </si>
  <si>
    <t xml:space="preserve">All Holidays </t>
  </si>
  <si>
    <t>Equivalent to 0xFF FF FE.</t>
  </si>
  <si>
    <t>All US Holidays</t>
  </si>
  <si>
    <t>Easter-7</t>
  </si>
  <si>
    <t>Easter-3</t>
  </si>
  <si>
    <t>Easter-2</t>
  </si>
  <si>
    <t>Mar 21-Apr 19</t>
  </si>
  <si>
    <t>Black Friday</t>
  </si>
  <si>
    <t>0b0000    1 0000 0000 0000 0000 0000 0000</t>
  </si>
  <si>
    <t>0b0000   10 0000 0000 0000 0000 0000 0000</t>
  </si>
  <si>
    <t>0b0000  100 0000 0000 0000 0000 0000 0000</t>
  </si>
  <si>
    <t>0b0000 1000 0000 0000 0000 0000 0000 0000</t>
  </si>
  <si>
    <t>All above holidays turned on.</t>
  </si>
  <si>
    <t>01 Jan</t>
  </si>
  <si>
    <t>14 Feb</t>
  </si>
  <si>
    <t>17 Mar</t>
  </si>
  <si>
    <t>19 Jun</t>
  </si>
  <si>
    <t>04 Jul</t>
  </si>
  <si>
    <t>31 Oct</t>
  </si>
  <si>
    <t>11 Nov</t>
  </si>
  <si>
    <t>24 Dec</t>
  </si>
  <si>
    <t>25 Dec</t>
  </si>
  <si>
    <t>31 Dec</t>
  </si>
  <si>
    <t>*</t>
  </si>
  <si>
    <t>New Year's Day</t>
  </si>
  <si>
    <t>Martin Luther King Jr. Day</t>
  </si>
  <si>
    <t>President's Day</t>
  </si>
  <si>
    <t>Memorial Day</t>
  </si>
  <si>
    <t>Juneteenth National Independence Day (became federal holiday in 2021)</t>
  </si>
  <si>
    <t>Independence Day</t>
  </si>
  <si>
    <t>Labor Day</t>
  </si>
  <si>
    <t>Columbus Day</t>
  </si>
  <si>
    <t>Veteran's Day</t>
  </si>
  <si>
    <t>Thanksgiving Day</t>
  </si>
  <si>
    <t>Christmas Day</t>
  </si>
  <si>
    <t>All federal holidays. Equivalent to</t>
  </si>
  <si>
    <t>0b 0001 0000 0000 0000 0000 0000 0000 0000</t>
  </si>
  <si>
    <t>0b 0010 0000 0000 0000 0000 0000 0000 0000</t>
  </si>
  <si>
    <t>0b 0100 0000 0000 0000 0000 0000 0000 0000</t>
  </si>
  <si>
    <t>02 Feb</t>
  </si>
  <si>
    <t>Groundhog Day</t>
  </si>
  <si>
    <t>06 Jun</t>
  </si>
  <si>
    <t>D-Day</t>
  </si>
  <si>
    <t>Nov</t>
  </si>
  <si>
    <t>Election Day (1st Tue after the 1st Mon in November)</t>
  </si>
  <si>
    <t xml:space="preserve">0b0111 1111 1111 1111 1111 1111 1111 1110 </t>
  </si>
  <si>
    <t>Mar &amp; Sep</t>
  </si>
  <si>
    <t>Mar &amp; Sep Equinoxes -- sun crosses the Earth's equator rather than north / south of it; when the sun rises exactly due east and sets exactly due west</t>
  </si>
  <si>
    <t>Solstices --  most / least sunlight of the year</t>
  </si>
  <si>
    <t>Jun &amp; Dec</t>
  </si>
  <si>
    <t>14 Jul</t>
  </si>
  <si>
    <t>Bastille Day</t>
  </si>
  <si>
    <t>01 Nov</t>
  </si>
  <si>
    <t>All Saint's Day</t>
  </si>
  <si>
    <t>event</t>
  </si>
  <si>
    <t>equinox</t>
  </si>
  <si>
    <t>solstice</t>
  </si>
  <si>
    <t>month</t>
  </si>
  <si>
    <t>March[3]</t>
  </si>
  <si>
    <t>June[4]</t>
  </si>
  <si>
    <t>September[5]</t>
  </si>
  <si>
    <t>December[6]</t>
  </si>
  <si>
    <t>day</t>
  </si>
  <si>
    <t>time</t>
  </si>
  <si>
    <t>Gregorian to JD (inDate)</t>
  </si>
  <si>
    <t>D=</t>
  </si>
  <si>
    <t>Hr=</t>
  </si>
  <si>
    <t>Mi=</t>
  </si>
  <si>
    <t>Se=</t>
  </si>
  <si>
    <t>DayFrac=</t>
  </si>
  <si>
    <t>Actual DF=</t>
  </si>
  <si>
    <t>A=</t>
  </si>
  <si>
    <t xml:space="preserve">JD= Int(365.25(Y+4716)) </t>
  </si>
  <si>
    <t xml:space="preserve">   + int(30.6001(M+1))</t>
  </si>
  <si>
    <t xml:space="preserve">   +D+B-1524.5</t>
  </si>
  <si>
    <t>JD=</t>
  </si>
  <si>
    <t>JD to Gregorian</t>
  </si>
  <si>
    <t>date</t>
  </si>
  <si>
    <t>FrDay</t>
  </si>
  <si>
    <t>hrs</t>
  </si>
  <si>
    <t>mins</t>
  </si>
  <si>
    <t>Secs</t>
  </si>
  <si>
    <t>FrSecs</t>
  </si>
  <si>
    <t>Time</t>
  </si>
  <si>
    <t>Original Time:</t>
  </si>
  <si>
    <t>Y = year=</t>
  </si>
  <si>
    <t>M = month #=</t>
  </si>
  <si>
    <t>D = day.time=</t>
  </si>
  <si>
    <t>if M &lt; 3, Y = Y-1=</t>
  </si>
  <si>
    <t>if M &lt; 3, M = M+12=</t>
  </si>
  <si>
    <t>If Julian, B=0 =</t>
  </si>
  <si>
    <t>else, A=int(y/100)=</t>
  </si>
  <si>
    <t>else, B=2-A+Int(A/4)=</t>
  </si>
  <si>
    <t>JD=JD+0.5=</t>
  </si>
  <si>
    <t>Z= int(JD)=</t>
  </si>
  <si>
    <t>F=fraction(JD)=</t>
  </si>
  <si>
    <t xml:space="preserve">    else  si = int((Z-1867216.25)/36524.25)=</t>
  </si>
  <si>
    <t xml:space="preserve">  else   A = Z+1+si-int(si/4)=</t>
  </si>
  <si>
    <t>B=A+1524=</t>
  </si>
  <si>
    <t>C=int((B-122.1)/365.25)=</t>
  </si>
  <si>
    <t>D=int(365.25*C)=</t>
  </si>
  <si>
    <t>E=int((B-D)/30.6001)=</t>
  </si>
  <si>
    <t>Day=B-D-int(30.6001E)+F=</t>
  </si>
  <si>
    <t xml:space="preserve">   else month=E-13=</t>
  </si>
  <si>
    <t>if E&lt;14, month=E-1…</t>
  </si>
  <si>
    <t>if z &lt; 2299161, A=Z…</t>
  </si>
  <si>
    <t>If M&gt;2,yr = C-4716…</t>
  </si>
  <si>
    <t xml:space="preserve">   else yr=C-4715=</t>
  </si>
  <si>
    <t>Frac Day:</t>
  </si>
  <si>
    <t>Hrs=</t>
  </si>
  <si>
    <t>Mins=</t>
  </si>
  <si>
    <t>Secs=</t>
  </si>
  <si>
    <t>Time=</t>
  </si>
  <si>
    <t>333-01-27</t>
  </si>
  <si>
    <t>ms</t>
  </si>
  <si>
    <t>s</t>
  </si>
  <si>
    <t>mi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</si>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</sst>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yyyy\-mm\-dd\ hh:mm:ss.00"/>
    <numFmt numFmtId="166" formatCode="_(* #,##0.0000_);_(* \(#,##0.0000\);_(* &quot;-&quot;??_);_(@_)"/>
    <numFmt numFmtId="167" formatCode="_(* #,##0.00000_);_(* \(#,##0.00000\);_(* &quot;-&quot;??_);_(@_)"/>
    <numFmt numFmtId="168" formatCode="_(* #,##0.0000000000_);_(* \(#,##0.0000000000\);_(* &quot;-&quot;??_);_(@_)"/>
    <numFmt numFmtId="169" formatCode="_(* #,##0.00000000000_);_(* \(#,##0.00000000000\);_(* &quot;-&quot;??_);_(@_)"/>
    <numFmt numFmtId="170" formatCode="0.000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i/>
      <sz val="11"/>
      <color rgb="FF202122"/>
      <name val="Calibri"/>
      <family val="2"/>
      <scheme val="minor"/>
    </font>
    <font>
      <b/>
      <sz val="11"/>
      <color rgb="FF20212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02122"/>
      <name val="Arial"/>
      <family val="2"/>
    </font>
    <font>
      <sz val="9"/>
      <color rgb="FF202122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D7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right"/>
    </xf>
    <xf numFmtId="14" fontId="0" fillId="2" borderId="2" xfId="0" applyNumberFormat="1" applyFill="1" applyBorder="1"/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164" fontId="0" fillId="0" borderId="0" xfId="1" applyNumberFormat="1" applyFont="1"/>
    <xf numFmtId="16" fontId="0" fillId="0" borderId="0" xfId="0" quotePrefix="1" applyNumberFormat="1"/>
    <xf numFmtId="0" fontId="10" fillId="4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20" fontId="11" fillId="3" borderId="3" xfId="0" applyNumberFormat="1" applyFont="1" applyFill="1" applyBorder="1" applyAlignment="1">
      <alignment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vertical="center" wrapText="1"/>
    </xf>
    <xf numFmtId="20" fontId="11" fillId="5" borderId="3" xfId="0" applyNumberFormat="1" applyFont="1" applyFill="1" applyBorder="1" applyAlignment="1">
      <alignment vertical="center" wrapText="1"/>
    </xf>
    <xf numFmtId="165" fontId="0" fillId="0" borderId="0" xfId="0" applyNumberFormat="1"/>
    <xf numFmtId="168" fontId="0" fillId="0" borderId="0" xfId="1" applyNumberFormat="1" applyFont="1"/>
    <xf numFmtId="43" fontId="0" fillId="0" borderId="0" xfId="0" applyNumberFormat="1"/>
    <xf numFmtId="167" fontId="0" fillId="0" borderId="0" xfId="0" applyNumberFormat="1"/>
    <xf numFmtId="43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18" fontId="0" fillId="0" borderId="0" xfId="0" applyNumberFormat="1"/>
    <xf numFmtId="0" fontId="0" fillId="0" borderId="0" xfId="0" quotePrefix="1" applyAlignment="1">
      <alignment horizontal="right"/>
    </xf>
    <xf numFmtId="0" fontId="0" fillId="0" borderId="6" xfId="0" applyBorder="1" applyAlignment="1">
      <alignment horizontal="right"/>
    </xf>
    <xf numFmtId="43" fontId="1" fillId="0" borderId="6" xfId="0" applyNumberFormat="1" applyFont="1" applyBorder="1"/>
    <xf numFmtId="169" fontId="0" fillId="0" borderId="0" xfId="1" applyNumberFormat="1" applyFont="1"/>
    <xf numFmtId="17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4" borderId="4" xfId="2" applyFill="1" applyBorder="1" applyAlignment="1">
      <alignment horizontal="center" vertical="center" wrapText="1"/>
    </xf>
    <xf numFmtId="0" fontId="12" fillId="4" borderId="5" xfId="2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1452562</xdr:colOff>
      <xdr:row>5</xdr:row>
      <xdr:rowOff>152400</xdr:rowOff>
    </xdr:from>
    <xdr:to>
      <xdr:col>4</xdr:col>
      <xdr:colOff>685800</xdr:colOff>
      <xdr:row>10</xdr:row>
      <xdr:rowOff>136922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C652C3B-745A-4482-9855-78D4BEEB7295}"/>
            </a:ext>
          </a:extLst>
        </xdr:cNvPr>
        <xdr:cNvCxnSpPr/>
      </xdr:nvCxnSpPr>
      <xdr:spPr>
        <a:xfrm flipH="1">
          <a:off x="2059781" y="1247775"/>
          <a:ext cx="4055269" cy="1175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1470422</xdr:colOff>
      <xdr:row>5</xdr:row>
      <xdr:rowOff>148828</xdr:rowOff>
    </xdr:from>
    <xdr:to>
      <xdr:col>4</xdr:col>
      <xdr:colOff>678656</xdr:colOff>
      <xdr:row>13</xdr:row>
      <xdr:rowOff>154781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EB1B62-E8A4-4A5E-B999-78E9F8D7F0A1}"/>
            </a:ext>
          </a:extLst>
        </xdr:cNvPr>
        <xdr:cNvCxnSpPr/>
      </xdr:nvCxnSpPr>
      <xdr:spPr>
        <a:xfrm flipH="1">
          <a:off x="2077641" y="1244203"/>
          <a:ext cx="4030265" cy="1910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1327547</xdr:colOff>
      <xdr:row>6</xdr:row>
      <xdr:rowOff>142875</xdr:rowOff>
    </xdr:from>
    <xdr:to>
      <xdr:col>3</xdr:col>
      <xdr:colOff>696516</xdr:colOff>
      <xdr:row>7</xdr:row>
      <xdr:rowOff>142875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9E56060-2F58-4B03-A23A-368D1262FADE}"/>
            </a:ext>
          </a:extLst>
        </xdr:cNvPr>
        <xdr:cNvCxnSpPr/>
      </xdr:nvCxnSpPr>
      <xdr:spPr>
        <a:xfrm flipH="1">
          <a:off x="1934766" y="1476375"/>
          <a:ext cx="2583656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1416843</xdr:colOff>
      <xdr:row>6</xdr:row>
      <xdr:rowOff>130969</xdr:rowOff>
    </xdr:from>
    <xdr:to>
      <xdr:col>3</xdr:col>
      <xdr:colOff>684610</xdr:colOff>
      <xdr:row>8</xdr:row>
      <xdr:rowOff>154781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458DB04-F4B5-40F4-88CA-6B60F29D93ED}"/>
            </a:ext>
          </a:extLst>
        </xdr:cNvPr>
        <xdr:cNvCxnSpPr/>
      </xdr:nvCxnSpPr>
      <xdr:spPr>
        <a:xfrm flipH="1">
          <a:off x="2024062" y="1464469"/>
          <a:ext cx="2482454" cy="500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1422797</xdr:colOff>
      <xdr:row>6</xdr:row>
      <xdr:rowOff>142875</xdr:rowOff>
    </xdr:from>
    <xdr:to>
      <xdr:col>3</xdr:col>
      <xdr:colOff>684610</xdr:colOff>
      <xdr:row>9</xdr:row>
      <xdr:rowOff>130969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6F7308-CA0D-4D91-97AC-167B75C80F9A}"/>
            </a:ext>
          </a:extLst>
        </xdr:cNvPr>
        <xdr:cNvCxnSpPr/>
      </xdr:nvCxnSpPr>
      <xdr:spPr>
        <a:xfrm flipH="1">
          <a:off x="2030016" y="1476375"/>
          <a:ext cx="2476500" cy="7024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1434703</xdr:colOff>
      <xdr:row>6</xdr:row>
      <xdr:rowOff>142875</xdr:rowOff>
    </xdr:from>
    <xdr:to>
      <xdr:col>3</xdr:col>
      <xdr:colOff>660797</xdr:colOff>
      <xdr:row>10</xdr:row>
      <xdr:rowOff>136922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679DCFC-A0AD-4F00-8FAC-7B3E2B246B10}"/>
            </a:ext>
          </a:extLst>
        </xdr:cNvPr>
        <xdr:cNvCxnSpPr/>
      </xdr:nvCxnSpPr>
      <xdr:spPr>
        <a:xfrm flipH="1">
          <a:off x="2041922" y="1476375"/>
          <a:ext cx="2440781" cy="9465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1440656</xdr:colOff>
      <xdr:row>6</xdr:row>
      <xdr:rowOff>142875</xdr:rowOff>
    </xdr:from>
    <xdr:to>
      <xdr:col>4</xdr:col>
      <xdr:colOff>666750</xdr:colOff>
      <xdr:row>11</xdr:row>
      <xdr:rowOff>101203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691E0F4-0811-4721-945E-EC375E291E35}"/>
            </a:ext>
          </a:extLst>
        </xdr:cNvPr>
        <xdr:cNvCxnSpPr/>
      </xdr:nvCxnSpPr>
      <xdr:spPr>
        <a:xfrm flipH="1">
          <a:off x="2047875" y="1476375"/>
          <a:ext cx="4048125" cy="1148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1446609</xdr:colOff>
      <xdr:row>7</xdr:row>
      <xdr:rowOff>160734</xdr:rowOff>
    </xdr:from>
    <xdr:to>
      <xdr:col>3</xdr:col>
      <xdr:colOff>696516</xdr:colOff>
      <xdr:row>10</xdr:row>
      <xdr:rowOff>130969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61CA21C-7128-415D-841C-319C396976C0}"/>
            </a:ext>
          </a:extLst>
        </xdr:cNvPr>
        <xdr:cNvCxnSpPr/>
      </xdr:nvCxnSpPr>
      <xdr:spPr>
        <a:xfrm flipH="1">
          <a:off x="2053828" y="1732359"/>
          <a:ext cx="2464594" cy="684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1488281</xdr:colOff>
      <xdr:row>7</xdr:row>
      <xdr:rowOff>119062</xdr:rowOff>
    </xdr:from>
    <xdr:to>
      <xdr:col>4</xdr:col>
      <xdr:colOff>690562</xdr:colOff>
      <xdr:row>12</xdr:row>
      <xdr:rowOff>160734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14DF1AF-1F24-438C-91C8-5E0826AF631E}"/>
            </a:ext>
          </a:extLst>
        </xdr:cNvPr>
        <xdr:cNvCxnSpPr/>
      </xdr:nvCxnSpPr>
      <xdr:spPr>
        <a:xfrm flipH="1">
          <a:off x="2095500" y="1690687"/>
          <a:ext cx="4024312" cy="1232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1416843</xdr:colOff>
      <xdr:row>8</xdr:row>
      <xdr:rowOff>176212</xdr:rowOff>
    </xdr:from>
    <xdr:to>
      <xdr:col>3</xdr:col>
      <xdr:colOff>729854</xdr:colOff>
      <xdr:row>9</xdr:row>
      <xdr:rowOff>125016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177A46D-5A56-44DA-9D81-6CBF03BF5EF9}"/>
            </a:ext>
          </a:extLst>
        </xdr:cNvPr>
        <xdr:cNvCxnSpPr/>
      </xdr:nvCxnSpPr>
      <xdr:spPr>
        <a:xfrm flipH="1">
          <a:off x="2024062" y="1985962"/>
          <a:ext cx="2527698" cy="1869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1452562</xdr:colOff>
      <xdr:row>9</xdr:row>
      <xdr:rowOff>178594</xdr:rowOff>
    </xdr:from>
    <xdr:to>
      <xdr:col>3</xdr:col>
      <xdr:colOff>684610</xdr:colOff>
      <xdr:row>10</xdr:row>
      <xdr:rowOff>125016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6BFA6DE-F2A2-4337-B665-EBD6040FA3A0}"/>
            </a:ext>
          </a:extLst>
        </xdr:cNvPr>
        <xdr:cNvCxnSpPr/>
      </xdr:nvCxnSpPr>
      <xdr:spPr>
        <a:xfrm flipH="1">
          <a:off x="2059781" y="2226469"/>
          <a:ext cx="2446735" cy="1845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1488281</xdr:colOff>
      <xdr:row>10</xdr:row>
      <xdr:rowOff>130969</xdr:rowOff>
    </xdr:from>
    <xdr:to>
      <xdr:col>4</xdr:col>
      <xdr:colOff>642937</xdr:colOff>
      <xdr:row>12</xdr:row>
      <xdr:rowOff>166687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ECA852CA-27F9-4F38-B20C-66065FA742EC}"/>
            </a:ext>
          </a:extLst>
        </xdr:cNvPr>
        <xdr:cNvCxnSpPr/>
      </xdr:nvCxnSpPr>
      <xdr:spPr>
        <a:xfrm flipH="1">
          <a:off x="2095500" y="2416969"/>
          <a:ext cx="3976687" cy="511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1470422</xdr:colOff>
      <xdr:row>10</xdr:row>
      <xdr:rowOff>130969</xdr:rowOff>
    </xdr:from>
    <xdr:to>
      <xdr:col>4</xdr:col>
      <xdr:colOff>660797</xdr:colOff>
      <xdr:row>13</xdr:row>
      <xdr:rowOff>154781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6BD6C04-6DF9-4508-AF7F-F78488597345}"/>
            </a:ext>
          </a:extLst>
        </xdr:cNvPr>
        <xdr:cNvCxnSpPr/>
      </xdr:nvCxnSpPr>
      <xdr:spPr>
        <a:xfrm flipH="1">
          <a:off x="2077641" y="2416969"/>
          <a:ext cx="4012406" cy="7381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1422797</xdr:colOff>
      <xdr:row>10</xdr:row>
      <xdr:rowOff>130969</xdr:rowOff>
    </xdr:from>
    <xdr:to>
      <xdr:col>4</xdr:col>
      <xdr:colOff>648891</xdr:colOff>
      <xdr:row>14</xdr:row>
      <xdr:rowOff>154781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D33F4DC-180C-415B-9F1C-FCCB7EBE5CDE}"/>
            </a:ext>
          </a:extLst>
        </xdr:cNvPr>
        <xdr:cNvCxnSpPr/>
      </xdr:nvCxnSpPr>
      <xdr:spPr>
        <a:xfrm flipH="1">
          <a:off x="2030016" y="2416969"/>
          <a:ext cx="4048125" cy="976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1506140</xdr:colOff>
      <xdr:row>11</xdr:row>
      <xdr:rowOff>142875</xdr:rowOff>
    </xdr:from>
    <xdr:to>
      <xdr:col>3</xdr:col>
      <xdr:colOff>666750</xdr:colOff>
      <xdr:row>12</xdr:row>
      <xdr:rowOff>160734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8992CBA-B694-4A12-A227-A739EDE8F725}"/>
            </a:ext>
          </a:extLst>
        </xdr:cNvPr>
        <xdr:cNvCxnSpPr/>
      </xdr:nvCxnSpPr>
      <xdr:spPr>
        <a:xfrm flipH="1">
          <a:off x="2113359" y="2667000"/>
          <a:ext cx="2375297" cy="255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1494234</xdr:colOff>
      <xdr:row>11</xdr:row>
      <xdr:rowOff>130969</xdr:rowOff>
    </xdr:from>
    <xdr:to>
      <xdr:col>4</xdr:col>
      <xdr:colOff>619125</xdr:colOff>
      <xdr:row>12</xdr:row>
      <xdr:rowOff>148828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3D039F4-F4F5-41A8-8611-E972A43AC611}"/>
            </a:ext>
          </a:extLst>
        </xdr:cNvPr>
        <xdr:cNvCxnSpPr/>
      </xdr:nvCxnSpPr>
      <xdr:spPr>
        <a:xfrm flipH="1">
          <a:off x="2101453" y="2655094"/>
          <a:ext cx="3946922" cy="255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1464468</xdr:colOff>
      <xdr:row>12</xdr:row>
      <xdr:rowOff>107156</xdr:rowOff>
    </xdr:from>
    <xdr:to>
      <xdr:col>4</xdr:col>
      <xdr:colOff>613172</xdr:colOff>
      <xdr:row>13</xdr:row>
      <xdr:rowOff>130969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9D9EDDA7-2B7D-46E3-9AD6-30F1D09C985E}"/>
            </a:ext>
          </a:extLst>
        </xdr:cNvPr>
        <xdr:cNvCxnSpPr/>
      </xdr:nvCxnSpPr>
      <xdr:spPr>
        <a:xfrm flipH="1">
          <a:off x="2071687" y="2869406"/>
          <a:ext cx="397073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1422797</xdr:colOff>
      <xdr:row>12</xdr:row>
      <xdr:rowOff>107156</xdr:rowOff>
    </xdr:from>
    <xdr:to>
      <xdr:col>4</xdr:col>
      <xdr:colOff>625078</xdr:colOff>
      <xdr:row>14</xdr:row>
      <xdr:rowOff>148828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414DB616-0391-4DB6-9472-96BE3D9FC624}"/>
            </a:ext>
          </a:extLst>
        </xdr:cNvPr>
        <xdr:cNvCxnSpPr/>
      </xdr:nvCxnSpPr>
      <xdr:spPr>
        <a:xfrm flipH="1">
          <a:off x="2030016" y="2869406"/>
          <a:ext cx="4024312" cy="5179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1434703</xdr:colOff>
      <xdr:row>13</xdr:row>
      <xdr:rowOff>142875</xdr:rowOff>
    </xdr:from>
    <xdr:to>
      <xdr:col>3</xdr:col>
      <xdr:colOff>708422</xdr:colOff>
      <xdr:row>14</xdr:row>
      <xdr:rowOff>154781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52952DB-9EDA-4B20-8445-562B32346DFA}"/>
            </a:ext>
          </a:extLst>
        </xdr:cNvPr>
        <xdr:cNvCxnSpPr/>
      </xdr:nvCxnSpPr>
      <xdr:spPr>
        <a:xfrm flipH="1">
          <a:off x="2041922" y="3143250"/>
          <a:ext cx="2488406" cy="250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1434703</xdr:colOff>
      <xdr:row>14</xdr:row>
      <xdr:rowOff>154781</xdr:rowOff>
    </xdr:from>
    <xdr:to>
      <xdr:col>3</xdr:col>
      <xdr:colOff>690564</xdr:colOff>
      <xdr:row>17</xdr:row>
      <xdr:rowOff>130969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E0CFCA6C-3939-4C56-B968-717BA2653972}"/>
            </a:ext>
          </a:extLst>
        </xdr:cNvPr>
        <xdr:cNvCxnSpPr/>
      </xdr:nvCxnSpPr>
      <xdr:spPr>
        <a:xfrm flipH="1">
          <a:off x="2041922" y="3393281"/>
          <a:ext cx="2470548" cy="595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1422797</xdr:colOff>
      <xdr:row>14</xdr:row>
      <xdr:rowOff>154781</xdr:rowOff>
    </xdr:from>
    <xdr:to>
      <xdr:col>4</xdr:col>
      <xdr:colOff>589359</xdr:colOff>
      <xdr:row>18</xdr:row>
      <xdr:rowOff>101203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F704E35-DDDA-4005-8642-A78CB0739B04}"/>
            </a:ext>
          </a:extLst>
        </xdr:cNvPr>
        <xdr:cNvCxnSpPr/>
      </xdr:nvCxnSpPr>
      <xdr:spPr>
        <a:xfrm flipH="1">
          <a:off x="2030016" y="3393281"/>
          <a:ext cx="3988593" cy="8036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lstice" TargetMode="External"/><Relationship Id="rId3" Type="http://schemas.openxmlformats.org/officeDocument/2006/relationships/hyperlink" Target="https://en.wikipedia.org/wiki/September_equinox" TargetMode="External"/><Relationship Id="rId7" Type="http://schemas.openxmlformats.org/officeDocument/2006/relationships/hyperlink" Target="https://en.wikipedia.org/wiki/Solstice" TargetMode="External"/><Relationship Id="rId2" Type="http://schemas.openxmlformats.org/officeDocument/2006/relationships/hyperlink" Target="https://en.wikipedia.org/wiki/June_solstice" TargetMode="External"/><Relationship Id="rId1" Type="http://schemas.openxmlformats.org/officeDocument/2006/relationships/hyperlink" Target="https://en.wikipedia.org/wiki/March_equinox" TargetMode="External"/><Relationship Id="rId6" Type="http://schemas.openxmlformats.org/officeDocument/2006/relationships/hyperlink" Target="https://en.wikipedia.org/wiki/Solstice" TargetMode="External"/><Relationship Id="rId5" Type="http://schemas.openxmlformats.org/officeDocument/2006/relationships/hyperlink" Target="https://en.wikipedia.org/wiki/Solstice" TargetMode="External"/><Relationship Id="rId4" Type="http://schemas.openxmlformats.org/officeDocument/2006/relationships/hyperlink" Target="https://en.wikipedia.org/wiki/December_solstic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3856-F19C-439A-AC6C-276804BD68BE}">
  <dimension ref="A2:W36"/>
  <sheetViews>
    <sheetView workbookViewId="0">
      <selection activeCell="O26" sqref="O26"/>
    </sheetView>
  </sheetViews>
  <sheetFormatPr defaultRowHeight="15" x14ac:dyDescent="0.25"/>
  <cols>
    <col min="5" max="5" width="9" bestFit="1" customWidth="1"/>
    <col min="9" max="9" width="6.85546875" style="4" customWidth="1"/>
    <col min="10" max="10" width="8.85546875" customWidth="1"/>
    <col min="11" max="11" width="39.5703125" style="4" bestFit="1" customWidth="1"/>
    <col min="12" max="12" width="14.28515625" bestFit="1" customWidth="1"/>
    <col min="14" max="14" width="8" style="4" bestFit="1" customWidth="1"/>
    <col min="16" max="16" width="14.28515625" bestFit="1" customWidth="1"/>
    <col min="17" max="17" width="14.28515625" customWidth="1"/>
    <col min="21" max="21" width="19.85546875" customWidth="1"/>
  </cols>
  <sheetData>
    <row r="2" spans="1:23" x14ac:dyDescent="0.25">
      <c r="A2">
        <f>_xlfn.BITOR(B18,B34)</f>
        <v>640999462</v>
      </c>
    </row>
    <row r="3" spans="1:23" x14ac:dyDescent="0.25">
      <c r="F3">
        <f>IF(Q3="*",L3,0)</f>
        <v>0</v>
      </c>
      <c r="I3" s="4" t="str">
        <f>SUBSTITUTE(SUBSTITUTE(K3,"0b","")," ", "")</f>
        <v>00000000000000000000000000000000</v>
      </c>
      <c r="K3" s="4" t="s">
        <v>139</v>
      </c>
      <c r="L3" s="18">
        <f t="shared" ref="L3:L34" si="0">_xlfn.DECIMAL(I3,2)</f>
        <v>0</v>
      </c>
      <c r="M3" s="4" t="s">
        <v>140</v>
      </c>
      <c r="N3" s="4" t="str">
        <f>DEC2HEX(L3)</f>
        <v>0</v>
      </c>
      <c r="P3" t="s">
        <v>141</v>
      </c>
      <c r="R3" t="s">
        <v>142</v>
      </c>
    </row>
    <row r="4" spans="1:23" x14ac:dyDescent="0.25">
      <c r="E4">
        <f>_xlfn.BITOR(F4,F3)</f>
        <v>0</v>
      </c>
      <c r="F4">
        <f t="shared" ref="F4:F34" si="1">IF(Q4="*",L4,0)</f>
        <v>0</v>
      </c>
      <c r="I4" s="4" t="str">
        <f t="shared" ref="I4:I34" si="2">SUBSTITUTE(SUBSTITUTE(K4,"0b","")," ", "")</f>
        <v>00000000000000000000000000001</v>
      </c>
      <c r="K4" s="4" t="s">
        <v>106</v>
      </c>
      <c r="L4" s="18">
        <f t="shared" si="0"/>
        <v>1</v>
      </c>
      <c r="M4" s="4" t="s">
        <v>140</v>
      </c>
      <c r="N4" s="4" t="str">
        <f t="shared" ref="N4:N31" si="3">DEC2HEX(L4)</f>
        <v>1</v>
      </c>
      <c r="P4" t="s">
        <v>143</v>
      </c>
      <c r="R4" t="s">
        <v>176</v>
      </c>
      <c r="U4">
        <f>A2</f>
        <v>640999462</v>
      </c>
      <c r="V4" s="4" t="s">
        <v>140</v>
      </c>
      <c r="W4" t="str">
        <f>DEC2HEX(U4)</f>
        <v>2634E026</v>
      </c>
    </row>
    <row r="5" spans="1:23" x14ac:dyDescent="0.25">
      <c r="F5">
        <f t="shared" si="1"/>
        <v>2</v>
      </c>
      <c r="I5" s="4" t="str">
        <f t="shared" si="2"/>
        <v>000000000000000000000000000010</v>
      </c>
      <c r="K5" s="4" t="s">
        <v>107</v>
      </c>
      <c r="L5" s="18">
        <f t="shared" si="0"/>
        <v>2</v>
      </c>
      <c r="M5" s="4" t="s">
        <v>140</v>
      </c>
      <c r="N5" s="4" t="str">
        <f t="shared" si="3"/>
        <v>2</v>
      </c>
      <c r="P5" s="19" t="s">
        <v>154</v>
      </c>
      <c r="Q5" s="19" t="s">
        <v>164</v>
      </c>
      <c r="R5" t="s">
        <v>165</v>
      </c>
    </row>
    <row r="6" spans="1:23" x14ac:dyDescent="0.25">
      <c r="D6">
        <f>_xlfn.BITOR(E6,E4)</f>
        <v>6</v>
      </c>
      <c r="E6">
        <f>_xlfn.BITOR(F6,F5)</f>
        <v>6</v>
      </c>
      <c r="F6">
        <f t="shared" si="1"/>
        <v>4</v>
      </c>
      <c r="I6" s="4" t="str">
        <f t="shared" si="2"/>
        <v>0000000000000000000000000000100</v>
      </c>
      <c r="K6" s="4" t="s">
        <v>109</v>
      </c>
      <c r="L6" s="18">
        <f t="shared" si="0"/>
        <v>4</v>
      </c>
      <c r="M6" s="4" t="s">
        <v>140</v>
      </c>
      <c r="N6" s="4" t="str">
        <f t="shared" si="3"/>
        <v>4</v>
      </c>
      <c r="P6" t="s">
        <v>105</v>
      </c>
      <c r="Q6" s="19" t="s">
        <v>164</v>
      </c>
      <c r="R6" t="s">
        <v>166</v>
      </c>
    </row>
    <row r="7" spans="1:23" x14ac:dyDescent="0.25">
      <c r="F7">
        <f t="shared" si="1"/>
        <v>0</v>
      </c>
      <c r="I7" s="4" t="str">
        <f t="shared" si="2"/>
        <v>00000000000000000000000000001000</v>
      </c>
      <c r="K7" s="4" t="s">
        <v>110</v>
      </c>
      <c r="L7" s="18">
        <f t="shared" si="0"/>
        <v>8</v>
      </c>
      <c r="M7" s="4" t="s">
        <v>140</v>
      </c>
      <c r="N7" s="4" t="str">
        <f t="shared" si="3"/>
        <v>8</v>
      </c>
      <c r="P7" s="9" t="s">
        <v>180</v>
      </c>
      <c r="R7" t="s">
        <v>181</v>
      </c>
    </row>
    <row r="8" spans="1:23" x14ac:dyDescent="0.25">
      <c r="E8">
        <f>_xlfn.BITOR(F8,F7)</f>
        <v>0</v>
      </c>
      <c r="F8">
        <f t="shared" si="1"/>
        <v>0</v>
      </c>
      <c r="I8" s="4" t="str">
        <f t="shared" si="2"/>
        <v>00000000000000000000000010000</v>
      </c>
      <c r="K8" s="4" t="s">
        <v>111</v>
      </c>
      <c r="L8" s="18">
        <f t="shared" si="0"/>
        <v>16</v>
      </c>
      <c r="M8" s="4" t="s">
        <v>140</v>
      </c>
      <c r="N8" s="4" t="str">
        <f t="shared" si="3"/>
        <v>10</v>
      </c>
      <c r="P8" s="19" t="s">
        <v>155</v>
      </c>
      <c r="Q8" s="19"/>
      <c r="R8" t="s">
        <v>95</v>
      </c>
    </row>
    <row r="9" spans="1:23" x14ac:dyDescent="0.25">
      <c r="F9">
        <f t="shared" si="1"/>
        <v>32</v>
      </c>
      <c r="I9" s="4" t="str">
        <f t="shared" si="2"/>
        <v>000000000000000000000000100000</v>
      </c>
      <c r="K9" s="4" t="s">
        <v>112</v>
      </c>
      <c r="L9" s="18">
        <f t="shared" si="0"/>
        <v>32</v>
      </c>
      <c r="M9" s="4" t="s">
        <v>140</v>
      </c>
      <c r="N9" s="4" t="str">
        <f t="shared" si="3"/>
        <v>20</v>
      </c>
      <c r="P9" t="s">
        <v>108</v>
      </c>
      <c r="Q9" s="19" t="s">
        <v>164</v>
      </c>
      <c r="R9" t="s">
        <v>167</v>
      </c>
    </row>
    <row r="10" spans="1:23" x14ac:dyDescent="0.25">
      <c r="C10">
        <f>_xlfn.BITOR(D10,D6)</f>
        <v>38</v>
      </c>
      <c r="D10">
        <f>_xlfn.BITOR(E10,E8)</f>
        <v>32</v>
      </c>
      <c r="E10">
        <f>_xlfn.BITOR(F10,F9)</f>
        <v>32</v>
      </c>
      <c r="F10">
        <f t="shared" si="1"/>
        <v>0</v>
      </c>
      <c r="I10" s="4" t="str">
        <f t="shared" si="2"/>
        <v>0000000000000000000000001000000</v>
      </c>
      <c r="K10" s="4" t="s">
        <v>113</v>
      </c>
      <c r="L10" s="18">
        <f t="shared" si="0"/>
        <v>64</v>
      </c>
      <c r="M10" s="4" t="s">
        <v>140</v>
      </c>
      <c r="N10" s="4" t="str">
        <f t="shared" si="3"/>
        <v>40</v>
      </c>
      <c r="P10" s="19" t="s">
        <v>156</v>
      </c>
      <c r="Q10" s="19"/>
      <c r="R10" t="s">
        <v>96</v>
      </c>
    </row>
    <row r="11" spans="1:23" x14ac:dyDescent="0.25">
      <c r="F11">
        <f t="shared" si="1"/>
        <v>0</v>
      </c>
      <c r="I11" s="4" t="str">
        <f t="shared" si="2"/>
        <v>00000000000000000000000010000000</v>
      </c>
      <c r="K11" s="4" t="s">
        <v>115</v>
      </c>
      <c r="L11" s="18">
        <f t="shared" si="0"/>
        <v>128</v>
      </c>
      <c r="M11" s="4" t="s">
        <v>140</v>
      </c>
      <c r="N11" s="4" t="str">
        <f t="shared" si="3"/>
        <v>80</v>
      </c>
      <c r="P11" t="s">
        <v>187</v>
      </c>
      <c r="R11" t="s">
        <v>188</v>
      </c>
    </row>
    <row r="12" spans="1:23" x14ac:dyDescent="0.25">
      <c r="E12">
        <f>_xlfn.BITOR(F12,F11)</f>
        <v>0</v>
      </c>
      <c r="F12">
        <f t="shared" si="1"/>
        <v>0</v>
      </c>
      <c r="I12" s="4" t="str">
        <f t="shared" si="2"/>
        <v>00000000000000000000100000000</v>
      </c>
      <c r="K12" s="4" t="s">
        <v>117</v>
      </c>
      <c r="L12" s="18">
        <f t="shared" si="0"/>
        <v>256</v>
      </c>
      <c r="M12" s="4" t="s">
        <v>140</v>
      </c>
      <c r="N12" s="4" t="str">
        <f t="shared" si="3"/>
        <v>100</v>
      </c>
      <c r="P12" t="s">
        <v>144</v>
      </c>
      <c r="R12" t="s">
        <v>97</v>
      </c>
    </row>
    <row r="13" spans="1:23" x14ac:dyDescent="0.25">
      <c r="F13">
        <f t="shared" si="1"/>
        <v>0</v>
      </c>
      <c r="I13" s="4" t="str">
        <f t="shared" si="2"/>
        <v>000000000000000000001000000000</v>
      </c>
      <c r="K13" s="4" t="s">
        <v>119</v>
      </c>
      <c r="L13" s="18">
        <f t="shared" si="0"/>
        <v>512</v>
      </c>
      <c r="M13" s="4" t="s">
        <v>140</v>
      </c>
      <c r="N13" s="4" t="str">
        <f t="shared" si="3"/>
        <v>200</v>
      </c>
      <c r="P13" t="s">
        <v>145</v>
      </c>
      <c r="R13" t="s">
        <v>98</v>
      </c>
    </row>
    <row r="14" spans="1:23" x14ac:dyDescent="0.25">
      <c r="D14">
        <f>_xlfn.BITOR(E14,E12)</f>
        <v>0</v>
      </c>
      <c r="E14">
        <f>_xlfn.BITOR(F14,F13)</f>
        <v>0</v>
      </c>
      <c r="F14">
        <f t="shared" si="1"/>
        <v>0</v>
      </c>
      <c r="I14" s="4" t="str">
        <f t="shared" si="2"/>
        <v>0000000000000000000010000000000</v>
      </c>
      <c r="K14" s="4" t="s">
        <v>120</v>
      </c>
      <c r="L14" s="18">
        <f t="shared" si="0"/>
        <v>1024</v>
      </c>
      <c r="M14" s="4" t="s">
        <v>140</v>
      </c>
      <c r="N14" s="4" t="str">
        <f t="shared" si="3"/>
        <v>400</v>
      </c>
      <c r="P14" t="s">
        <v>146</v>
      </c>
      <c r="R14" t="s">
        <v>99</v>
      </c>
    </row>
    <row r="15" spans="1:23" x14ac:dyDescent="0.25">
      <c r="F15">
        <f t="shared" si="1"/>
        <v>0</v>
      </c>
      <c r="I15" s="4" t="str">
        <f t="shared" si="2"/>
        <v>00000000000000000000100000000000</v>
      </c>
      <c r="K15" s="4" t="s">
        <v>122</v>
      </c>
      <c r="L15" s="18">
        <f t="shared" si="0"/>
        <v>2048</v>
      </c>
      <c r="M15" s="4" t="s">
        <v>140</v>
      </c>
      <c r="N15" s="4" t="str">
        <f t="shared" si="3"/>
        <v>800</v>
      </c>
      <c r="P15" t="s">
        <v>147</v>
      </c>
      <c r="R15" t="s">
        <v>114</v>
      </c>
    </row>
    <row r="16" spans="1:23" x14ac:dyDescent="0.25">
      <c r="E16">
        <f>_xlfn.BITOR(F16,F15)</f>
        <v>0</v>
      </c>
      <c r="F16">
        <f t="shared" si="1"/>
        <v>0</v>
      </c>
      <c r="I16" s="4" t="str">
        <f t="shared" si="2"/>
        <v>00000000000000001000000000000</v>
      </c>
      <c r="K16" s="4" t="s">
        <v>123</v>
      </c>
      <c r="L16" s="18">
        <f t="shared" si="0"/>
        <v>4096</v>
      </c>
      <c r="M16" s="4" t="s">
        <v>140</v>
      </c>
      <c r="N16" s="4" t="str">
        <f t="shared" si="3"/>
        <v>1000</v>
      </c>
      <c r="P16" t="s">
        <v>116</v>
      </c>
      <c r="R16" t="s">
        <v>100</v>
      </c>
    </row>
    <row r="17" spans="2:18" x14ac:dyDescent="0.25">
      <c r="F17">
        <f t="shared" si="1"/>
        <v>8192</v>
      </c>
      <c r="I17" s="4" t="str">
        <f t="shared" si="2"/>
        <v>000000000000000010000000000000</v>
      </c>
      <c r="K17" s="4" t="s">
        <v>125</v>
      </c>
      <c r="L17" s="18">
        <f t="shared" si="0"/>
        <v>8192</v>
      </c>
      <c r="M17" s="4" t="s">
        <v>140</v>
      </c>
      <c r="N17" s="4" t="str">
        <f t="shared" si="3"/>
        <v>2000</v>
      </c>
      <c r="P17" t="s">
        <v>118</v>
      </c>
      <c r="Q17" s="19" t="s">
        <v>164</v>
      </c>
      <c r="R17" t="s">
        <v>168</v>
      </c>
    </row>
    <row r="18" spans="2:18" x14ac:dyDescent="0.25">
      <c r="B18">
        <f>_xlfn.BITOR(C18,C10)</f>
        <v>24614</v>
      </c>
      <c r="C18">
        <f>_xlfn.BITOR(D18,D14)</f>
        <v>24576</v>
      </c>
      <c r="D18">
        <f>_xlfn.BITOR(E18,E16)</f>
        <v>24576</v>
      </c>
      <c r="E18">
        <f>_xlfn.BITOR(F18,F17)</f>
        <v>24576</v>
      </c>
      <c r="F18">
        <f t="shared" si="1"/>
        <v>16384</v>
      </c>
      <c r="I18" s="4" t="str">
        <f t="shared" si="2"/>
        <v>0000000000000000100000000000000</v>
      </c>
      <c r="K18" s="4" t="s">
        <v>127</v>
      </c>
      <c r="L18" s="18">
        <f t="shared" si="0"/>
        <v>16384</v>
      </c>
      <c r="M18" s="4" t="s">
        <v>140</v>
      </c>
      <c r="N18" s="4" t="str">
        <f t="shared" si="3"/>
        <v>4000</v>
      </c>
      <c r="P18" s="19" t="s">
        <v>182</v>
      </c>
      <c r="Q18" s="19" t="s">
        <v>164</v>
      </c>
      <c r="R18" t="s">
        <v>183</v>
      </c>
    </row>
    <row r="19" spans="2:18" x14ac:dyDescent="0.25">
      <c r="F19">
        <f t="shared" si="1"/>
        <v>32768</v>
      </c>
      <c r="I19" s="4" t="str">
        <f t="shared" si="2"/>
        <v>00000000000000001000000000000000</v>
      </c>
      <c r="K19" s="4" t="s">
        <v>128</v>
      </c>
      <c r="L19" s="18">
        <f t="shared" si="0"/>
        <v>32768</v>
      </c>
      <c r="M19" s="4" t="s">
        <v>140</v>
      </c>
      <c r="N19" s="4" t="str">
        <f t="shared" si="3"/>
        <v>8000</v>
      </c>
      <c r="P19" s="19" t="s">
        <v>157</v>
      </c>
      <c r="Q19" s="19" t="s">
        <v>164</v>
      </c>
      <c r="R19" t="s">
        <v>169</v>
      </c>
    </row>
    <row r="20" spans="2:18" x14ac:dyDescent="0.25">
      <c r="E20">
        <f>_xlfn.BITOR(F20,F19)</f>
        <v>32768</v>
      </c>
      <c r="F20">
        <f t="shared" si="1"/>
        <v>0</v>
      </c>
      <c r="I20" s="4" t="str">
        <f t="shared" si="2"/>
        <v>00000000000010000000000000000</v>
      </c>
      <c r="K20" s="4" t="s">
        <v>129</v>
      </c>
      <c r="L20" s="18">
        <f t="shared" si="0"/>
        <v>65536</v>
      </c>
      <c r="M20" s="4" t="s">
        <v>140</v>
      </c>
      <c r="N20" s="4" t="str">
        <f t="shared" si="3"/>
        <v>10000</v>
      </c>
      <c r="P20" t="s">
        <v>190</v>
      </c>
      <c r="R20" t="s">
        <v>189</v>
      </c>
    </row>
    <row r="21" spans="2:18" x14ac:dyDescent="0.25">
      <c r="F21">
        <f t="shared" si="1"/>
        <v>0</v>
      </c>
      <c r="I21" s="4" t="str">
        <f t="shared" si="2"/>
        <v>000000000000100000000000000000</v>
      </c>
      <c r="K21" s="4" t="s">
        <v>131</v>
      </c>
      <c r="L21" s="18">
        <f t="shared" si="0"/>
        <v>131072</v>
      </c>
      <c r="M21" s="4" t="s">
        <v>140</v>
      </c>
      <c r="N21" s="4" t="str">
        <f t="shared" si="3"/>
        <v>20000</v>
      </c>
      <c r="P21" t="s">
        <v>121</v>
      </c>
      <c r="R21" t="s">
        <v>101</v>
      </c>
    </row>
    <row r="22" spans="2:18" x14ac:dyDescent="0.25">
      <c r="D22">
        <f>_xlfn.BITOR(E22,E20)</f>
        <v>294912</v>
      </c>
      <c r="E22">
        <f>_xlfn.BITOR(F22,F21)</f>
        <v>262144</v>
      </c>
      <c r="F22">
        <f t="shared" si="1"/>
        <v>262144</v>
      </c>
      <c r="I22" s="4" t="str">
        <f t="shared" si="2"/>
        <v>0000000000001000000000000000000</v>
      </c>
      <c r="K22" s="4" t="s">
        <v>133</v>
      </c>
      <c r="L22" s="18">
        <f t="shared" si="0"/>
        <v>262144</v>
      </c>
      <c r="M22" s="4" t="s">
        <v>140</v>
      </c>
      <c r="N22" s="4" t="str">
        <f t="shared" si="3"/>
        <v>40000</v>
      </c>
      <c r="P22" s="19" t="s">
        <v>158</v>
      </c>
      <c r="Q22" s="19" t="s">
        <v>164</v>
      </c>
      <c r="R22" t="s">
        <v>170</v>
      </c>
    </row>
    <row r="23" spans="2:18" x14ac:dyDescent="0.25">
      <c r="F23">
        <f t="shared" si="1"/>
        <v>0</v>
      </c>
      <c r="I23" s="4" t="str">
        <f t="shared" si="2"/>
        <v>00000000000010000000000000000000</v>
      </c>
      <c r="K23" s="4" t="s">
        <v>134</v>
      </c>
      <c r="L23" s="18">
        <f t="shared" si="0"/>
        <v>524288</v>
      </c>
      <c r="M23" s="4" t="s">
        <v>140</v>
      </c>
      <c r="N23" s="4" t="str">
        <f t="shared" si="3"/>
        <v>80000</v>
      </c>
      <c r="P23" s="9" t="s">
        <v>191</v>
      </c>
      <c r="Q23" s="19"/>
      <c r="R23" t="s">
        <v>192</v>
      </c>
    </row>
    <row r="24" spans="2:18" x14ac:dyDescent="0.25">
      <c r="E24">
        <f>_xlfn.BITOR(F24,F23)</f>
        <v>1048576</v>
      </c>
      <c r="F24">
        <f t="shared" si="1"/>
        <v>1048576</v>
      </c>
      <c r="I24" s="4" t="str">
        <f t="shared" si="2"/>
        <v>00000000100000000000000000000</v>
      </c>
      <c r="K24" s="4" t="s">
        <v>135</v>
      </c>
      <c r="L24" s="18">
        <f t="shared" si="0"/>
        <v>1048576</v>
      </c>
      <c r="M24" s="4" t="s">
        <v>140</v>
      </c>
      <c r="N24" s="4" t="str">
        <f t="shared" si="3"/>
        <v>100000</v>
      </c>
      <c r="P24" t="s">
        <v>124</v>
      </c>
      <c r="Q24" s="19" t="s">
        <v>164</v>
      </c>
      <c r="R24" t="s">
        <v>171</v>
      </c>
    </row>
    <row r="25" spans="2:18" x14ac:dyDescent="0.25">
      <c r="F25">
        <f t="shared" si="1"/>
        <v>2097152</v>
      </c>
      <c r="I25" s="4" t="str">
        <f t="shared" si="2"/>
        <v>000000001000000000000000000000</v>
      </c>
      <c r="K25" s="4" t="s">
        <v>136</v>
      </c>
      <c r="L25" s="18">
        <f t="shared" si="0"/>
        <v>2097152</v>
      </c>
      <c r="M25" s="4" t="s">
        <v>140</v>
      </c>
      <c r="N25" s="4" t="str">
        <f t="shared" si="3"/>
        <v>200000</v>
      </c>
      <c r="P25" t="s">
        <v>126</v>
      </c>
      <c r="Q25" s="19" t="s">
        <v>164</v>
      </c>
      <c r="R25" t="s">
        <v>172</v>
      </c>
    </row>
    <row r="26" spans="2:18" x14ac:dyDescent="0.25">
      <c r="C26">
        <f>_xlfn.BITOR(D26,D22)</f>
        <v>3440640</v>
      </c>
      <c r="D26">
        <f>_xlfn.BITOR(E26,E24)</f>
        <v>3145728</v>
      </c>
      <c r="E26">
        <f>_xlfn.BITOR(F26,F25)</f>
        <v>2097152</v>
      </c>
      <c r="F26">
        <f t="shared" si="1"/>
        <v>0</v>
      </c>
      <c r="I26" s="4" t="str">
        <f t="shared" si="2"/>
        <v>0000000010000000000000000000000</v>
      </c>
      <c r="K26" s="4" t="s">
        <v>137</v>
      </c>
      <c r="L26" s="18">
        <f t="shared" si="0"/>
        <v>4194304</v>
      </c>
      <c r="M26" s="4" t="s">
        <v>140</v>
      </c>
      <c r="N26" s="4" t="str">
        <f t="shared" si="3"/>
        <v>400000</v>
      </c>
      <c r="P26" s="19" t="s">
        <v>159</v>
      </c>
      <c r="Q26" s="19"/>
      <c r="R26" t="s">
        <v>102</v>
      </c>
    </row>
    <row r="27" spans="2:18" x14ac:dyDescent="0.25">
      <c r="F27">
        <f t="shared" si="1"/>
        <v>0</v>
      </c>
      <c r="I27" s="4" t="str">
        <f t="shared" si="2"/>
        <v>00000000100000000000000000000000</v>
      </c>
      <c r="K27" s="4" t="s">
        <v>138</v>
      </c>
      <c r="L27" s="18">
        <f t="shared" si="0"/>
        <v>8388608</v>
      </c>
      <c r="M27" s="4" t="s">
        <v>140</v>
      </c>
      <c r="N27" s="4" t="str">
        <f t="shared" si="3"/>
        <v>800000</v>
      </c>
      <c r="P27" s="19" t="s">
        <v>193</v>
      </c>
      <c r="Q27" s="19"/>
      <c r="R27" t="s">
        <v>194</v>
      </c>
    </row>
    <row r="28" spans="2:18" x14ac:dyDescent="0.25">
      <c r="E28">
        <f>_xlfn.BITOR(F28,F27)</f>
        <v>0</v>
      </c>
      <c r="F28">
        <f t="shared" si="1"/>
        <v>0</v>
      </c>
      <c r="I28" s="4" t="str">
        <f t="shared" si="2"/>
        <v>00001000000000000000000000000</v>
      </c>
      <c r="K28" s="4" t="s">
        <v>149</v>
      </c>
      <c r="L28" s="18">
        <f t="shared" si="0"/>
        <v>16777216</v>
      </c>
      <c r="M28" s="4" t="s">
        <v>140</v>
      </c>
      <c r="N28" s="4" t="str">
        <f t="shared" si="3"/>
        <v>1000000</v>
      </c>
      <c r="P28" s="19" t="s">
        <v>184</v>
      </c>
      <c r="Q28" s="19"/>
      <c r="R28" t="s">
        <v>185</v>
      </c>
    </row>
    <row r="29" spans="2:18" x14ac:dyDescent="0.25">
      <c r="F29">
        <f t="shared" si="1"/>
        <v>33554432</v>
      </c>
      <c r="I29" s="4" t="str">
        <f t="shared" si="2"/>
        <v>000010000000000000000000000000</v>
      </c>
      <c r="K29" s="4" t="s">
        <v>150</v>
      </c>
      <c r="L29" s="18">
        <f t="shared" si="0"/>
        <v>33554432</v>
      </c>
      <c r="M29" s="4" t="s">
        <v>140</v>
      </c>
      <c r="N29" s="4" t="str">
        <f t="shared" si="3"/>
        <v>2000000</v>
      </c>
      <c r="P29" s="19" t="s">
        <v>160</v>
      </c>
      <c r="Q29" s="19" t="s">
        <v>164</v>
      </c>
      <c r="R29" t="s">
        <v>173</v>
      </c>
    </row>
    <row r="30" spans="2:18" x14ac:dyDescent="0.25">
      <c r="D30">
        <f>_xlfn.BITOR(E30,E28)</f>
        <v>100663296</v>
      </c>
      <c r="E30">
        <f>_xlfn.BITOR(F30,F29)</f>
        <v>100663296</v>
      </c>
      <c r="F30">
        <f t="shared" si="1"/>
        <v>67108864</v>
      </c>
      <c r="I30" s="4" t="str">
        <f t="shared" si="2"/>
        <v>0000100000000000000000000000000</v>
      </c>
      <c r="K30" s="4" t="s">
        <v>151</v>
      </c>
      <c r="L30" s="18">
        <f t="shared" si="0"/>
        <v>67108864</v>
      </c>
      <c r="M30" s="4" t="s">
        <v>140</v>
      </c>
      <c r="N30" s="4" t="str">
        <f t="shared" si="3"/>
        <v>4000000</v>
      </c>
      <c r="P30" t="s">
        <v>130</v>
      </c>
      <c r="Q30" s="19" t="s">
        <v>164</v>
      </c>
      <c r="R30" t="s">
        <v>174</v>
      </c>
    </row>
    <row r="31" spans="2:18" x14ac:dyDescent="0.25">
      <c r="F31">
        <f t="shared" si="1"/>
        <v>0</v>
      </c>
      <c r="I31" s="4" t="str">
        <f t="shared" si="2"/>
        <v>00001000000000000000000000000000</v>
      </c>
      <c r="K31" s="4" t="s">
        <v>152</v>
      </c>
      <c r="L31" s="18">
        <f t="shared" si="0"/>
        <v>134217728</v>
      </c>
      <c r="M31" s="4" t="s">
        <v>140</v>
      </c>
      <c r="N31" s="4" t="str">
        <f t="shared" si="3"/>
        <v>8000000</v>
      </c>
      <c r="P31" t="s">
        <v>132</v>
      </c>
      <c r="R31" t="s">
        <v>148</v>
      </c>
    </row>
    <row r="32" spans="2:18" x14ac:dyDescent="0.25">
      <c r="E32">
        <f>_xlfn.BITOR(F32,F31)</f>
        <v>0</v>
      </c>
      <c r="F32">
        <f t="shared" si="1"/>
        <v>0</v>
      </c>
      <c r="I32" s="4" t="str">
        <f t="shared" si="2"/>
        <v>00010000000000000000000000000000</v>
      </c>
      <c r="K32" s="4" t="s">
        <v>177</v>
      </c>
      <c r="L32" s="18">
        <f t="shared" si="0"/>
        <v>268435456</v>
      </c>
      <c r="M32" s="4" t="s">
        <v>140</v>
      </c>
      <c r="N32" s="4" t="str">
        <f t="shared" ref="N32:N33" si="4">DEC2HEX(L32)</f>
        <v>10000000</v>
      </c>
      <c r="P32" s="19" t="s">
        <v>161</v>
      </c>
      <c r="Q32" s="19"/>
      <c r="R32" t="s">
        <v>103</v>
      </c>
    </row>
    <row r="33" spans="2:18" x14ac:dyDescent="0.25">
      <c r="F33">
        <f t="shared" si="1"/>
        <v>536870912</v>
      </c>
      <c r="I33" s="4" t="str">
        <f t="shared" si="2"/>
        <v>00100000000000000000000000000000</v>
      </c>
      <c r="K33" s="4" t="s">
        <v>178</v>
      </c>
      <c r="L33" s="18">
        <f t="shared" si="0"/>
        <v>536870912</v>
      </c>
      <c r="M33" s="4" t="s">
        <v>140</v>
      </c>
      <c r="N33" s="4" t="str">
        <f t="shared" si="4"/>
        <v>20000000</v>
      </c>
      <c r="P33" s="19" t="s">
        <v>162</v>
      </c>
      <c r="Q33" s="19" t="s">
        <v>164</v>
      </c>
      <c r="R33" t="s">
        <v>175</v>
      </c>
    </row>
    <row r="34" spans="2:18" x14ac:dyDescent="0.25">
      <c r="B34">
        <f>_xlfn.BITOR(C34,C26)</f>
        <v>640974848</v>
      </c>
      <c r="C34">
        <f>_xlfn.BITOR(D34,D30)</f>
        <v>637534208</v>
      </c>
      <c r="D34">
        <f>_xlfn.BITOR(E34,E32)</f>
        <v>536870912</v>
      </c>
      <c r="E34">
        <f>_xlfn.BITOR(F34,F33)</f>
        <v>536870912</v>
      </c>
      <c r="F34">
        <f t="shared" si="1"/>
        <v>0</v>
      </c>
      <c r="I34" s="4" t="str">
        <f t="shared" si="2"/>
        <v>01000000000000000000000000000000</v>
      </c>
      <c r="K34" s="4" t="s">
        <v>179</v>
      </c>
      <c r="L34" s="18">
        <f t="shared" si="0"/>
        <v>1073741824</v>
      </c>
      <c r="M34" s="4" t="s">
        <v>140</v>
      </c>
      <c r="N34" s="4" t="str">
        <f t="shared" ref="N34" si="5">DEC2HEX(L34)</f>
        <v>40000000</v>
      </c>
      <c r="P34" s="19" t="s">
        <v>163</v>
      </c>
      <c r="Q34" s="19"/>
      <c r="R34" t="s">
        <v>104</v>
      </c>
    </row>
    <row r="36" spans="2:18" x14ac:dyDescent="0.25">
      <c r="I36" s="4" t="str">
        <f t="shared" ref="I36" si="6">SUBSTITUTE(SUBSTITUTE(K36,"0b","")," ", "")</f>
        <v>01111111111111111111111111111110</v>
      </c>
      <c r="K36" s="4" t="s">
        <v>186</v>
      </c>
      <c r="L36" s="18">
        <f>_xlfn.DECIMAL(I36,2)</f>
        <v>2147483646</v>
      </c>
      <c r="M36" s="4" t="s">
        <v>140</v>
      </c>
      <c r="N36" s="4" t="str">
        <f t="shared" ref="N36" si="7">DEC2HEX(L36)</f>
        <v>7FFFFFFE</v>
      </c>
      <c r="P36" t="s">
        <v>141</v>
      </c>
      <c r="R36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58D8-B08F-4B54-BF0F-D6E322E0570E}">
  <dimension ref="A1:R75"/>
  <sheetViews>
    <sheetView topLeftCell="A31" workbookViewId="0">
      <selection activeCell="N54" sqref="N54"/>
    </sheetView>
  </sheetViews>
  <sheetFormatPr defaultRowHeight="15" x14ac:dyDescent="0.25"/>
  <cols>
    <col min="1" max="1" width="12.7109375" bestFit="1" customWidth="1"/>
    <col min="2" max="2" width="7.140625" bestFit="1" customWidth="1"/>
    <col min="3" max="3" width="9" bestFit="1" customWidth="1"/>
    <col min="4" max="4" width="7.7109375" bestFit="1" customWidth="1"/>
    <col min="5" max="5" width="7.5703125" style="11" bestFit="1" customWidth="1"/>
    <col min="6" max="6" width="6.85546875" style="5" bestFit="1" customWidth="1"/>
    <col min="7" max="7" width="2" bestFit="1" customWidth="1"/>
    <col min="8" max="8" width="42.140625" bestFit="1" customWidth="1"/>
    <col min="9" max="9" width="12.7109375" bestFit="1" customWidth="1"/>
    <col min="10" max="10" width="9.7109375" customWidth="1"/>
    <col min="11" max="11" width="8.7109375" bestFit="1" customWidth="1"/>
    <col min="12" max="14" width="9.7109375" bestFit="1" customWidth="1"/>
    <col min="15" max="15" width="8.7109375" bestFit="1" customWidth="1"/>
    <col min="16" max="18" width="9.7109375" bestFit="1" customWidth="1"/>
  </cols>
  <sheetData>
    <row r="1" spans="1:18" x14ac:dyDescent="0.25">
      <c r="A1" s="40" t="s">
        <v>33</v>
      </c>
      <c r="B1" s="40"/>
      <c r="C1" s="40"/>
      <c r="D1" s="40"/>
      <c r="E1" s="40"/>
      <c r="F1" s="40"/>
    </row>
    <row r="2" spans="1:18" x14ac:dyDescent="0.25">
      <c r="A2" s="41" t="s">
        <v>57</v>
      </c>
      <c r="B2" s="41"/>
      <c r="C2" s="41"/>
      <c r="D2" s="41"/>
      <c r="E2" s="41"/>
      <c r="F2" s="41"/>
    </row>
    <row r="3" spans="1:18" x14ac:dyDescent="0.25">
      <c r="A3" s="41" t="s">
        <v>43</v>
      </c>
      <c r="B3" s="41"/>
      <c r="C3" s="41"/>
      <c r="D3" s="41"/>
      <c r="E3" s="41"/>
      <c r="F3" s="41"/>
      <c r="G3" s="41"/>
      <c r="H3" s="41"/>
      <c r="I3" s="41"/>
      <c r="J3" s="8"/>
    </row>
    <row r="4" spans="1:18" ht="15.75" thickBot="1" x14ac:dyDescent="0.3">
      <c r="F4" s="42" t="s">
        <v>34</v>
      </c>
      <c r="G4" s="42"/>
      <c r="H4" s="1" t="s">
        <v>35</v>
      </c>
      <c r="I4" s="2" t="str">
        <f>IF(I25=I43,IF(I43=I59,"--","Oops"),"Oops")</f>
        <v>--</v>
      </c>
      <c r="J4" s="2" t="str">
        <f t="shared" ref="J4:Q4" si="0">IF(J25=J43,IF(J43=J59,"--","Oops"),"Oops")</f>
        <v>--</v>
      </c>
      <c r="K4" s="2" t="str">
        <f t="shared" si="0"/>
        <v>--</v>
      </c>
      <c r="L4" s="2" t="str">
        <f t="shared" si="0"/>
        <v>--</v>
      </c>
      <c r="M4" s="2" t="str">
        <f t="shared" si="0"/>
        <v>--</v>
      </c>
      <c r="N4" s="2" t="str">
        <f t="shared" si="0"/>
        <v>--</v>
      </c>
      <c r="O4" s="2" t="str">
        <f t="shared" si="0"/>
        <v>--</v>
      </c>
      <c r="P4" s="2" t="str">
        <f t="shared" si="0"/>
        <v>--</v>
      </c>
      <c r="Q4" s="2" t="str">
        <f t="shared" si="0"/>
        <v>--</v>
      </c>
      <c r="R4" s="2" t="str">
        <f t="shared" ref="R4" si="1">IF(R25=R43,IF(R43=R59,"--","Oops"),"Oops")</f>
        <v>--</v>
      </c>
    </row>
    <row r="5" spans="1:18" ht="15.75" thickTop="1" x14ac:dyDescent="0.25">
      <c r="F5" s="45" t="s">
        <v>91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8" x14ac:dyDescent="0.25">
      <c r="F6" s="5" t="s">
        <v>51</v>
      </c>
      <c r="G6" s="9" t="s">
        <v>36</v>
      </c>
      <c r="H6" t="s">
        <v>52</v>
      </c>
      <c r="I6" s="1">
        <v>1777</v>
      </c>
      <c r="J6" s="1">
        <v>1865</v>
      </c>
      <c r="K6" s="1">
        <v>1961</v>
      </c>
      <c r="L6" s="1">
        <v>1974</v>
      </c>
      <c r="M6" s="1">
        <v>2014</v>
      </c>
      <c r="N6" s="1">
        <v>2022</v>
      </c>
      <c r="O6" s="1">
        <v>2023</v>
      </c>
      <c r="P6" s="1">
        <v>2024</v>
      </c>
      <c r="Q6" s="1">
        <v>2025</v>
      </c>
      <c r="R6" s="1">
        <v>2222</v>
      </c>
    </row>
    <row r="7" spans="1:18" x14ac:dyDescent="0.25">
      <c r="F7" s="5" t="s">
        <v>0</v>
      </c>
      <c r="G7" s="9" t="s">
        <v>36</v>
      </c>
      <c r="H7" t="s">
        <v>37</v>
      </c>
      <c r="I7">
        <f t="shared" ref="I7:R7" si="2">MOD(I6,19)</f>
        <v>10</v>
      </c>
      <c r="J7">
        <f t="shared" si="2"/>
        <v>3</v>
      </c>
      <c r="K7">
        <f t="shared" si="2"/>
        <v>4</v>
      </c>
      <c r="L7">
        <f t="shared" si="2"/>
        <v>17</v>
      </c>
      <c r="M7">
        <f t="shared" si="2"/>
        <v>0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18</v>
      </c>
    </row>
    <row r="8" spans="1:18" x14ac:dyDescent="0.25">
      <c r="F8" s="5" t="s">
        <v>1</v>
      </c>
      <c r="G8" s="9" t="s">
        <v>36</v>
      </c>
      <c r="H8" t="s">
        <v>38</v>
      </c>
      <c r="I8">
        <f t="shared" ref="I8:R8" si="3">MOD(I6,4)</f>
        <v>1</v>
      </c>
      <c r="J8">
        <f t="shared" si="3"/>
        <v>1</v>
      </c>
      <c r="K8">
        <f t="shared" si="3"/>
        <v>1</v>
      </c>
      <c r="L8">
        <f t="shared" si="3"/>
        <v>2</v>
      </c>
      <c r="M8">
        <f t="shared" si="3"/>
        <v>2</v>
      </c>
      <c r="N8">
        <f t="shared" si="3"/>
        <v>2</v>
      </c>
      <c r="O8">
        <f t="shared" si="3"/>
        <v>3</v>
      </c>
      <c r="P8">
        <f t="shared" si="3"/>
        <v>0</v>
      </c>
      <c r="Q8">
        <f t="shared" si="3"/>
        <v>1</v>
      </c>
      <c r="R8">
        <f t="shared" si="3"/>
        <v>2</v>
      </c>
    </row>
    <row r="9" spans="1:18" x14ac:dyDescent="0.25">
      <c r="F9" s="5" t="s">
        <v>2</v>
      </c>
      <c r="G9" s="9" t="s">
        <v>36</v>
      </c>
      <c r="H9" t="s">
        <v>39</v>
      </c>
      <c r="I9">
        <f t="shared" ref="I9:R9" si="4">MOD(I6,7)</f>
        <v>6</v>
      </c>
      <c r="J9">
        <f t="shared" si="4"/>
        <v>3</v>
      </c>
      <c r="K9">
        <f t="shared" si="4"/>
        <v>1</v>
      </c>
      <c r="L9">
        <f t="shared" si="4"/>
        <v>0</v>
      </c>
      <c r="M9">
        <f t="shared" si="4"/>
        <v>5</v>
      </c>
      <c r="N9">
        <f t="shared" si="4"/>
        <v>6</v>
      </c>
      <c r="O9">
        <f t="shared" si="4"/>
        <v>0</v>
      </c>
      <c r="P9">
        <f t="shared" si="4"/>
        <v>1</v>
      </c>
      <c r="Q9">
        <f t="shared" si="4"/>
        <v>2</v>
      </c>
      <c r="R9">
        <f t="shared" si="4"/>
        <v>3</v>
      </c>
    </row>
    <row r="10" spans="1:18" x14ac:dyDescent="0.25">
      <c r="F10" s="5" t="s">
        <v>9</v>
      </c>
      <c r="G10" s="9" t="s">
        <v>36</v>
      </c>
      <c r="H10" t="s">
        <v>69</v>
      </c>
      <c r="I10">
        <f t="shared" ref="I10:R10" si="5">_xlfn.FLOOR.MATH(I6/100)</f>
        <v>17</v>
      </c>
      <c r="J10">
        <f t="shared" si="5"/>
        <v>18</v>
      </c>
      <c r="K10">
        <f t="shared" si="5"/>
        <v>19</v>
      </c>
      <c r="L10">
        <f t="shared" si="5"/>
        <v>19</v>
      </c>
      <c r="M10">
        <f t="shared" si="5"/>
        <v>20</v>
      </c>
      <c r="N10">
        <f t="shared" si="5"/>
        <v>20</v>
      </c>
      <c r="O10">
        <f t="shared" si="5"/>
        <v>20</v>
      </c>
      <c r="P10">
        <f t="shared" si="5"/>
        <v>20</v>
      </c>
      <c r="Q10">
        <f t="shared" si="5"/>
        <v>20</v>
      </c>
      <c r="R10">
        <f t="shared" si="5"/>
        <v>22</v>
      </c>
    </row>
    <row r="11" spans="1:18" x14ac:dyDescent="0.25">
      <c r="F11" s="5" t="s">
        <v>29</v>
      </c>
      <c r="G11" s="9" t="s">
        <v>36</v>
      </c>
      <c r="H11" t="s">
        <v>70</v>
      </c>
      <c r="I11">
        <f t="shared" ref="I11:R11" si="6">_xlfn.FLOOR.MATH((13+8*I10)/25)</f>
        <v>5</v>
      </c>
      <c r="J11">
        <f t="shared" si="6"/>
        <v>6</v>
      </c>
      <c r="K11">
        <f t="shared" si="6"/>
        <v>6</v>
      </c>
      <c r="L11">
        <f t="shared" si="6"/>
        <v>6</v>
      </c>
      <c r="M11">
        <f t="shared" si="6"/>
        <v>6</v>
      </c>
      <c r="N11">
        <f t="shared" si="6"/>
        <v>6</v>
      </c>
      <c r="O11">
        <f t="shared" si="6"/>
        <v>6</v>
      </c>
      <c r="P11">
        <f t="shared" si="6"/>
        <v>6</v>
      </c>
      <c r="Q11">
        <f t="shared" si="6"/>
        <v>6</v>
      </c>
      <c r="R11">
        <f t="shared" si="6"/>
        <v>7</v>
      </c>
    </row>
    <row r="12" spans="1:18" x14ac:dyDescent="0.25">
      <c r="F12" s="5" t="s">
        <v>40</v>
      </c>
      <c r="G12" s="9" t="s">
        <v>36</v>
      </c>
      <c r="H12" t="s">
        <v>71</v>
      </c>
      <c r="I12">
        <f t="shared" ref="I12:R12" si="7">_xlfn.FLOOR.MATH(I10/4)</f>
        <v>4</v>
      </c>
      <c r="J12">
        <f t="shared" si="7"/>
        <v>4</v>
      </c>
      <c r="K12">
        <f t="shared" si="7"/>
        <v>4</v>
      </c>
      <c r="L12">
        <f t="shared" si="7"/>
        <v>4</v>
      </c>
      <c r="M12">
        <f t="shared" si="7"/>
        <v>5</v>
      </c>
      <c r="N12">
        <f t="shared" si="7"/>
        <v>5</v>
      </c>
      <c r="O12">
        <f t="shared" si="7"/>
        <v>5</v>
      </c>
      <c r="P12">
        <f t="shared" si="7"/>
        <v>5</v>
      </c>
      <c r="Q12">
        <f t="shared" si="7"/>
        <v>5</v>
      </c>
      <c r="R12">
        <f t="shared" si="7"/>
        <v>5</v>
      </c>
    </row>
    <row r="13" spans="1:18" x14ac:dyDescent="0.25">
      <c r="F13" s="5" t="s">
        <v>41</v>
      </c>
      <c r="G13" s="9" t="s">
        <v>36</v>
      </c>
      <c r="H13" t="s">
        <v>59</v>
      </c>
      <c r="I13">
        <f t="shared" ref="I13:R13" si="8">MOD((15-I11+I10-I12),30)</f>
        <v>23</v>
      </c>
      <c r="J13">
        <f t="shared" si="8"/>
        <v>23</v>
      </c>
      <c r="K13">
        <f t="shared" si="8"/>
        <v>24</v>
      </c>
      <c r="L13">
        <f t="shared" si="8"/>
        <v>24</v>
      </c>
      <c r="M13">
        <f t="shared" si="8"/>
        <v>24</v>
      </c>
      <c r="N13">
        <f t="shared" si="8"/>
        <v>24</v>
      </c>
      <c r="O13">
        <f t="shared" si="8"/>
        <v>24</v>
      </c>
      <c r="P13">
        <f t="shared" si="8"/>
        <v>24</v>
      </c>
      <c r="Q13">
        <f t="shared" si="8"/>
        <v>24</v>
      </c>
      <c r="R13">
        <f t="shared" si="8"/>
        <v>25</v>
      </c>
    </row>
    <row r="14" spans="1:18" x14ac:dyDescent="0.25">
      <c r="F14" s="5" t="s">
        <v>42</v>
      </c>
      <c r="G14" s="9" t="s">
        <v>36</v>
      </c>
      <c r="H14" t="s">
        <v>60</v>
      </c>
      <c r="I14">
        <f t="shared" ref="I14:R14" si="9">MOD((4+I10-I12),7)</f>
        <v>3</v>
      </c>
      <c r="J14">
        <f t="shared" si="9"/>
        <v>4</v>
      </c>
      <c r="K14">
        <f t="shared" si="9"/>
        <v>5</v>
      </c>
      <c r="L14">
        <f t="shared" si="9"/>
        <v>5</v>
      </c>
      <c r="M14">
        <f t="shared" si="9"/>
        <v>5</v>
      </c>
      <c r="N14">
        <f t="shared" si="9"/>
        <v>5</v>
      </c>
      <c r="O14">
        <f t="shared" si="9"/>
        <v>5</v>
      </c>
      <c r="P14">
        <f t="shared" si="9"/>
        <v>5</v>
      </c>
      <c r="Q14">
        <f t="shared" si="9"/>
        <v>5</v>
      </c>
      <c r="R14">
        <f t="shared" si="9"/>
        <v>0</v>
      </c>
    </row>
    <row r="15" spans="1:18" x14ac:dyDescent="0.25">
      <c r="F15" s="5" t="s">
        <v>3</v>
      </c>
      <c r="G15" s="9" t="s">
        <v>36</v>
      </c>
      <c r="H15" t="s">
        <v>61</v>
      </c>
      <c r="I15">
        <f t="shared" ref="I15:R15" si="10">MOD((19*I7+I13),30)</f>
        <v>3</v>
      </c>
      <c r="J15">
        <f t="shared" si="10"/>
        <v>20</v>
      </c>
      <c r="K15">
        <f t="shared" si="10"/>
        <v>10</v>
      </c>
      <c r="L15">
        <f t="shared" si="10"/>
        <v>17</v>
      </c>
      <c r="M15">
        <f t="shared" si="10"/>
        <v>24</v>
      </c>
      <c r="N15">
        <f t="shared" si="10"/>
        <v>26</v>
      </c>
      <c r="O15">
        <f t="shared" si="10"/>
        <v>15</v>
      </c>
      <c r="P15">
        <f t="shared" si="10"/>
        <v>4</v>
      </c>
      <c r="Q15">
        <f t="shared" si="10"/>
        <v>23</v>
      </c>
      <c r="R15">
        <f t="shared" si="10"/>
        <v>7</v>
      </c>
    </row>
    <row r="16" spans="1:18" x14ac:dyDescent="0.25">
      <c r="F16" s="5" t="s">
        <v>4</v>
      </c>
      <c r="G16" s="9" t="s">
        <v>36</v>
      </c>
      <c r="H16" t="s">
        <v>62</v>
      </c>
      <c r="I16">
        <f t="shared" ref="I16:R16" si="11">MOD((2*I8+4*I9+6*I15+I14),7)</f>
        <v>5</v>
      </c>
      <c r="J16">
        <f t="shared" si="11"/>
        <v>5</v>
      </c>
      <c r="K16">
        <f t="shared" si="11"/>
        <v>1</v>
      </c>
      <c r="L16">
        <f t="shared" si="11"/>
        <v>6</v>
      </c>
      <c r="M16">
        <f t="shared" si="11"/>
        <v>5</v>
      </c>
      <c r="N16">
        <f t="shared" si="11"/>
        <v>0</v>
      </c>
      <c r="O16">
        <f t="shared" si="11"/>
        <v>3</v>
      </c>
      <c r="P16">
        <f t="shared" si="11"/>
        <v>5</v>
      </c>
      <c r="Q16">
        <f t="shared" si="11"/>
        <v>6</v>
      </c>
      <c r="R16">
        <f t="shared" si="11"/>
        <v>2</v>
      </c>
    </row>
    <row r="17" spans="1:18" ht="18" x14ac:dyDescent="0.35">
      <c r="F17" s="5" t="s">
        <v>44</v>
      </c>
      <c r="G17" s="9" t="s">
        <v>36</v>
      </c>
      <c r="H17" t="s">
        <v>46</v>
      </c>
      <c r="I17">
        <f t="shared" ref="I17:R17" si="12">22+I15+I16</f>
        <v>30</v>
      </c>
      <c r="J17">
        <f t="shared" si="12"/>
        <v>47</v>
      </c>
      <c r="K17">
        <f t="shared" si="12"/>
        <v>33</v>
      </c>
      <c r="L17">
        <f t="shared" si="12"/>
        <v>45</v>
      </c>
      <c r="M17">
        <f t="shared" si="12"/>
        <v>51</v>
      </c>
      <c r="N17">
        <f t="shared" si="12"/>
        <v>48</v>
      </c>
      <c r="O17">
        <f t="shared" si="12"/>
        <v>40</v>
      </c>
      <c r="P17">
        <f t="shared" si="12"/>
        <v>31</v>
      </c>
      <c r="Q17">
        <f t="shared" si="12"/>
        <v>51</v>
      </c>
      <c r="R17">
        <f t="shared" si="12"/>
        <v>31</v>
      </c>
    </row>
    <row r="18" spans="1:18" ht="18" x14ac:dyDescent="0.35">
      <c r="F18" s="5" t="s">
        <v>45</v>
      </c>
      <c r="G18" s="9" t="s">
        <v>36</v>
      </c>
      <c r="H18" t="s">
        <v>47</v>
      </c>
      <c r="I18">
        <f t="shared" ref="I18:R18" si="13">I15+I16-9</f>
        <v>-1</v>
      </c>
      <c r="J18">
        <f t="shared" si="13"/>
        <v>16</v>
      </c>
      <c r="K18">
        <f t="shared" si="13"/>
        <v>2</v>
      </c>
      <c r="L18">
        <f t="shared" si="13"/>
        <v>14</v>
      </c>
      <c r="M18">
        <f t="shared" si="13"/>
        <v>20</v>
      </c>
      <c r="N18">
        <f t="shared" si="13"/>
        <v>17</v>
      </c>
      <c r="O18">
        <f t="shared" si="13"/>
        <v>9</v>
      </c>
      <c r="P18">
        <f t="shared" si="13"/>
        <v>0</v>
      </c>
      <c r="Q18">
        <f t="shared" si="13"/>
        <v>20</v>
      </c>
      <c r="R18">
        <f t="shared" si="13"/>
        <v>0</v>
      </c>
    </row>
    <row r="19" spans="1:18" x14ac:dyDescent="0.25">
      <c r="F19" s="5" t="s">
        <v>11</v>
      </c>
      <c r="H19" t="s">
        <v>50</v>
      </c>
      <c r="I19">
        <f t="shared" ref="I19:R19" si="14">MOD((11*I13+11),30)</f>
        <v>24</v>
      </c>
      <c r="J19">
        <f t="shared" si="14"/>
        <v>24</v>
      </c>
      <c r="K19">
        <f t="shared" si="14"/>
        <v>5</v>
      </c>
      <c r="L19">
        <f t="shared" si="14"/>
        <v>5</v>
      </c>
      <c r="M19">
        <f t="shared" si="14"/>
        <v>5</v>
      </c>
      <c r="N19">
        <f t="shared" si="14"/>
        <v>5</v>
      </c>
      <c r="O19">
        <f t="shared" si="14"/>
        <v>5</v>
      </c>
      <c r="P19">
        <f t="shared" si="14"/>
        <v>5</v>
      </c>
      <c r="Q19">
        <f t="shared" si="14"/>
        <v>5</v>
      </c>
      <c r="R19">
        <f t="shared" si="14"/>
        <v>16</v>
      </c>
    </row>
    <row r="20" spans="1:18" ht="18" x14ac:dyDescent="0.35">
      <c r="F20" s="5" t="s">
        <v>48</v>
      </c>
      <c r="G20" s="9" t="s">
        <v>36</v>
      </c>
      <c r="H20" s="9" t="s">
        <v>83</v>
      </c>
      <c r="I20">
        <f>IF(I15=28,IF(I16=6,IF(I19&lt;19,18,0),0),0)</f>
        <v>0</v>
      </c>
      <c r="J20">
        <f t="shared" ref="J20:R20" si="15">IF(J15=28,IF(J16=6,IF(J19&lt;19,18,0),0),0)</f>
        <v>0</v>
      </c>
      <c r="K20">
        <f t="shared" si="15"/>
        <v>0</v>
      </c>
      <c r="L20">
        <f t="shared" si="15"/>
        <v>0</v>
      </c>
      <c r="M20">
        <f t="shared" si="15"/>
        <v>0</v>
      </c>
      <c r="N20">
        <f t="shared" si="15"/>
        <v>0</v>
      </c>
      <c r="O20">
        <f t="shared" si="15"/>
        <v>0</v>
      </c>
      <c r="P20">
        <f t="shared" si="15"/>
        <v>0</v>
      </c>
      <c r="Q20">
        <f t="shared" si="15"/>
        <v>0</v>
      </c>
      <c r="R20">
        <f t="shared" si="15"/>
        <v>0</v>
      </c>
    </row>
    <row r="21" spans="1:18" ht="18" x14ac:dyDescent="0.35">
      <c r="E21"/>
      <c r="F21" s="5" t="s">
        <v>49</v>
      </c>
      <c r="G21" s="9" t="s">
        <v>36</v>
      </c>
      <c r="H21" t="s">
        <v>84</v>
      </c>
      <c r="I21">
        <f>IF(I15=29,IF(I16=6,19,0),0)</f>
        <v>0</v>
      </c>
      <c r="J21">
        <f t="shared" ref="J21:R21" si="16">IF(J15=29,IF(J16=6,19,0),0)</f>
        <v>0</v>
      </c>
      <c r="K21">
        <f t="shared" si="16"/>
        <v>0</v>
      </c>
      <c r="L21">
        <f t="shared" si="16"/>
        <v>0</v>
      </c>
      <c r="M21">
        <f t="shared" si="16"/>
        <v>0</v>
      </c>
      <c r="N21">
        <f t="shared" si="16"/>
        <v>0</v>
      </c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6"/>
        <v>0</v>
      </c>
    </row>
    <row r="22" spans="1:18" ht="18" x14ac:dyDescent="0.35">
      <c r="E22"/>
      <c r="F22" s="5" t="s">
        <v>82</v>
      </c>
      <c r="G22" s="9" t="s">
        <v>36</v>
      </c>
      <c r="H22" t="s">
        <v>85</v>
      </c>
      <c r="I22" s="3">
        <f>IF(I17&lt;32,I17,I18)</f>
        <v>30</v>
      </c>
      <c r="J22" s="3">
        <f t="shared" ref="J22:R22" si="17">IF(J17&lt;32,J17,J18)</f>
        <v>16</v>
      </c>
      <c r="K22" s="3">
        <f t="shared" si="17"/>
        <v>2</v>
      </c>
      <c r="L22" s="3">
        <f t="shared" si="17"/>
        <v>14</v>
      </c>
      <c r="M22" s="3">
        <f t="shared" si="17"/>
        <v>20</v>
      </c>
      <c r="N22" s="3">
        <f t="shared" si="17"/>
        <v>17</v>
      </c>
      <c r="O22" s="3">
        <f t="shared" si="17"/>
        <v>9</v>
      </c>
      <c r="P22" s="3">
        <f t="shared" si="17"/>
        <v>31</v>
      </c>
      <c r="Q22" s="3">
        <f t="shared" si="17"/>
        <v>20</v>
      </c>
      <c r="R22" s="3">
        <f t="shared" si="17"/>
        <v>31</v>
      </c>
    </row>
    <row r="23" spans="1:18" ht="18" x14ac:dyDescent="0.35">
      <c r="F23" s="7" t="s">
        <v>32</v>
      </c>
      <c r="H23" t="s">
        <v>86</v>
      </c>
      <c r="I23" s="3">
        <f>IF(I20&gt;0,I20,IF(I21&gt;0,I21,I22))</f>
        <v>30</v>
      </c>
      <c r="J23" s="3">
        <f t="shared" ref="J23:R23" si="18">IF(J20&gt;0,J20,IF(J21&gt;0,J21,J22))</f>
        <v>16</v>
      </c>
      <c r="K23" s="3">
        <f t="shared" si="18"/>
        <v>2</v>
      </c>
      <c r="L23" s="3">
        <f t="shared" si="18"/>
        <v>14</v>
      </c>
      <c r="M23" s="3">
        <f t="shared" si="18"/>
        <v>20</v>
      </c>
      <c r="N23" s="3">
        <f t="shared" si="18"/>
        <v>17</v>
      </c>
      <c r="O23" s="3">
        <f t="shared" si="18"/>
        <v>9</v>
      </c>
      <c r="P23" s="3">
        <f t="shared" si="18"/>
        <v>31</v>
      </c>
      <c r="Q23" s="3">
        <f t="shared" si="18"/>
        <v>20</v>
      </c>
      <c r="R23" s="3">
        <f t="shared" si="18"/>
        <v>31</v>
      </c>
    </row>
    <row r="24" spans="1:18" ht="18" x14ac:dyDescent="0.35">
      <c r="F24" s="5" t="s">
        <v>31</v>
      </c>
      <c r="G24" s="9" t="s">
        <v>36</v>
      </c>
      <c r="H24" t="s">
        <v>87</v>
      </c>
      <c r="I24" s="3">
        <f>IF(I20&gt;0,4,IF(I21&gt;0,4,IF(I17&gt;31,4,3)))</f>
        <v>3</v>
      </c>
      <c r="J24" s="3">
        <f t="shared" ref="J24:R24" si="19">IF(J20&gt;0,4,IF(J21&gt;0,4,IF(J17&gt;31,4,3)))</f>
        <v>4</v>
      </c>
      <c r="K24" s="3">
        <f t="shared" si="19"/>
        <v>4</v>
      </c>
      <c r="L24" s="3">
        <f t="shared" si="19"/>
        <v>4</v>
      </c>
      <c r="M24" s="3">
        <f t="shared" si="19"/>
        <v>4</v>
      </c>
      <c r="N24" s="3">
        <f t="shared" si="19"/>
        <v>4</v>
      </c>
      <c r="O24" s="3">
        <f t="shared" si="19"/>
        <v>4</v>
      </c>
      <c r="P24" s="3">
        <f t="shared" si="19"/>
        <v>3</v>
      </c>
      <c r="Q24" s="3">
        <f t="shared" si="19"/>
        <v>4</v>
      </c>
      <c r="R24" s="3">
        <f t="shared" si="19"/>
        <v>3</v>
      </c>
    </row>
    <row r="25" spans="1:18" ht="15.75" thickBot="1" x14ac:dyDescent="0.3">
      <c r="F25" s="44" t="s">
        <v>58</v>
      </c>
      <c r="G25" s="44"/>
      <c r="H25" s="44"/>
      <c r="I25" s="12">
        <f>DATE(I6,I24,I23)</f>
        <v>649127</v>
      </c>
      <c r="J25" s="12">
        <f t="shared" ref="J25:R25" si="20">DATE(J6,J24,J22)</f>
        <v>681285</v>
      </c>
      <c r="K25" s="12">
        <f t="shared" si="20"/>
        <v>22373</v>
      </c>
      <c r="L25" s="12">
        <f t="shared" si="20"/>
        <v>27133</v>
      </c>
      <c r="M25" s="12">
        <f t="shared" si="20"/>
        <v>41749</v>
      </c>
      <c r="N25" s="12">
        <f t="shared" si="20"/>
        <v>44668</v>
      </c>
      <c r="O25" s="12">
        <f t="shared" si="20"/>
        <v>45025</v>
      </c>
      <c r="P25" s="12">
        <f t="shared" si="20"/>
        <v>45382</v>
      </c>
      <c r="Q25" s="12">
        <f t="shared" si="20"/>
        <v>45767</v>
      </c>
      <c r="R25" s="12">
        <f t="shared" si="20"/>
        <v>117699</v>
      </c>
    </row>
    <row r="26" spans="1:18" ht="15.75" thickTop="1" x14ac:dyDescent="0.25">
      <c r="A26" s="42" t="s">
        <v>54</v>
      </c>
      <c r="B26" s="42"/>
      <c r="C26" s="42"/>
      <c r="F26" s="45" t="s">
        <v>90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18" x14ac:dyDescent="0.25">
      <c r="A27" s="43" t="s">
        <v>67</v>
      </c>
      <c r="B27" s="43"/>
      <c r="C27" s="43"/>
      <c r="F27" s="5" t="s">
        <v>22</v>
      </c>
      <c r="G27" s="9" t="s">
        <v>36</v>
      </c>
      <c r="H27" t="s">
        <v>52</v>
      </c>
      <c r="I27" s="1">
        <f>I6</f>
        <v>1777</v>
      </c>
      <c r="J27" s="1">
        <f>J6</f>
        <v>1865</v>
      </c>
      <c r="K27" s="1">
        <f t="shared" ref="K27:Q27" si="21">K6</f>
        <v>1961</v>
      </c>
      <c r="L27" s="1">
        <f t="shared" ref="L27" si="22">L6</f>
        <v>1974</v>
      </c>
      <c r="M27" s="1">
        <f t="shared" si="21"/>
        <v>2014</v>
      </c>
      <c r="N27" s="1">
        <f t="shared" si="21"/>
        <v>2022</v>
      </c>
      <c r="O27" s="1">
        <f t="shared" si="21"/>
        <v>2023</v>
      </c>
      <c r="P27" s="1">
        <f t="shared" si="21"/>
        <v>2024</v>
      </c>
      <c r="Q27" s="1">
        <f t="shared" si="21"/>
        <v>2025</v>
      </c>
      <c r="R27" s="1">
        <f t="shared" ref="R27" si="23">R6</f>
        <v>2222</v>
      </c>
    </row>
    <row r="28" spans="1:18" x14ac:dyDescent="0.25">
      <c r="A28" s="2" t="s">
        <v>19</v>
      </c>
      <c r="B28" s="2" t="s">
        <v>20</v>
      </c>
      <c r="C28" s="2" t="s">
        <v>21</v>
      </c>
      <c r="D28" s="2" t="s">
        <v>65</v>
      </c>
      <c r="F28" s="5" t="s">
        <v>0</v>
      </c>
      <c r="G28" s="9" t="s">
        <v>36</v>
      </c>
      <c r="H28" t="s">
        <v>14</v>
      </c>
      <c r="I28">
        <f>MOD(I27,19)</f>
        <v>10</v>
      </c>
      <c r="J28">
        <f>MOD(J27,19)</f>
        <v>3</v>
      </c>
      <c r="K28">
        <f t="shared" ref="K28:R28" si="24">MOD(K27,19)</f>
        <v>4</v>
      </c>
      <c r="L28">
        <f t="shared" si="24"/>
        <v>17</v>
      </c>
      <c r="M28">
        <f t="shared" si="24"/>
        <v>0</v>
      </c>
      <c r="N28">
        <f t="shared" si="24"/>
        <v>8</v>
      </c>
      <c r="O28">
        <f t="shared" si="24"/>
        <v>9</v>
      </c>
      <c r="P28">
        <f t="shared" si="24"/>
        <v>10</v>
      </c>
      <c r="Q28">
        <f t="shared" si="24"/>
        <v>11</v>
      </c>
      <c r="R28">
        <f t="shared" si="24"/>
        <v>18</v>
      </c>
    </row>
    <row r="29" spans="1:18" x14ac:dyDescent="0.25">
      <c r="A29" s="5" t="s">
        <v>18</v>
      </c>
      <c r="B29" s="5">
        <v>19</v>
      </c>
      <c r="C29" s="10" t="s">
        <v>23</v>
      </c>
      <c r="D29" s="5" t="s">
        <v>0</v>
      </c>
      <c r="F29" s="5" t="s">
        <v>1</v>
      </c>
      <c r="G29" s="9" t="s">
        <v>36</v>
      </c>
      <c r="H29" t="s">
        <v>72</v>
      </c>
      <c r="I29">
        <f>_xlfn.FLOOR.MATH(I27/100)</f>
        <v>17</v>
      </c>
      <c r="J29">
        <f>_xlfn.FLOOR.MATH(J27/100)</f>
        <v>18</v>
      </c>
      <c r="K29">
        <f t="shared" ref="K29:Q29" si="25">_xlfn.FLOOR.MATH(K27/100)</f>
        <v>19</v>
      </c>
      <c r="L29">
        <f t="shared" ref="L29" si="26">_xlfn.FLOOR.MATH(L27/100)</f>
        <v>19</v>
      </c>
      <c r="M29">
        <f t="shared" si="25"/>
        <v>20</v>
      </c>
      <c r="N29">
        <f t="shared" si="25"/>
        <v>20</v>
      </c>
      <c r="O29">
        <f t="shared" si="25"/>
        <v>20</v>
      </c>
      <c r="P29">
        <f t="shared" si="25"/>
        <v>20</v>
      </c>
      <c r="Q29">
        <f t="shared" si="25"/>
        <v>20</v>
      </c>
      <c r="R29">
        <f t="shared" ref="R29" si="27">_xlfn.FLOOR.MATH(R27/100)</f>
        <v>22</v>
      </c>
    </row>
    <row r="30" spans="1:18" x14ac:dyDescent="0.25">
      <c r="A30" s="5" t="s">
        <v>18</v>
      </c>
      <c r="B30" s="5">
        <v>100</v>
      </c>
      <c r="C30" s="5" t="s">
        <v>1</v>
      </c>
      <c r="D30" s="5" t="s">
        <v>2</v>
      </c>
      <c r="F30" s="5" t="s">
        <v>2</v>
      </c>
      <c r="G30" s="9" t="s">
        <v>36</v>
      </c>
      <c r="H30" t="s">
        <v>15</v>
      </c>
      <c r="I30">
        <f>MOD(I27,100)</f>
        <v>77</v>
      </c>
      <c r="J30">
        <f>MOD(J27,100)</f>
        <v>65</v>
      </c>
      <c r="K30">
        <f t="shared" ref="K30:Q30" si="28">MOD(K27,100)</f>
        <v>61</v>
      </c>
      <c r="L30">
        <f t="shared" ref="L30" si="29">MOD(L27,100)</f>
        <v>74</v>
      </c>
      <c r="M30">
        <f t="shared" si="28"/>
        <v>14</v>
      </c>
      <c r="N30">
        <f t="shared" si="28"/>
        <v>22</v>
      </c>
      <c r="O30">
        <f t="shared" si="28"/>
        <v>23</v>
      </c>
      <c r="P30">
        <f t="shared" si="28"/>
        <v>24</v>
      </c>
      <c r="Q30">
        <f t="shared" si="28"/>
        <v>25</v>
      </c>
      <c r="R30">
        <f t="shared" ref="R30" si="30">MOD(R27,100)</f>
        <v>22</v>
      </c>
    </row>
    <row r="31" spans="1:18" x14ac:dyDescent="0.25">
      <c r="A31" s="5" t="s">
        <v>1</v>
      </c>
      <c r="B31" s="5">
        <v>4</v>
      </c>
      <c r="C31" s="5" t="s">
        <v>3</v>
      </c>
      <c r="D31" s="5" t="s">
        <v>4</v>
      </c>
      <c r="F31" s="5" t="s">
        <v>3</v>
      </c>
      <c r="G31" s="9" t="s">
        <v>36</v>
      </c>
      <c r="H31" t="s">
        <v>53</v>
      </c>
      <c r="I31">
        <f>_xlfn.FLOOR.MATH(I29/4)</f>
        <v>4</v>
      </c>
      <c r="J31">
        <f>_xlfn.FLOOR.MATH(J29/4)</f>
        <v>4</v>
      </c>
      <c r="K31">
        <f t="shared" ref="K31:Q31" si="31">_xlfn.FLOOR.MATH(K29/4)</f>
        <v>4</v>
      </c>
      <c r="L31">
        <f t="shared" ref="L31" si="32">_xlfn.FLOOR.MATH(L29/4)</f>
        <v>4</v>
      </c>
      <c r="M31">
        <f t="shared" si="31"/>
        <v>5</v>
      </c>
      <c r="N31">
        <f t="shared" si="31"/>
        <v>5</v>
      </c>
      <c r="O31">
        <f t="shared" si="31"/>
        <v>5</v>
      </c>
      <c r="P31">
        <f t="shared" si="31"/>
        <v>5</v>
      </c>
      <c r="Q31">
        <f t="shared" si="31"/>
        <v>5</v>
      </c>
      <c r="R31">
        <f t="shared" ref="R31" si="33">_xlfn.FLOOR.MATH(R29/4)</f>
        <v>5</v>
      </c>
    </row>
    <row r="32" spans="1:18" x14ac:dyDescent="0.25">
      <c r="A32" s="5" t="s">
        <v>24</v>
      </c>
      <c r="B32" s="5">
        <v>25</v>
      </c>
      <c r="C32" s="5" t="s">
        <v>5</v>
      </c>
      <c r="D32" s="10" t="s">
        <v>23</v>
      </c>
      <c r="F32" s="5" t="s">
        <v>4</v>
      </c>
      <c r="G32" s="9" t="s">
        <v>36</v>
      </c>
      <c r="H32" t="s">
        <v>16</v>
      </c>
      <c r="I32">
        <f>MOD(I29,4)</f>
        <v>1</v>
      </c>
      <c r="J32">
        <f>MOD(J29,4)</f>
        <v>2</v>
      </c>
      <c r="K32">
        <f t="shared" ref="K32:Q32" si="34">MOD(K29,4)</f>
        <v>3</v>
      </c>
      <c r="L32">
        <f t="shared" ref="L32" si="35">MOD(L29,4)</f>
        <v>3</v>
      </c>
      <c r="M32">
        <f t="shared" si="34"/>
        <v>0</v>
      </c>
      <c r="N32">
        <f t="shared" si="34"/>
        <v>0</v>
      </c>
      <c r="O32">
        <f t="shared" si="34"/>
        <v>0</v>
      </c>
      <c r="P32">
        <f t="shared" si="34"/>
        <v>0</v>
      </c>
      <c r="Q32">
        <f t="shared" si="34"/>
        <v>0</v>
      </c>
      <c r="R32">
        <f t="shared" ref="R32" si="36">MOD(R29,4)</f>
        <v>2</v>
      </c>
    </row>
    <row r="33" spans="1:18" x14ac:dyDescent="0.25">
      <c r="A33" s="5" t="s">
        <v>25</v>
      </c>
      <c r="B33" s="5">
        <v>3</v>
      </c>
      <c r="C33" s="5" t="s">
        <v>6</v>
      </c>
      <c r="D33" s="10" t="s">
        <v>23</v>
      </c>
      <c r="F33" s="5" t="s">
        <v>5</v>
      </c>
      <c r="G33" s="9" t="s">
        <v>36</v>
      </c>
      <c r="H33" t="s">
        <v>73</v>
      </c>
      <c r="I33">
        <f>_xlfn.FLOOR.MATH((I29+8)/25)</f>
        <v>1</v>
      </c>
      <c r="J33">
        <f>_xlfn.FLOOR.MATH((J29+8)/25)</f>
        <v>1</v>
      </c>
      <c r="K33">
        <f t="shared" ref="K33:Q33" si="37">_xlfn.FLOOR.MATH((K29+8)/25)</f>
        <v>1</v>
      </c>
      <c r="L33">
        <f t="shared" ref="L33" si="38">_xlfn.FLOOR.MATH((L29+8)/25)</f>
        <v>1</v>
      </c>
      <c r="M33">
        <f t="shared" si="37"/>
        <v>1</v>
      </c>
      <c r="N33">
        <f t="shared" si="37"/>
        <v>1</v>
      </c>
      <c r="O33">
        <f t="shared" si="37"/>
        <v>1</v>
      </c>
      <c r="P33">
        <f t="shared" si="37"/>
        <v>1</v>
      </c>
      <c r="Q33">
        <f t="shared" si="37"/>
        <v>1</v>
      </c>
      <c r="R33">
        <f t="shared" ref="R33" si="39">_xlfn.FLOOR.MATH((R29+8)/25)</f>
        <v>1</v>
      </c>
    </row>
    <row r="34" spans="1:18" x14ac:dyDescent="0.25">
      <c r="A34" s="5" t="s">
        <v>26</v>
      </c>
      <c r="B34" s="5">
        <v>30</v>
      </c>
      <c r="C34" s="10" t="s">
        <v>23</v>
      </c>
      <c r="D34" s="5" t="s">
        <v>7</v>
      </c>
      <c r="F34" s="5" t="s">
        <v>6</v>
      </c>
      <c r="G34" s="9" t="s">
        <v>36</v>
      </c>
      <c r="H34" t="s">
        <v>74</v>
      </c>
      <c r="I34">
        <f>_xlfn.FLOOR.MATH((I29-I33+1)/3)</f>
        <v>5</v>
      </c>
      <c r="J34">
        <f>_xlfn.FLOOR.MATH((J29-J33+1)/3)</f>
        <v>6</v>
      </c>
      <c r="K34">
        <f t="shared" ref="K34:R34" si="40">_xlfn.FLOOR.MATH((K29-K33+1)/3)</f>
        <v>6</v>
      </c>
      <c r="L34">
        <f t="shared" si="40"/>
        <v>6</v>
      </c>
      <c r="M34">
        <f t="shared" si="40"/>
        <v>6</v>
      </c>
      <c r="N34">
        <f t="shared" si="40"/>
        <v>6</v>
      </c>
      <c r="O34">
        <f t="shared" si="40"/>
        <v>6</v>
      </c>
      <c r="P34">
        <f t="shared" si="40"/>
        <v>6</v>
      </c>
      <c r="Q34">
        <f t="shared" si="40"/>
        <v>6</v>
      </c>
      <c r="R34">
        <f t="shared" si="40"/>
        <v>7</v>
      </c>
    </row>
    <row r="35" spans="1:18" x14ac:dyDescent="0.25">
      <c r="A35" s="5" t="s">
        <v>2</v>
      </c>
      <c r="B35" s="5">
        <v>4</v>
      </c>
      <c r="C35" s="5" t="s">
        <v>8</v>
      </c>
      <c r="D35" s="5" t="s">
        <v>9</v>
      </c>
      <c r="F35" s="5" t="s">
        <v>7</v>
      </c>
      <c r="G35" s="9" t="s">
        <v>36</v>
      </c>
      <c r="H35" t="s">
        <v>63</v>
      </c>
      <c r="I35">
        <f>MOD((19*I28+I29-I31-I34+15),30)</f>
        <v>3</v>
      </c>
      <c r="J35">
        <f>MOD((19*J28+J29-J31-J34+15),30)</f>
        <v>20</v>
      </c>
      <c r="K35">
        <f t="shared" ref="K35:R35" si="41">MOD((19*K28+K29-K31-K34+15),30)</f>
        <v>10</v>
      </c>
      <c r="L35">
        <f t="shared" si="41"/>
        <v>17</v>
      </c>
      <c r="M35">
        <f t="shared" si="41"/>
        <v>24</v>
      </c>
      <c r="N35">
        <f t="shared" si="41"/>
        <v>26</v>
      </c>
      <c r="O35">
        <f t="shared" si="41"/>
        <v>15</v>
      </c>
      <c r="P35">
        <f t="shared" si="41"/>
        <v>4</v>
      </c>
      <c r="Q35">
        <f t="shared" si="41"/>
        <v>23</v>
      </c>
      <c r="R35">
        <f t="shared" si="41"/>
        <v>7</v>
      </c>
    </row>
    <row r="36" spans="1:18" x14ac:dyDescent="0.25">
      <c r="A36" s="5" t="s">
        <v>27</v>
      </c>
      <c r="B36" s="5">
        <v>7</v>
      </c>
      <c r="C36" s="10" t="s">
        <v>23</v>
      </c>
      <c r="D36" s="5" t="s">
        <v>10</v>
      </c>
      <c r="F36" s="7" t="s">
        <v>8</v>
      </c>
      <c r="G36" s="9" t="s">
        <v>36</v>
      </c>
      <c r="H36" t="s">
        <v>75</v>
      </c>
      <c r="I36">
        <f>_xlfn.FLOOR.MATH(I30/4)</f>
        <v>19</v>
      </c>
      <c r="J36">
        <f>_xlfn.FLOOR.MATH(J30/4)</f>
        <v>16</v>
      </c>
      <c r="K36">
        <f t="shared" ref="K36:Q36" si="42">_xlfn.FLOOR.MATH(K30/4)</f>
        <v>15</v>
      </c>
      <c r="L36">
        <f t="shared" ref="L36" si="43">_xlfn.FLOOR.MATH(L30/4)</f>
        <v>18</v>
      </c>
      <c r="M36">
        <f t="shared" si="42"/>
        <v>3</v>
      </c>
      <c r="N36">
        <f t="shared" si="42"/>
        <v>5</v>
      </c>
      <c r="O36">
        <f t="shared" si="42"/>
        <v>5</v>
      </c>
      <c r="P36">
        <f t="shared" si="42"/>
        <v>6</v>
      </c>
      <c r="Q36">
        <f t="shared" si="42"/>
        <v>6</v>
      </c>
      <c r="R36">
        <f t="shared" ref="R36" si="44">_xlfn.FLOOR.MATH(R30/4)</f>
        <v>5</v>
      </c>
    </row>
    <row r="37" spans="1:18" x14ac:dyDescent="0.25">
      <c r="A37" s="5" t="s">
        <v>66</v>
      </c>
      <c r="B37" s="5">
        <v>451</v>
      </c>
      <c r="C37" s="5" t="s">
        <v>11</v>
      </c>
      <c r="D37" s="10" t="s">
        <v>23</v>
      </c>
      <c r="F37" s="5" t="s">
        <v>9</v>
      </c>
      <c r="G37" s="9" t="s">
        <v>36</v>
      </c>
      <c r="H37" t="s">
        <v>17</v>
      </c>
      <c r="I37">
        <f>MOD(I30,4)</f>
        <v>1</v>
      </c>
      <c r="J37">
        <f>MOD(J30,4)</f>
        <v>1</v>
      </c>
      <c r="K37">
        <f t="shared" ref="K37:Q37" si="45">MOD(K30,4)</f>
        <v>1</v>
      </c>
      <c r="L37">
        <f t="shared" ref="L37" si="46">MOD(L30,4)</f>
        <v>2</v>
      </c>
      <c r="M37">
        <f t="shared" si="45"/>
        <v>2</v>
      </c>
      <c r="N37">
        <f t="shared" si="45"/>
        <v>2</v>
      </c>
      <c r="O37">
        <f t="shared" si="45"/>
        <v>3</v>
      </c>
      <c r="P37">
        <f t="shared" si="45"/>
        <v>0</v>
      </c>
      <c r="Q37">
        <f t="shared" si="45"/>
        <v>1</v>
      </c>
      <c r="R37">
        <f t="shared" ref="R37" si="47">MOD(R30,4)</f>
        <v>2</v>
      </c>
    </row>
    <row r="38" spans="1:18" x14ac:dyDescent="0.25">
      <c r="A38" s="5" t="s">
        <v>28</v>
      </c>
      <c r="B38" s="5">
        <v>31</v>
      </c>
      <c r="C38" s="5" t="s">
        <v>12</v>
      </c>
      <c r="D38" s="5" t="s">
        <v>13</v>
      </c>
      <c r="F38" s="7" t="s">
        <v>10</v>
      </c>
      <c r="G38" s="9" t="s">
        <v>36</v>
      </c>
      <c r="H38" t="s">
        <v>64</v>
      </c>
      <c r="I38">
        <f>MOD((32+2*I32+2*I36-I35-I37),7)</f>
        <v>5</v>
      </c>
      <c r="J38">
        <f>MOD((32+2*J32+2*J36-J35-J37),7)</f>
        <v>5</v>
      </c>
      <c r="K38">
        <f t="shared" ref="K38:R38" si="48">MOD((32+2*K32+2*K36-K35-K37),7)</f>
        <v>1</v>
      </c>
      <c r="L38">
        <f t="shared" si="48"/>
        <v>6</v>
      </c>
      <c r="M38">
        <f t="shared" si="48"/>
        <v>5</v>
      </c>
      <c r="N38">
        <f t="shared" si="48"/>
        <v>0</v>
      </c>
      <c r="O38">
        <f t="shared" si="48"/>
        <v>3</v>
      </c>
      <c r="P38">
        <f t="shared" si="48"/>
        <v>5</v>
      </c>
      <c r="Q38">
        <f t="shared" si="48"/>
        <v>6</v>
      </c>
      <c r="R38">
        <f t="shared" si="48"/>
        <v>2</v>
      </c>
    </row>
    <row r="39" spans="1:18" x14ac:dyDescent="0.25">
      <c r="F39" s="5" t="s">
        <v>11</v>
      </c>
      <c r="G39" s="9" t="s">
        <v>36</v>
      </c>
      <c r="H39" t="s">
        <v>76</v>
      </c>
      <c r="I39">
        <f>_xlfn.FLOOR.MATH((I28+11*I35+22*I38)/451)</f>
        <v>0</v>
      </c>
      <c r="J39">
        <f>_xlfn.FLOOR.MATH((J28+11*J35+22*J38)/451)</f>
        <v>0</v>
      </c>
      <c r="K39">
        <f t="shared" ref="K39:R39" si="49">_xlfn.FLOOR.MATH((K28+11*K35+22*K38)/451)</f>
        <v>0</v>
      </c>
      <c r="L39">
        <f t="shared" si="49"/>
        <v>0</v>
      </c>
      <c r="M39">
        <f t="shared" si="49"/>
        <v>0</v>
      </c>
      <c r="N39">
        <f t="shared" si="49"/>
        <v>0</v>
      </c>
      <c r="O39">
        <f t="shared" si="49"/>
        <v>0</v>
      </c>
      <c r="P39">
        <f t="shared" si="49"/>
        <v>0</v>
      </c>
      <c r="Q39">
        <f t="shared" si="49"/>
        <v>0</v>
      </c>
      <c r="R39">
        <f t="shared" si="49"/>
        <v>0</v>
      </c>
    </row>
    <row r="40" spans="1:18" x14ac:dyDescent="0.25">
      <c r="E40" s="11" t="s">
        <v>31</v>
      </c>
      <c r="F40" s="5" t="s">
        <v>12</v>
      </c>
      <c r="G40" s="9" t="s">
        <v>36</v>
      </c>
      <c r="H40" s="6" t="s">
        <v>77</v>
      </c>
      <c r="I40">
        <f>_xlfn.FLOOR.MATH((I35+I38-7*I39+114)/31)</f>
        <v>3</v>
      </c>
      <c r="J40">
        <f>_xlfn.FLOOR.MATH((J35+J38-7*J39+114)/31)</f>
        <v>4</v>
      </c>
      <c r="K40">
        <f t="shared" ref="K40:R40" si="50">_xlfn.FLOOR.MATH((K35+K38-7*K39+114)/31)</f>
        <v>4</v>
      </c>
      <c r="L40">
        <f t="shared" si="50"/>
        <v>4</v>
      </c>
      <c r="M40">
        <f t="shared" si="50"/>
        <v>4</v>
      </c>
      <c r="N40">
        <f t="shared" si="50"/>
        <v>4</v>
      </c>
      <c r="O40">
        <f t="shared" si="50"/>
        <v>4</v>
      </c>
      <c r="P40">
        <f t="shared" si="50"/>
        <v>3</v>
      </c>
      <c r="Q40">
        <f t="shared" si="50"/>
        <v>4</v>
      </c>
      <c r="R40">
        <f t="shared" si="50"/>
        <v>3</v>
      </c>
    </row>
    <row r="41" spans="1:18" x14ac:dyDescent="0.25">
      <c r="F41" s="5" t="s">
        <v>13</v>
      </c>
      <c r="G41" s="9" t="s">
        <v>36</v>
      </c>
      <c r="H41" s="6" t="s">
        <v>55</v>
      </c>
      <c r="I41">
        <f>MOD((I35+I38-7*I39+114),31)</f>
        <v>29</v>
      </c>
      <c r="J41">
        <f>MOD((J35+J38-7*J39+114),31)</f>
        <v>15</v>
      </c>
      <c r="K41">
        <f t="shared" ref="K41:Q41" si="51">MOD((K35+K38-7*K39+114),31)</f>
        <v>1</v>
      </c>
      <c r="L41">
        <f t="shared" ref="L41" si="52">MOD((L35+L38-7*L39+114),31)</f>
        <v>13</v>
      </c>
      <c r="M41">
        <f t="shared" si="51"/>
        <v>19</v>
      </c>
      <c r="N41">
        <f t="shared" si="51"/>
        <v>16</v>
      </c>
      <c r="O41">
        <f t="shared" si="51"/>
        <v>8</v>
      </c>
      <c r="P41">
        <f t="shared" si="51"/>
        <v>30</v>
      </c>
      <c r="Q41">
        <f t="shared" si="51"/>
        <v>19</v>
      </c>
      <c r="R41">
        <f t="shared" ref="R41" si="53">MOD((R35+R38-7*R39+114),31)</f>
        <v>30</v>
      </c>
    </row>
    <row r="42" spans="1:18" x14ac:dyDescent="0.25">
      <c r="E42" s="11" t="s">
        <v>32</v>
      </c>
      <c r="F42" s="5" t="s">
        <v>81</v>
      </c>
      <c r="G42" s="9" t="s">
        <v>36</v>
      </c>
      <c r="H42" t="s">
        <v>56</v>
      </c>
      <c r="I42">
        <f>I41+1</f>
        <v>30</v>
      </c>
      <c r="J42">
        <f>J41+1</f>
        <v>16</v>
      </c>
      <c r="K42">
        <f t="shared" ref="K42:R42" si="54">K41+1</f>
        <v>2</v>
      </c>
      <c r="L42">
        <f t="shared" si="54"/>
        <v>14</v>
      </c>
      <c r="M42">
        <f t="shared" si="54"/>
        <v>20</v>
      </c>
      <c r="N42">
        <f t="shared" si="54"/>
        <v>17</v>
      </c>
      <c r="O42">
        <f t="shared" si="54"/>
        <v>9</v>
      </c>
      <c r="P42">
        <f t="shared" si="54"/>
        <v>31</v>
      </c>
      <c r="Q42">
        <f t="shared" si="54"/>
        <v>20</v>
      </c>
      <c r="R42">
        <f t="shared" si="54"/>
        <v>31</v>
      </c>
    </row>
    <row r="43" spans="1:18" ht="15.75" thickBot="1" x14ac:dyDescent="0.3">
      <c r="F43" s="44" t="s">
        <v>88</v>
      </c>
      <c r="G43" s="44"/>
      <c r="H43" s="44"/>
      <c r="I43" s="12">
        <f>DATE(I27,I40,I42)</f>
        <v>649127</v>
      </c>
      <c r="J43" s="12">
        <f>DATE(J27,J40,J42)</f>
        <v>681285</v>
      </c>
      <c r="K43" s="12">
        <f t="shared" ref="K43:R43" si="55">DATE(K27,K40,K42)</f>
        <v>22373</v>
      </c>
      <c r="L43" s="12">
        <f t="shared" si="55"/>
        <v>27133</v>
      </c>
      <c r="M43" s="12">
        <f t="shared" si="55"/>
        <v>41749</v>
      </c>
      <c r="N43" s="12">
        <f t="shared" si="55"/>
        <v>44668</v>
      </c>
      <c r="O43" s="12">
        <f t="shared" si="55"/>
        <v>45025</v>
      </c>
      <c r="P43" s="12">
        <f t="shared" si="55"/>
        <v>45382</v>
      </c>
      <c r="Q43" s="12">
        <f t="shared" si="55"/>
        <v>45767</v>
      </c>
      <c r="R43" s="12">
        <f t="shared" si="55"/>
        <v>117699</v>
      </c>
    </row>
    <row r="44" spans="1:18" ht="15.75" thickTop="1" x14ac:dyDescent="0.25">
      <c r="F44" s="45" t="s">
        <v>89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</row>
    <row r="45" spans="1:18" x14ac:dyDescent="0.25">
      <c r="F45" s="5" t="s">
        <v>22</v>
      </c>
      <c r="G45" s="9" t="s">
        <v>36</v>
      </c>
      <c r="H45" t="s">
        <v>52</v>
      </c>
      <c r="I45" s="1">
        <f>I27</f>
        <v>1777</v>
      </c>
      <c r="J45" s="1">
        <f>J27</f>
        <v>1865</v>
      </c>
      <c r="K45" s="1">
        <f t="shared" ref="K45:Q45" si="56">K27</f>
        <v>1961</v>
      </c>
      <c r="L45" s="1">
        <f t="shared" ref="L45" si="57">L27</f>
        <v>1974</v>
      </c>
      <c r="M45" s="1">
        <f t="shared" si="56"/>
        <v>2014</v>
      </c>
      <c r="N45" s="1">
        <f t="shared" si="56"/>
        <v>2022</v>
      </c>
      <c r="O45" s="1">
        <f t="shared" si="56"/>
        <v>2023</v>
      </c>
      <c r="P45" s="1">
        <f t="shared" si="56"/>
        <v>2024</v>
      </c>
      <c r="Q45" s="1">
        <f t="shared" si="56"/>
        <v>2025</v>
      </c>
      <c r="R45" s="1">
        <f t="shared" ref="R45" si="58">R27</f>
        <v>2222</v>
      </c>
    </row>
    <row r="46" spans="1:18" x14ac:dyDescent="0.25">
      <c r="F46" s="5" t="s">
        <v>0</v>
      </c>
      <c r="G46" s="9" t="s">
        <v>36</v>
      </c>
      <c r="H46" t="s">
        <v>14</v>
      </c>
      <c r="I46">
        <f t="shared" ref="I46:N46" si="59">MOD(I45,19)</f>
        <v>10</v>
      </c>
      <c r="J46">
        <f t="shared" si="59"/>
        <v>3</v>
      </c>
      <c r="K46">
        <f t="shared" si="59"/>
        <v>4</v>
      </c>
      <c r="L46">
        <f t="shared" si="59"/>
        <v>17</v>
      </c>
      <c r="M46">
        <f t="shared" si="59"/>
        <v>0</v>
      </c>
      <c r="N46">
        <f t="shared" si="59"/>
        <v>8</v>
      </c>
      <c r="O46">
        <f t="shared" ref="O46:R46" si="60">MOD(O45,19)</f>
        <v>9</v>
      </c>
      <c r="P46">
        <f t="shared" si="60"/>
        <v>10</v>
      </c>
      <c r="Q46">
        <f t="shared" si="60"/>
        <v>11</v>
      </c>
      <c r="R46">
        <f t="shared" si="60"/>
        <v>18</v>
      </c>
    </row>
    <row r="47" spans="1:18" x14ac:dyDescent="0.25">
      <c r="F47" s="5" t="s">
        <v>1</v>
      </c>
      <c r="G47" s="9" t="s">
        <v>36</v>
      </c>
      <c r="H47" t="s">
        <v>72</v>
      </c>
      <c r="I47">
        <f t="shared" ref="I47:N47" si="61">_xlfn.FLOOR.MATH(I45/100)</f>
        <v>17</v>
      </c>
      <c r="J47">
        <f t="shared" si="61"/>
        <v>18</v>
      </c>
      <c r="K47">
        <f t="shared" si="61"/>
        <v>19</v>
      </c>
      <c r="L47">
        <f t="shared" si="61"/>
        <v>19</v>
      </c>
      <c r="M47">
        <f t="shared" si="61"/>
        <v>20</v>
      </c>
      <c r="N47">
        <f t="shared" si="61"/>
        <v>20</v>
      </c>
      <c r="O47">
        <f t="shared" ref="O47:Q47" si="62">_xlfn.FLOOR.MATH(O45/100)</f>
        <v>20</v>
      </c>
      <c r="P47">
        <f t="shared" si="62"/>
        <v>20</v>
      </c>
      <c r="Q47">
        <f t="shared" si="62"/>
        <v>20</v>
      </c>
      <c r="R47">
        <f t="shared" ref="R47" si="63">_xlfn.FLOOR.MATH(R45/100)</f>
        <v>22</v>
      </c>
    </row>
    <row r="48" spans="1:18" x14ac:dyDescent="0.25">
      <c r="F48" s="5" t="s">
        <v>2</v>
      </c>
      <c r="G48" s="9" t="s">
        <v>36</v>
      </c>
      <c r="H48" t="s">
        <v>15</v>
      </c>
      <c r="I48">
        <f t="shared" ref="I48:N48" si="64">MOD(I45,100)</f>
        <v>77</v>
      </c>
      <c r="J48">
        <f t="shared" si="64"/>
        <v>65</v>
      </c>
      <c r="K48">
        <f t="shared" si="64"/>
        <v>61</v>
      </c>
      <c r="L48">
        <f t="shared" si="64"/>
        <v>74</v>
      </c>
      <c r="M48">
        <f t="shared" si="64"/>
        <v>14</v>
      </c>
      <c r="N48">
        <f t="shared" si="64"/>
        <v>22</v>
      </c>
      <c r="O48">
        <f t="shared" ref="O48:Q48" si="65">MOD(O45,100)</f>
        <v>23</v>
      </c>
      <c r="P48">
        <f t="shared" si="65"/>
        <v>24</v>
      </c>
      <c r="Q48">
        <f t="shared" si="65"/>
        <v>25</v>
      </c>
      <c r="R48">
        <f t="shared" ref="R48" si="66">MOD(R45,100)</f>
        <v>22</v>
      </c>
    </row>
    <row r="49" spans="5:18" x14ac:dyDescent="0.25">
      <c r="F49" s="5" t="s">
        <v>3</v>
      </c>
      <c r="G49" s="9" t="s">
        <v>36</v>
      </c>
      <c r="H49" t="s">
        <v>53</v>
      </c>
      <c r="I49">
        <f t="shared" ref="I49:N49" si="67">_xlfn.FLOOR.MATH(I47/4)</f>
        <v>4</v>
      </c>
      <c r="J49">
        <f t="shared" si="67"/>
        <v>4</v>
      </c>
      <c r="K49">
        <f t="shared" si="67"/>
        <v>4</v>
      </c>
      <c r="L49">
        <f t="shared" si="67"/>
        <v>4</v>
      </c>
      <c r="M49">
        <f t="shared" si="67"/>
        <v>5</v>
      </c>
      <c r="N49">
        <f t="shared" si="67"/>
        <v>5</v>
      </c>
      <c r="O49">
        <f t="shared" ref="O49:Q49" si="68">_xlfn.FLOOR.MATH(O47/4)</f>
        <v>5</v>
      </c>
      <c r="P49">
        <f t="shared" si="68"/>
        <v>5</v>
      </c>
      <c r="Q49">
        <f t="shared" si="68"/>
        <v>5</v>
      </c>
      <c r="R49">
        <f t="shared" ref="R49" si="69">_xlfn.FLOOR.MATH(R47/4)</f>
        <v>5</v>
      </c>
    </row>
    <row r="50" spans="5:18" x14ac:dyDescent="0.25">
      <c r="F50" s="5" t="s">
        <v>4</v>
      </c>
      <c r="G50" s="9" t="s">
        <v>36</v>
      </c>
      <c r="H50" t="s">
        <v>16</v>
      </c>
      <c r="I50">
        <f t="shared" ref="I50:N50" si="70">MOD(I47,4)</f>
        <v>1</v>
      </c>
      <c r="J50">
        <f t="shared" si="70"/>
        <v>2</v>
      </c>
      <c r="K50">
        <f t="shared" si="70"/>
        <v>3</v>
      </c>
      <c r="L50">
        <f t="shared" si="70"/>
        <v>3</v>
      </c>
      <c r="M50">
        <f t="shared" si="70"/>
        <v>0</v>
      </c>
      <c r="N50">
        <f t="shared" si="70"/>
        <v>0</v>
      </c>
      <c r="O50">
        <f t="shared" ref="O50:Q50" si="71">MOD(O47,4)</f>
        <v>0</v>
      </c>
      <c r="P50">
        <f t="shared" si="71"/>
        <v>0</v>
      </c>
      <c r="Q50">
        <f t="shared" si="71"/>
        <v>0</v>
      </c>
      <c r="R50">
        <f t="shared" ref="R50" si="72">MOD(R47,4)</f>
        <v>2</v>
      </c>
    </row>
    <row r="51" spans="5:18" x14ac:dyDescent="0.25">
      <c r="F51" s="5" t="s">
        <v>6</v>
      </c>
      <c r="G51" s="9" t="s">
        <v>36</v>
      </c>
      <c r="H51" t="s">
        <v>79</v>
      </c>
      <c r="I51">
        <f t="shared" ref="I51:N51" si="73">_xlfn.FLOOR.MATH((8*I47+13)/25)</f>
        <v>5</v>
      </c>
      <c r="J51">
        <f t="shared" si="73"/>
        <v>6</v>
      </c>
      <c r="K51">
        <f t="shared" si="73"/>
        <v>6</v>
      </c>
      <c r="L51">
        <f t="shared" si="73"/>
        <v>6</v>
      </c>
      <c r="M51">
        <f t="shared" si="73"/>
        <v>6</v>
      </c>
      <c r="N51">
        <f t="shared" si="73"/>
        <v>6</v>
      </c>
      <c r="O51">
        <f t="shared" ref="O51:Q51" si="74">_xlfn.FLOOR.MATH((8*O47+13)/25)</f>
        <v>6</v>
      </c>
      <c r="P51">
        <f t="shared" si="74"/>
        <v>6</v>
      </c>
      <c r="Q51">
        <f t="shared" si="74"/>
        <v>6</v>
      </c>
      <c r="R51">
        <f t="shared" ref="R51" si="75">_xlfn.FLOOR.MATH((8*R47+13)/25)</f>
        <v>7</v>
      </c>
    </row>
    <row r="52" spans="5:18" x14ac:dyDescent="0.25">
      <c r="F52" s="5" t="s">
        <v>7</v>
      </c>
      <c r="G52" s="9" t="s">
        <v>36</v>
      </c>
      <c r="H52" t="s">
        <v>63</v>
      </c>
      <c r="I52">
        <f t="shared" ref="I52:N52" si="76">MOD((19*I46+I47-I49-I51+15),30)</f>
        <v>3</v>
      </c>
      <c r="J52">
        <f t="shared" si="76"/>
        <v>20</v>
      </c>
      <c r="K52">
        <f t="shared" si="76"/>
        <v>10</v>
      </c>
      <c r="L52">
        <f t="shared" si="76"/>
        <v>17</v>
      </c>
      <c r="M52">
        <f t="shared" si="76"/>
        <v>24</v>
      </c>
      <c r="N52">
        <f t="shared" si="76"/>
        <v>26</v>
      </c>
      <c r="O52">
        <f t="shared" ref="O52:R52" si="77">MOD((19*O46+O47-O49-O51+15),30)</f>
        <v>15</v>
      </c>
      <c r="P52">
        <f t="shared" si="77"/>
        <v>4</v>
      </c>
      <c r="Q52">
        <f t="shared" si="77"/>
        <v>23</v>
      </c>
      <c r="R52">
        <f t="shared" si="77"/>
        <v>7</v>
      </c>
    </row>
    <row r="53" spans="5:18" x14ac:dyDescent="0.25">
      <c r="F53" s="7" t="s">
        <v>8</v>
      </c>
      <c r="G53" s="9" t="s">
        <v>36</v>
      </c>
      <c r="H53" t="s">
        <v>75</v>
      </c>
      <c r="I53">
        <f t="shared" ref="I53:N53" si="78">_xlfn.FLOOR.MATH(I48/4)</f>
        <v>19</v>
      </c>
      <c r="J53">
        <f t="shared" si="78"/>
        <v>16</v>
      </c>
      <c r="K53">
        <f t="shared" si="78"/>
        <v>15</v>
      </c>
      <c r="L53">
        <f t="shared" si="78"/>
        <v>18</v>
      </c>
      <c r="M53">
        <f t="shared" si="78"/>
        <v>3</v>
      </c>
      <c r="N53">
        <f t="shared" si="78"/>
        <v>5</v>
      </c>
      <c r="O53">
        <f t="shared" ref="O53:Q53" si="79">_xlfn.FLOOR.MATH(O48/4)</f>
        <v>5</v>
      </c>
      <c r="P53">
        <f t="shared" si="79"/>
        <v>6</v>
      </c>
      <c r="Q53">
        <f t="shared" si="79"/>
        <v>6</v>
      </c>
      <c r="R53">
        <f t="shared" ref="R53" si="80">_xlfn.FLOOR.MATH(R48/4)</f>
        <v>5</v>
      </c>
    </row>
    <row r="54" spans="5:18" x14ac:dyDescent="0.25">
      <c r="F54" s="5" t="s">
        <v>9</v>
      </c>
      <c r="G54" s="9" t="s">
        <v>36</v>
      </c>
      <c r="H54" t="s">
        <v>17</v>
      </c>
      <c r="I54">
        <f t="shared" ref="I54:N54" si="81">MOD(I48,4)</f>
        <v>1</v>
      </c>
      <c r="J54">
        <f t="shared" si="81"/>
        <v>1</v>
      </c>
      <c r="K54">
        <f t="shared" si="81"/>
        <v>1</v>
      </c>
      <c r="L54">
        <f t="shared" si="81"/>
        <v>2</v>
      </c>
      <c r="M54">
        <f t="shared" si="81"/>
        <v>2</v>
      </c>
      <c r="N54">
        <f t="shared" si="81"/>
        <v>2</v>
      </c>
      <c r="O54">
        <f t="shared" ref="O54:Q54" si="82">MOD(O48,4)</f>
        <v>3</v>
      </c>
      <c r="P54">
        <f t="shared" si="82"/>
        <v>0</v>
      </c>
      <c r="Q54">
        <f t="shared" si="82"/>
        <v>1</v>
      </c>
      <c r="R54">
        <f t="shared" ref="R54" si="83">MOD(R48,4)</f>
        <v>2</v>
      </c>
    </row>
    <row r="55" spans="5:18" x14ac:dyDescent="0.25">
      <c r="F55" s="7" t="s">
        <v>10</v>
      </c>
      <c r="G55" s="9" t="s">
        <v>36</v>
      </c>
      <c r="H55" t="s">
        <v>64</v>
      </c>
      <c r="I55">
        <f t="shared" ref="I55:N55" si="84">MOD((32+2*I50+2*I53-I52-I54),7)</f>
        <v>5</v>
      </c>
      <c r="J55">
        <f t="shared" si="84"/>
        <v>5</v>
      </c>
      <c r="K55">
        <f t="shared" si="84"/>
        <v>1</v>
      </c>
      <c r="L55">
        <f t="shared" si="84"/>
        <v>6</v>
      </c>
      <c r="M55">
        <f t="shared" si="84"/>
        <v>5</v>
      </c>
      <c r="N55">
        <f t="shared" si="84"/>
        <v>0</v>
      </c>
      <c r="O55">
        <f t="shared" ref="O55:R55" si="85">MOD((32+2*O50+2*O53-O52-O54),7)</f>
        <v>3</v>
      </c>
      <c r="P55">
        <f t="shared" si="85"/>
        <v>5</v>
      </c>
      <c r="Q55">
        <f t="shared" si="85"/>
        <v>6</v>
      </c>
      <c r="R55">
        <f t="shared" si="85"/>
        <v>2</v>
      </c>
    </row>
    <row r="56" spans="5:18" x14ac:dyDescent="0.25">
      <c r="F56" s="5" t="s">
        <v>11</v>
      </c>
      <c r="G56" s="9" t="s">
        <v>36</v>
      </c>
      <c r="H56" t="s">
        <v>78</v>
      </c>
      <c r="I56">
        <f t="shared" ref="I56:N56" si="86">_xlfn.FLOOR.MATH((I46+11*I52+19*I55)/433)</f>
        <v>0</v>
      </c>
      <c r="J56">
        <f t="shared" si="86"/>
        <v>0</v>
      </c>
      <c r="K56">
        <f t="shared" si="86"/>
        <v>0</v>
      </c>
      <c r="L56">
        <f t="shared" si="86"/>
        <v>0</v>
      </c>
      <c r="M56">
        <f t="shared" si="86"/>
        <v>0</v>
      </c>
      <c r="N56">
        <f t="shared" si="86"/>
        <v>0</v>
      </c>
      <c r="O56">
        <f t="shared" ref="O56:R56" si="87">_xlfn.FLOOR.MATH((O46+11*O52+19*O55)/433)</f>
        <v>0</v>
      </c>
      <c r="P56">
        <f t="shared" si="87"/>
        <v>0</v>
      </c>
      <c r="Q56">
        <f t="shared" si="87"/>
        <v>0</v>
      </c>
      <c r="R56">
        <f t="shared" si="87"/>
        <v>0</v>
      </c>
    </row>
    <row r="57" spans="5:18" x14ac:dyDescent="0.25">
      <c r="E57" s="11" t="s">
        <v>31</v>
      </c>
      <c r="F57" s="5" t="s">
        <v>12</v>
      </c>
      <c r="G57" s="9" t="s">
        <v>36</v>
      </c>
      <c r="H57" t="s">
        <v>80</v>
      </c>
      <c r="I57">
        <f t="shared" ref="I57:N57" si="88">_xlfn.FLOOR.MATH((I52+I55-7*I56+90)/25)</f>
        <v>3</v>
      </c>
      <c r="J57">
        <f t="shared" si="88"/>
        <v>4</v>
      </c>
      <c r="K57">
        <f t="shared" si="88"/>
        <v>4</v>
      </c>
      <c r="L57">
        <f t="shared" si="88"/>
        <v>4</v>
      </c>
      <c r="M57">
        <f t="shared" si="88"/>
        <v>4</v>
      </c>
      <c r="N57">
        <f t="shared" si="88"/>
        <v>4</v>
      </c>
      <c r="O57">
        <f t="shared" ref="O57:R57" si="89">_xlfn.FLOOR.MATH((O52+O55-7*O56+90)/25)</f>
        <v>4</v>
      </c>
      <c r="P57">
        <f t="shared" si="89"/>
        <v>3</v>
      </c>
      <c r="Q57">
        <f t="shared" si="89"/>
        <v>4</v>
      </c>
      <c r="R57">
        <f t="shared" si="89"/>
        <v>3</v>
      </c>
    </row>
    <row r="58" spans="5:18" x14ac:dyDescent="0.25">
      <c r="E58" s="11" t="s">
        <v>32</v>
      </c>
      <c r="F58" s="5" t="s">
        <v>29</v>
      </c>
      <c r="G58" s="9" t="s">
        <v>36</v>
      </c>
      <c r="H58" t="s">
        <v>30</v>
      </c>
      <c r="I58">
        <f>MOD((I52+I55+33*I57+19),32)</f>
        <v>30</v>
      </c>
      <c r="J58">
        <f>MOD((J52+J55+33*J57+19),32)</f>
        <v>16</v>
      </c>
      <c r="K58">
        <f t="shared" ref="K58:R58" si="90">MOD((K52+K55+33*K57+19),32)</f>
        <v>2</v>
      </c>
      <c r="L58">
        <f t="shared" si="90"/>
        <v>14</v>
      </c>
      <c r="M58">
        <f t="shared" si="90"/>
        <v>20</v>
      </c>
      <c r="N58">
        <f t="shared" si="90"/>
        <v>17</v>
      </c>
      <c r="O58">
        <f t="shared" si="90"/>
        <v>9</v>
      </c>
      <c r="P58">
        <f t="shared" si="90"/>
        <v>31</v>
      </c>
      <c r="Q58">
        <f t="shared" si="90"/>
        <v>20</v>
      </c>
      <c r="R58">
        <f t="shared" si="90"/>
        <v>31</v>
      </c>
    </row>
    <row r="59" spans="5:18" ht="15.75" thickBot="1" x14ac:dyDescent="0.3">
      <c r="F59" s="44" t="s">
        <v>68</v>
      </c>
      <c r="G59" s="44"/>
      <c r="H59" s="44"/>
      <c r="I59" s="12">
        <f>DATE(I45,I57,I58)</f>
        <v>649127</v>
      </c>
      <c r="J59" s="12">
        <f>DATE(J45,J57,J58)</f>
        <v>681285</v>
      </c>
      <c r="K59" s="12">
        <f t="shared" ref="K59:R59" si="91">DATE(K45,K57,K58)</f>
        <v>22373</v>
      </c>
      <c r="L59" s="12">
        <f t="shared" si="91"/>
        <v>27133</v>
      </c>
      <c r="M59" s="12">
        <f t="shared" si="91"/>
        <v>41749</v>
      </c>
      <c r="N59" s="12">
        <f t="shared" si="91"/>
        <v>44668</v>
      </c>
      <c r="O59" s="12">
        <f t="shared" si="91"/>
        <v>45025</v>
      </c>
      <c r="P59" s="12">
        <f t="shared" si="91"/>
        <v>45382</v>
      </c>
      <c r="Q59" s="12">
        <f t="shared" si="91"/>
        <v>45767</v>
      </c>
      <c r="R59" s="12">
        <f t="shared" si="91"/>
        <v>117699</v>
      </c>
    </row>
    <row r="60" spans="5:18" ht="15.75" thickTop="1" x14ac:dyDescent="0.25"/>
    <row r="65" spans="9:12" x14ac:dyDescent="0.25">
      <c r="I65" s="2" t="s">
        <v>19</v>
      </c>
      <c r="J65" s="2" t="s">
        <v>20</v>
      </c>
      <c r="K65" s="2" t="s">
        <v>21</v>
      </c>
      <c r="L65" s="2" t="s">
        <v>65</v>
      </c>
    </row>
    <row r="66" spans="9:12" x14ac:dyDescent="0.25">
      <c r="I66" s="13">
        <v>2014</v>
      </c>
      <c r="J66" s="5">
        <v>19</v>
      </c>
      <c r="K66" s="10" t="s">
        <v>23</v>
      </c>
      <c r="L66" s="5">
        <f>MOD(I66,J66)</f>
        <v>0</v>
      </c>
    </row>
    <row r="67" spans="9:12" x14ac:dyDescent="0.25">
      <c r="I67" s="5">
        <f>I66</f>
        <v>2014</v>
      </c>
      <c r="J67" s="5">
        <v>100</v>
      </c>
      <c r="K67" s="5">
        <f>_xlfn.FLOOR.MATH(I67/J67)</f>
        <v>20</v>
      </c>
      <c r="L67" s="5">
        <f t="shared" ref="L67:L68" si="92">MOD(I67,J67)</f>
        <v>14</v>
      </c>
    </row>
    <row r="68" spans="9:12" x14ac:dyDescent="0.25">
      <c r="I68" s="5">
        <f>K67</f>
        <v>20</v>
      </c>
      <c r="J68" s="5">
        <v>4</v>
      </c>
      <c r="K68" s="5">
        <f t="shared" ref="K68:K70" si="93">_xlfn.FLOOR.MATH(I68/J68)</f>
        <v>5</v>
      </c>
      <c r="L68" s="5">
        <f t="shared" si="92"/>
        <v>0</v>
      </c>
    </row>
    <row r="69" spans="9:12" x14ac:dyDescent="0.25">
      <c r="I69" s="5">
        <f>K67+8</f>
        <v>28</v>
      </c>
      <c r="J69" s="5">
        <v>25</v>
      </c>
      <c r="K69" s="5">
        <f t="shared" si="93"/>
        <v>1</v>
      </c>
      <c r="L69" s="10" t="s">
        <v>23</v>
      </c>
    </row>
    <row r="70" spans="9:12" x14ac:dyDescent="0.25">
      <c r="I70" s="5">
        <f>K67-K69+1</f>
        <v>20</v>
      </c>
      <c r="J70" s="5">
        <v>3</v>
      </c>
      <c r="K70" s="5">
        <f t="shared" si="93"/>
        <v>6</v>
      </c>
      <c r="L70" s="10" t="s">
        <v>23</v>
      </c>
    </row>
    <row r="71" spans="9:12" x14ac:dyDescent="0.25">
      <c r="I71" s="5">
        <f>19*L66+K67-K68-K70+15</f>
        <v>24</v>
      </c>
      <c r="J71" s="5">
        <v>30</v>
      </c>
      <c r="K71" s="10" t="s">
        <v>23</v>
      </c>
      <c r="L71" s="5">
        <f t="shared" ref="L71:L73" si="94">MOD(I71,J71)</f>
        <v>24</v>
      </c>
    </row>
    <row r="72" spans="9:12" x14ac:dyDescent="0.25">
      <c r="I72" s="5">
        <f>L67</f>
        <v>14</v>
      </c>
      <c r="J72" s="5">
        <v>4</v>
      </c>
      <c r="K72" s="5">
        <f>_xlfn.FLOOR.MATH(I72/J72)</f>
        <v>3</v>
      </c>
      <c r="L72" s="5">
        <f t="shared" si="94"/>
        <v>2</v>
      </c>
    </row>
    <row r="73" spans="9:12" x14ac:dyDescent="0.25">
      <c r="I73" s="5">
        <f>32+2*L68+2*K72-L71-L72</f>
        <v>12</v>
      </c>
      <c r="J73" s="5">
        <v>7</v>
      </c>
      <c r="K73" s="10" t="s">
        <v>23</v>
      </c>
      <c r="L73" s="5">
        <f t="shared" si="94"/>
        <v>5</v>
      </c>
    </row>
    <row r="74" spans="9:12" x14ac:dyDescent="0.25">
      <c r="I74" s="5">
        <f>L66+11*L71+22*L73</f>
        <v>374</v>
      </c>
      <c r="J74" s="5">
        <v>451</v>
      </c>
      <c r="K74" s="5">
        <f>_xlfn.FLOOR.MATH(I74/J74)</f>
        <v>0</v>
      </c>
      <c r="L74" s="10" t="s">
        <v>23</v>
      </c>
    </row>
    <row r="75" spans="9:12" x14ac:dyDescent="0.25">
      <c r="I75" s="5">
        <f>L71+L73-7*K74+114</f>
        <v>143</v>
      </c>
      <c r="J75" s="5">
        <v>31</v>
      </c>
      <c r="K75" s="13">
        <f>_xlfn.FLOOR.MATH(I75/J75)</f>
        <v>4</v>
      </c>
      <c r="L75" s="13">
        <f>MOD(I75,J75)</f>
        <v>19</v>
      </c>
    </row>
  </sheetData>
  <mergeCells count="12">
    <mergeCell ref="F59:H59"/>
    <mergeCell ref="F5:Q5"/>
    <mergeCell ref="F26:Q26"/>
    <mergeCell ref="F44:Q44"/>
    <mergeCell ref="F43:H43"/>
    <mergeCell ref="A1:F1"/>
    <mergeCell ref="A2:F2"/>
    <mergeCell ref="A3:I3"/>
    <mergeCell ref="A26:C26"/>
    <mergeCell ref="A27:C27"/>
    <mergeCell ref="F4:G4"/>
    <mergeCell ref="F25:H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81F4-E3CD-4433-A2FB-5E0A86F3C89E}">
  <dimension ref="E4:M18"/>
  <sheetViews>
    <sheetView workbookViewId="0">
      <selection activeCell="C24" sqref="C24"/>
    </sheetView>
  </sheetViews>
  <sheetFormatPr defaultRowHeight="15" x14ac:dyDescent="0.25"/>
  <sheetData>
    <row r="4" spans="5:13" ht="15.75" thickBot="1" x14ac:dyDescent="0.3"/>
    <row r="5" spans="5:13" ht="15.75" thickBot="1" x14ac:dyDescent="0.3">
      <c r="E5" s="20" t="s">
        <v>195</v>
      </c>
      <c r="F5" s="46" t="s">
        <v>196</v>
      </c>
      <c r="G5" s="47"/>
      <c r="H5" s="46" t="s">
        <v>197</v>
      </c>
      <c r="I5" s="47"/>
      <c r="J5" s="46" t="s">
        <v>196</v>
      </c>
      <c r="K5" s="47"/>
      <c r="L5" s="46" t="s">
        <v>197</v>
      </c>
      <c r="M5" s="47"/>
    </row>
    <row r="6" spans="5:13" ht="15.75" thickBot="1" x14ac:dyDescent="0.3">
      <c r="E6" s="20" t="s">
        <v>198</v>
      </c>
      <c r="F6" s="46" t="s">
        <v>199</v>
      </c>
      <c r="G6" s="47"/>
      <c r="H6" s="46" t="s">
        <v>200</v>
      </c>
      <c r="I6" s="47"/>
      <c r="J6" s="46" t="s">
        <v>201</v>
      </c>
      <c r="K6" s="47"/>
      <c r="L6" s="46" t="s">
        <v>202</v>
      </c>
      <c r="M6" s="47"/>
    </row>
    <row r="7" spans="5:13" ht="15.75" thickBot="1" x14ac:dyDescent="0.3">
      <c r="E7" s="20" t="s">
        <v>18</v>
      </c>
      <c r="F7" s="20" t="s">
        <v>203</v>
      </c>
      <c r="G7" s="20" t="s">
        <v>204</v>
      </c>
      <c r="H7" s="20" t="s">
        <v>203</v>
      </c>
      <c r="I7" s="20" t="s">
        <v>204</v>
      </c>
      <c r="J7" s="20" t="s">
        <v>203</v>
      </c>
      <c r="K7" s="20" t="s">
        <v>204</v>
      </c>
      <c r="L7" s="20" t="s">
        <v>203</v>
      </c>
      <c r="M7" s="20" t="s">
        <v>204</v>
      </c>
    </row>
    <row r="8" spans="5:13" ht="15.75" thickBot="1" x14ac:dyDescent="0.3">
      <c r="E8" s="20">
        <v>2017</v>
      </c>
      <c r="F8" s="21">
        <v>20</v>
      </c>
      <c r="G8" s="22">
        <v>0.4368055555555555</v>
      </c>
      <c r="H8" s="21">
        <v>21</v>
      </c>
      <c r="I8" s="22">
        <v>0.18402777777777779</v>
      </c>
      <c r="J8" s="21">
        <v>22</v>
      </c>
      <c r="K8" s="22">
        <v>0.83472222222222225</v>
      </c>
      <c r="L8" s="21">
        <v>21</v>
      </c>
      <c r="M8" s="22">
        <v>0.68680555555555556</v>
      </c>
    </row>
    <row r="9" spans="5:13" ht="15.75" thickBot="1" x14ac:dyDescent="0.3">
      <c r="E9" s="20">
        <v>2018</v>
      </c>
      <c r="F9" s="21">
        <v>20</v>
      </c>
      <c r="G9" s="22">
        <v>0.67708333333333337</v>
      </c>
      <c r="H9" s="21">
        <v>21</v>
      </c>
      <c r="I9" s="22">
        <v>0.42152777777777778</v>
      </c>
      <c r="J9" s="21">
        <v>23</v>
      </c>
      <c r="K9" s="22">
        <v>7.9166666666666663E-2</v>
      </c>
      <c r="L9" s="21">
        <v>21</v>
      </c>
      <c r="M9" s="22">
        <v>0.93194444444444446</v>
      </c>
    </row>
    <row r="10" spans="5:13" ht="15.75" thickBot="1" x14ac:dyDescent="0.3">
      <c r="E10" s="20">
        <v>2019</v>
      </c>
      <c r="F10" s="21">
        <v>20</v>
      </c>
      <c r="G10" s="22">
        <v>0.91527777777777775</v>
      </c>
      <c r="H10" s="21">
        <v>21</v>
      </c>
      <c r="I10" s="22">
        <v>0.66249999999999998</v>
      </c>
      <c r="J10" s="21">
        <v>23</v>
      </c>
      <c r="K10" s="22">
        <v>0.3263888888888889</v>
      </c>
      <c r="L10" s="21">
        <v>22</v>
      </c>
      <c r="M10" s="22">
        <v>0.17986111111111111</v>
      </c>
    </row>
    <row r="11" spans="5:13" ht="15.75" thickBot="1" x14ac:dyDescent="0.3">
      <c r="E11" s="20">
        <v>2020</v>
      </c>
      <c r="F11" s="21">
        <v>20</v>
      </c>
      <c r="G11" s="22">
        <v>0.15972222222222224</v>
      </c>
      <c r="H11" s="21">
        <v>20</v>
      </c>
      <c r="I11" s="22">
        <v>0.90486111111111101</v>
      </c>
      <c r="J11" s="21">
        <v>22</v>
      </c>
      <c r="K11" s="22">
        <v>0.56319444444444444</v>
      </c>
      <c r="L11" s="21">
        <v>21</v>
      </c>
      <c r="M11" s="22">
        <v>0.41875000000000001</v>
      </c>
    </row>
    <row r="12" spans="5:13" ht="15.75" thickBot="1" x14ac:dyDescent="0.3">
      <c r="E12" s="20">
        <v>2021</v>
      </c>
      <c r="F12" s="21">
        <v>20</v>
      </c>
      <c r="G12" s="22">
        <v>0.40069444444444446</v>
      </c>
      <c r="H12" s="21">
        <v>21</v>
      </c>
      <c r="I12" s="22">
        <v>0.14722222222222223</v>
      </c>
      <c r="J12" s="21">
        <v>22</v>
      </c>
      <c r="K12" s="22">
        <v>0.80625000000000002</v>
      </c>
      <c r="L12" s="21">
        <v>21</v>
      </c>
      <c r="M12" s="22">
        <v>0.66597222222222219</v>
      </c>
    </row>
    <row r="13" spans="5:13" ht="15.75" thickBot="1" x14ac:dyDescent="0.3">
      <c r="E13" s="23">
        <v>2022</v>
      </c>
      <c r="F13" s="24">
        <v>20</v>
      </c>
      <c r="G13" s="25">
        <v>0.6479166666666667</v>
      </c>
      <c r="H13" s="24">
        <v>21</v>
      </c>
      <c r="I13" s="25">
        <v>0.38472222222222219</v>
      </c>
      <c r="J13" s="24">
        <v>23</v>
      </c>
      <c r="K13" s="25">
        <v>4.4444444444444446E-2</v>
      </c>
      <c r="L13" s="24">
        <v>21</v>
      </c>
      <c r="M13" s="25">
        <v>0.90833333333333333</v>
      </c>
    </row>
    <row r="14" spans="5:13" ht="15.75" thickBot="1" x14ac:dyDescent="0.3">
      <c r="E14" s="20">
        <v>2023</v>
      </c>
      <c r="F14" s="21">
        <v>20</v>
      </c>
      <c r="G14" s="22">
        <v>0.89236111111111116</v>
      </c>
      <c r="H14" s="21">
        <v>21</v>
      </c>
      <c r="I14" s="22">
        <v>0.62361111111111112</v>
      </c>
      <c r="J14" s="21">
        <v>23</v>
      </c>
      <c r="K14" s="22">
        <v>0.28472222222222221</v>
      </c>
      <c r="L14" s="21">
        <v>22</v>
      </c>
      <c r="M14" s="22">
        <v>0.14444444444444446</v>
      </c>
    </row>
    <row r="15" spans="5:13" ht="15.75" thickBot="1" x14ac:dyDescent="0.3">
      <c r="E15" s="20">
        <v>2024</v>
      </c>
      <c r="F15" s="21">
        <v>20</v>
      </c>
      <c r="G15" s="22">
        <v>0.12986111111111112</v>
      </c>
      <c r="H15" s="21">
        <v>20</v>
      </c>
      <c r="I15" s="22">
        <v>0.86875000000000002</v>
      </c>
      <c r="J15" s="21">
        <v>22</v>
      </c>
      <c r="K15" s="22">
        <v>0.53055555555555556</v>
      </c>
      <c r="L15" s="21">
        <v>21</v>
      </c>
      <c r="M15" s="22">
        <v>0.3888888888888889</v>
      </c>
    </row>
    <row r="16" spans="5:13" ht="15.75" thickBot="1" x14ac:dyDescent="0.3">
      <c r="E16" s="20">
        <v>2025</v>
      </c>
      <c r="F16" s="21">
        <v>20</v>
      </c>
      <c r="G16" s="22">
        <v>0.37638888888888888</v>
      </c>
      <c r="H16" s="21">
        <v>21</v>
      </c>
      <c r="I16" s="22">
        <v>0.1125</v>
      </c>
      <c r="J16" s="21">
        <v>22</v>
      </c>
      <c r="K16" s="22">
        <v>0.76388888888888884</v>
      </c>
      <c r="L16" s="21">
        <v>21</v>
      </c>
      <c r="M16" s="22">
        <v>0.62708333333333333</v>
      </c>
    </row>
    <row r="17" spans="5:13" ht="15.75" thickBot="1" x14ac:dyDescent="0.3">
      <c r="E17" s="20">
        <v>2026</v>
      </c>
      <c r="F17" s="21">
        <v>20</v>
      </c>
      <c r="G17" s="22">
        <v>0.61527777777777781</v>
      </c>
      <c r="H17" s="21">
        <v>21</v>
      </c>
      <c r="I17" s="22">
        <v>0.35069444444444442</v>
      </c>
      <c r="J17" s="21">
        <v>23</v>
      </c>
      <c r="K17" s="22">
        <v>4.1666666666666666E-3</v>
      </c>
      <c r="L17" s="21">
        <v>21</v>
      </c>
      <c r="M17" s="22">
        <v>0.86805555555555547</v>
      </c>
    </row>
    <row r="18" spans="5:13" ht="15.75" thickBot="1" x14ac:dyDescent="0.3">
      <c r="E18" s="20">
        <v>2027</v>
      </c>
      <c r="F18" s="21">
        <v>20</v>
      </c>
      <c r="G18" s="22">
        <v>0.85069444444444453</v>
      </c>
      <c r="H18" s="21">
        <v>21</v>
      </c>
      <c r="I18" s="22">
        <v>0.59097222222222223</v>
      </c>
      <c r="J18" s="21">
        <v>23</v>
      </c>
      <c r="K18" s="22">
        <v>0.25138888888888888</v>
      </c>
      <c r="L18" s="21">
        <v>22</v>
      </c>
      <c r="M18" s="22">
        <v>0.11319444444444444</v>
      </c>
    </row>
  </sheetData>
  <mergeCells count="8">
    <mergeCell ref="F5:G5"/>
    <mergeCell ref="H5:I5"/>
    <mergeCell ref="J5:K5"/>
    <mergeCell ref="L5:M5"/>
    <mergeCell ref="F6:G6"/>
    <mergeCell ref="H6:I6"/>
    <mergeCell ref="J6:K6"/>
    <mergeCell ref="L6:M6"/>
  </mergeCells>
  <hyperlinks>
    <hyperlink ref="F5" r:id="rId1" tooltip="March equinox" display="https://en.wikipedia.org/wiki/March_equinox" xr:uid="{61F5F978-538B-4CE0-897D-AF205F341BB2}"/>
    <hyperlink ref="H5" r:id="rId2" tooltip="June solstice" display="https://en.wikipedia.org/wiki/June_solstice" xr:uid="{276F0150-9D99-4B52-94EF-69DD081B7AD3}"/>
    <hyperlink ref="J5" r:id="rId3" tooltip="September equinox" display="https://en.wikipedia.org/wiki/September_equinox" xr:uid="{82B5E304-1BB3-4A76-A08E-E0BE372FD457}"/>
    <hyperlink ref="L5" r:id="rId4" tooltip="December solstice" display="https://en.wikipedia.org/wiki/December_solstice" xr:uid="{E5581FC8-DB90-4489-8B92-8B9A8EC4668A}"/>
    <hyperlink ref="F6" r:id="rId5" location="cite_note-3" display="https://en.wikipedia.org/wiki/Solstice - cite_note-3" xr:uid="{80BA1049-6366-475E-A2C4-A344E1A718D1}"/>
    <hyperlink ref="H6" r:id="rId6" location="cite_note-4" display="https://en.wikipedia.org/wiki/Solstice - cite_note-4" xr:uid="{8381E0F8-C0C9-41CE-BA20-F9357E549DC8}"/>
    <hyperlink ref="J6" r:id="rId7" location="cite_note-5" display="https://en.wikipedia.org/wiki/Solstice - cite_note-5" xr:uid="{0F1967C3-FEB3-4FD7-88E5-0B240228B0B1}"/>
    <hyperlink ref="L6" r:id="rId8" location="cite_note-6" display="https://en.wikipedia.org/wiki/Solstice - cite_note-6" xr:uid="{F371EE5E-3CD0-4320-9A62-2479CA4ADD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627-DB41-4074-893A-0E8BB26CBF06}">
  <dimension ref="B1:W73"/>
  <sheetViews>
    <sheetView tabSelected="1" topLeftCell="J8" workbookViewId="0">
      <selection activeCell="S20" sqref="S20"/>
    </sheetView>
  </sheetViews>
  <sheetFormatPr defaultRowHeight="15" x14ac:dyDescent="0.25"/>
  <cols>
    <col min="2" max="2" width="6.28515625" style="4" customWidth="1"/>
    <col min="3" max="3" width="37.42578125" style="4" bestFit="1" customWidth="1"/>
    <col min="4" max="21" width="20.85546875" bestFit="1" customWidth="1"/>
    <col min="23" max="23" width="20.85546875" bestFit="1" customWidth="1"/>
  </cols>
  <sheetData>
    <row r="1" spans="2:23" x14ac:dyDescent="0.25">
      <c r="C1" s="4" t="s">
        <v>249</v>
      </c>
      <c r="D1">
        <v>0.81</v>
      </c>
      <c r="E1">
        <v>0</v>
      </c>
      <c r="F1">
        <v>0.3</v>
      </c>
      <c r="G1">
        <v>0</v>
      </c>
      <c r="H1">
        <v>0</v>
      </c>
      <c r="I1">
        <v>0.5</v>
      </c>
      <c r="J1">
        <v>0</v>
      </c>
      <c r="K1">
        <v>0.5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2:23" x14ac:dyDescent="0.25">
      <c r="C2" s="4" t="s">
        <v>250</v>
      </c>
      <c r="D2">
        <f t="shared" ref="D2:L2" si="0">D1*24</f>
        <v>19.440000000000001</v>
      </c>
      <c r="E2">
        <f t="shared" si="0"/>
        <v>0</v>
      </c>
      <c r="F2">
        <f t="shared" si="0"/>
        <v>7.1999999999999993</v>
      </c>
      <c r="G2">
        <f t="shared" si="0"/>
        <v>0</v>
      </c>
      <c r="H2">
        <f t="shared" si="0"/>
        <v>0</v>
      </c>
      <c r="I2">
        <f t="shared" si="0"/>
        <v>12</v>
      </c>
      <c r="J2">
        <f t="shared" si="0"/>
        <v>0</v>
      </c>
      <c r="K2">
        <f t="shared" si="0"/>
        <v>12</v>
      </c>
      <c r="L2">
        <f t="shared" si="0"/>
        <v>0</v>
      </c>
      <c r="M2">
        <f t="shared" ref="M2:U2" si="1">M1*24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</row>
    <row r="3" spans="2:23" x14ac:dyDescent="0.25">
      <c r="C3" s="4" t="s">
        <v>250</v>
      </c>
      <c r="D3">
        <f t="shared" ref="D3:L3" si="2">TRUNC(D2)</f>
        <v>19</v>
      </c>
      <c r="E3">
        <f t="shared" si="2"/>
        <v>0</v>
      </c>
      <c r="F3">
        <f t="shared" si="2"/>
        <v>7</v>
      </c>
      <c r="G3">
        <f t="shared" si="2"/>
        <v>0</v>
      </c>
      <c r="H3">
        <f t="shared" si="2"/>
        <v>0</v>
      </c>
      <c r="I3">
        <f t="shared" si="2"/>
        <v>12</v>
      </c>
      <c r="J3">
        <f t="shared" si="2"/>
        <v>0</v>
      </c>
      <c r="K3">
        <f t="shared" si="2"/>
        <v>12</v>
      </c>
      <c r="L3">
        <f t="shared" si="2"/>
        <v>0</v>
      </c>
      <c r="M3">
        <f t="shared" ref="M3:U3" si="3">TRUNC(M2)</f>
        <v>0</v>
      </c>
      <c r="N3">
        <f t="shared" si="3"/>
        <v>0</v>
      </c>
      <c r="O3">
        <f t="shared" si="3"/>
        <v>0</v>
      </c>
      <c r="P3">
        <f t="shared" si="3"/>
        <v>0</v>
      </c>
      <c r="Q3">
        <f t="shared" si="3"/>
        <v>0</v>
      </c>
      <c r="R3">
        <f t="shared" si="3"/>
        <v>0</v>
      </c>
      <c r="S3">
        <f t="shared" si="3"/>
        <v>0</v>
      </c>
      <c r="T3">
        <f t="shared" si="3"/>
        <v>0</v>
      </c>
      <c r="U3">
        <f t="shared" si="3"/>
        <v>0</v>
      </c>
    </row>
    <row r="4" spans="2:23" x14ac:dyDescent="0.25">
      <c r="C4" s="4" t="s">
        <v>251</v>
      </c>
      <c r="D4">
        <f t="shared" ref="D4:L4" si="4">(D2-D3)*60</f>
        <v>26.400000000000077</v>
      </c>
      <c r="E4">
        <f t="shared" si="4"/>
        <v>0</v>
      </c>
      <c r="F4">
        <f t="shared" si="4"/>
        <v>11.999999999999957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0</v>
      </c>
      <c r="M4">
        <f t="shared" ref="M4:U4" si="5">(M2-M3)*60</f>
        <v>0</v>
      </c>
      <c r="N4">
        <f t="shared" si="5"/>
        <v>0</v>
      </c>
      <c r="O4">
        <f t="shared" si="5"/>
        <v>0</v>
      </c>
      <c r="P4">
        <f t="shared" si="5"/>
        <v>0</v>
      </c>
      <c r="Q4">
        <f t="shared" si="5"/>
        <v>0</v>
      </c>
      <c r="R4">
        <f t="shared" si="5"/>
        <v>0</v>
      </c>
      <c r="S4">
        <f t="shared" si="5"/>
        <v>0</v>
      </c>
      <c r="T4">
        <f t="shared" si="5"/>
        <v>0</v>
      </c>
      <c r="U4">
        <f t="shared" si="5"/>
        <v>0</v>
      </c>
    </row>
    <row r="5" spans="2:23" x14ac:dyDescent="0.25">
      <c r="C5" s="4" t="s">
        <v>251</v>
      </c>
      <c r="D5">
        <f t="shared" ref="D5:L5" si="6">TRUNC(D4)</f>
        <v>26</v>
      </c>
      <c r="E5">
        <f t="shared" si="6"/>
        <v>0</v>
      </c>
      <c r="F5">
        <f t="shared" si="6"/>
        <v>12</v>
      </c>
      <c r="G5">
        <f t="shared" si="6"/>
        <v>0</v>
      </c>
      <c r="H5">
        <f t="shared" si="6"/>
        <v>0</v>
      </c>
      <c r="I5">
        <f t="shared" si="6"/>
        <v>0</v>
      </c>
      <c r="J5">
        <f t="shared" si="6"/>
        <v>0</v>
      </c>
      <c r="K5">
        <f t="shared" si="6"/>
        <v>0</v>
      </c>
      <c r="L5">
        <f t="shared" si="6"/>
        <v>0</v>
      </c>
      <c r="M5">
        <f t="shared" ref="M5:U5" si="7">TRUNC(M4)</f>
        <v>0</v>
      </c>
      <c r="N5">
        <f t="shared" si="7"/>
        <v>0</v>
      </c>
      <c r="O5">
        <f t="shared" si="7"/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</row>
    <row r="6" spans="2:23" x14ac:dyDescent="0.25">
      <c r="C6" s="4" t="s">
        <v>252</v>
      </c>
      <c r="D6">
        <f t="shared" ref="D6:L6" si="8">(D4-D5)*60</f>
        <v>24.000000000004604</v>
      </c>
      <c r="E6">
        <f t="shared" si="8"/>
        <v>0</v>
      </c>
      <c r="F6">
        <f t="shared" si="8"/>
        <v>-2.5579538487363607E-12</v>
      </c>
      <c r="G6">
        <f t="shared" si="8"/>
        <v>0</v>
      </c>
      <c r="H6">
        <f t="shared" si="8"/>
        <v>0</v>
      </c>
      <c r="I6">
        <f t="shared" si="8"/>
        <v>0</v>
      </c>
      <c r="J6">
        <f t="shared" si="8"/>
        <v>0</v>
      </c>
      <c r="K6">
        <f t="shared" si="8"/>
        <v>0</v>
      </c>
      <c r="L6">
        <f t="shared" si="8"/>
        <v>0</v>
      </c>
      <c r="M6">
        <f t="shared" ref="M6:U6" si="9">(M4-M5)*60</f>
        <v>0</v>
      </c>
      <c r="N6">
        <f t="shared" si="9"/>
        <v>0</v>
      </c>
      <c r="O6">
        <f t="shared" si="9"/>
        <v>0</v>
      </c>
      <c r="P6">
        <f t="shared" si="9"/>
        <v>0</v>
      </c>
      <c r="Q6">
        <f t="shared" si="9"/>
        <v>0</v>
      </c>
      <c r="R6">
        <f t="shared" si="9"/>
        <v>0</v>
      </c>
      <c r="S6">
        <f t="shared" si="9"/>
        <v>0</v>
      </c>
      <c r="T6">
        <f t="shared" si="9"/>
        <v>0</v>
      </c>
      <c r="U6">
        <f t="shared" si="9"/>
        <v>0</v>
      </c>
    </row>
    <row r="7" spans="2:23" x14ac:dyDescent="0.25">
      <c r="C7" s="4" t="s">
        <v>253</v>
      </c>
      <c r="D7" s="34">
        <f t="shared" ref="D7:L7" si="10">TIME(D3,D5,D6)</f>
        <v>0.81</v>
      </c>
      <c r="E7" s="34">
        <f t="shared" si="10"/>
        <v>0</v>
      </c>
      <c r="F7" s="34">
        <f t="shared" si="10"/>
        <v>0.3</v>
      </c>
      <c r="G7" s="34">
        <f t="shared" si="10"/>
        <v>0</v>
      </c>
      <c r="H7" s="34">
        <f t="shared" si="10"/>
        <v>0</v>
      </c>
      <c r="I7" s="34">
        <f t="shared" si="10"/>
        <v>0.5</v>
      </c>
      <c r="J7" s="34">
        <f t="shared" si="10"/>
        <v>0</v>
      </c>
      <c r="K7" s="34">
        <f t="shared" si="10"/>
        <v>0.5</v>
      </c>
      <c r="L7" s="34">
        <f t="shared" si="10"/>
        <v>0</v>
      </c>
      <c r="M7" s="34">
        <f t="shared" ref="M7:U7" si="11">TIME(M3,M5,M6)</f>
        <v>0</v>
      </c>
      <c r="N7" s="34">
        <f t="shared" si="11"/>
        <v>0</v>
      </c>
      <c r="O7" s="34">
        <f t="shared" si="11"/>
        <v>0</v>
      </c>
      <c r="P7" s="34">
        <f t="shared" si="11"/>
        <v>0</v>
      </c>
      <c r="Q7" s="34">
        <f t="shared" si="11"/>
        <v>0</v>
      </c>
      <c r="R7" s="34">
        <f t="shared" si="11"/>
        <v>0</v>
      </c>
      <c r="S7" s="34">
        <f t="shared" si="11"/>
        <v>0</v>
      </c>
      <c r="T7" s="34">
        <f t="shared" si="11"/>
        <v>0</v>
      </c>
      <c r="U7" s="34">
        <f t="shared" si="11"/>
        <v>0</v>
      </c>
    </row>
    <row r="9" spans="2:23" ht="15.75" x14ac:dyDescent="0.25">
      <c r="B9" s="48" t="s">
        <v>205</v>
      </c>
      <c r="C9" s="48"/>
    </row>
    <row r="10" spans="2:23" x14ac:dyDescent="0.25">
      <c r="D10" s="31">
        <f>DATE(1957,10,4)+D7</f>
        <v>21097.81</v>
      </c>
      <c r="E10" s="31" t="s">
        <v>254</v>
      </c>
      <c r="F10" s="31">
        <f>DATE(2000,1,1)+F7</f>
        <v>36526.300000000003</v>
      </c>
      <c r="G10" s="31">
        <f>DATE(1999,1,1)+G7</f>
        <v>36161</v>
      </c>
      <c r="H10" s="31">
        <f>DATE(1987,1,27)+H7</f>
        <v>31804</v>
      </c>
      <c r="I10" s="31">
        <f>DATE(1987,6,19)+I7</f>
        <v>31947.5</v>
      </c>
      <c r="J10" s="31">
        <f>DATE(1988,1,27)+J7</f>
        <v>32169</v>
      </c>
      <c r="K10" s="31">
        <f>DATE(1988,6,19)+K7</f>
        <v>32313.5</v>
      </c>
      <c r="L10" s="31">
        <f>DATE(1900,1,1)+L7</f>
        <v>1</v>
      </c>
      <c r="M10" s="31">
        <f t="shared" ref="M10" si="12">DATE(1600,1,1)+M7</f>
        <v>584390</v>
      </c>
      <c r="N10" s="31">
        <f t="shared" ref="N10:U10" si="13">DATE(1600,1,1)+N7</f>
        <v>584390</v>
      </c>
      <c r="O10" s="31">
        <f t="shared" si="13"/>
        <v>584390</v>
      </c>
      <c r="P10" s="31">
        <f t="shared" si="13"/>
        <v>584390</v>
      </c>
      <c r="Q10" s="31">
        <f t="shared" si="13"/>
        <v>584390</v>
      </c>
      <c r="R10" s="31">
        <f t="shared" si="13"/>
        <v>584390</v>
      </c>
      <c r="S10" s="31">
        <f t="shared" si="13"/>
        <v>584390</v>
      </c>
      <c r="T10" s="31">
        <f t="shared" si="13"/>
        <v>584390</v>
      </c>
      <c r="U10" s="31">
        <f t="shared" si="13"/>
        <v>584390</v>
      </c>
      <c r="W10" s="31">
        <f ca="1">NOW()</f>
        <v>44853.496835532409</v>
      </c>
    </row>
    <row r="11" spans="2:23" x14ac:dyDescent="0.25">
      <c r="C11" s="4" t="s">
        <v>226</v>
      </c>
      <c r="D11">
        <f>YEAR(D10)</f>
        <v>1957</v>
      </c>
      <c r="E11">
        <v>333</v>
      </c>
      <c r="F11">
        <f t="shared" ref="F11:L11" si="14">YEAR(F10)</f>
        <v>2000</v>
      </c>
      <c r="G11">
        <f t="shared" si="14"/>
        <v>1999</v>
      </c>
      <c r="H11">
        <f t="shared" si="14"/>
        <v>1987</v>
      </c>
      <c r="I11">
        <f t="shared" si="14"/>
        <v>1987</v>
      </c>
      <c r="J11">
        <f t="shared" si="14"/>
        <v>1988</v>
      </c>
      <c r="K11">
        <f t="shared" si="14"/>
        <v>1988</v>
      </c>
      <c r="L11">
        <f t="shared" si="14"/>
        <v>1900</v>
      </c>
      <c r="M11">
        <v>1600</v>
      </c>
      <c r="N11">
        <v>1600</v>
      </c>
      <c r="O11">
        <v>837</v>
      </c>
      <c r="P11">
        <v>-123</v>
      </c>
      <c r="Q11">
        <v>-122</v>
      </c>
      <c r="R11">
        <v>-1000</v>
      </c>
      <c r="S11">
        <v>-1000</v>
      </c>
      <c r="T11">
        <v>-1001</v>
      </c>
      <c r="U11">
        <v>-4712</v>
      </c>
      <c r="W11">
        <f ca="1">YEAR(W10)</f>
        <v>2022</v>
      </c>
    </row>
    <row r="12" spans="2:23" x14ac:dyDescent="0.25">
      <c r="C12" s="4" t="s">
        <v>227</v>
      </c>
      <c r="D12">
        <f>MONTH(D10)</f>
        <v>10</v>
      </c>
      <c r="E12">
        <v>1</v>
      </c>
      <c r="F12">
        <f t="shared" ref="F12:L12" si="15">MONTH(F10)</f>
        <v>1</v>
      </c>
      <c r="G12">
        <f t="shared" si="15"/>
        <v>1</v>
      </c>
      <c r="H12">
        <f t="shared" si="15"/>
        <v>1</v>
      </c>
      <c r="I12">
        <f t="shared" si="15"/>
        <v>6</v>
      </c>
      <c r="J12">
        <f t="shared" si="15"/>
        <v>1</v>
      </c>
      <c r="K12">
        <f t="shared" si="15"/>
        <v>6</v>
      </c>
      <c r="L12">
        <f t="shared" si="15"/>
        <v>1</v>
      </c>
      <c r="M12">
        <v>1</v>
      </c>
      <c r="N12">
        <v>12</v>
      </c>
      <c r="O12">
        <v>4</v>
      </c>
      <c r="P12">
        <v>12</v>
      </c>
      <c r="Q12">
        <v>1</v>
      </c>
      <c r="R12">
        <v>7</v>
      </c>
      <c r="S12">
        <v>3</v>
      </c>
      <c r="T12">
        <v>8</v>
      </c>
      <c r="U12">
        <v>1</v>
      </c>
      <c r="W12">
        <f ca="1">MONTH(W10)</f>
        <v>10</v>
      </c>
    </row>
    <row r="13" spans="2:23" x14ac:dyDescent="0.25">
      <c r="C13" s="4" t="s">
        <v>228</v>
      </c>
      <c r="D13">
        <f>DAY(D10)</f>
        <v>4</v>
      </c>
      <c r="E13">
        <v>27.5</v>
      </c>
      <c r="F13">
        <f t="shared" ref="F13:L13" si="16">DAY(F10)</f>
        <v>1</v>
      </c>
      <c r="G13">
        <f t="shared" si="16"/>
        <v>1</v>
      </c>
      <c r="H13">
        <f t="shared" si="16"/>
        <v>27</v>
      </c>
      <c r="I13">
        <f t="shared" si="16"/>
        <v>19</v>
      </c>
      <c r="J13">
        <f t="shared" si="16"/>
        <v>27</v>
      </c>
      <c r="K13">
        <f t="shared" si="16"/>
        <v>19</v>
      </c>
      <c r="L13">
        <f t="shared" si="16"/>
        <v>1</v>
      </c>
      <c r="M13">
        <v>1</v>
      </c>
      <c r="N13">
        <v>31</v>
      </c>
      <c r="O13">
        <v>10.3</v>
      </c>
      <c r="P13">
        <v>31</v>
      </c>
      <c r="Q13">
        <v>1</v>
      </c>
      <c r="R13">
        <v>12.5</v>
      </c>
      <c r="S13">
        <v>1</v>
      </c>
      <c r="T13">
        <v>29</v>
      </c>
      <c r="U13">
        <v>1.5</v>
      </c>
      <c r="W13">
        <f ca="1">DAY(W10)</f>
        <v>19</v>
      </c>
    </row>
    <row r="14" spans="2:23" x14ac:dyDescent="0.25">
      <c r="C14" s="4" t="s">
        <v>207</v>
      </c>
      <c r="D14">
        <f t="shared" ref="D14:M14" si="17">HOUR(D10)</f>
        <v>19</v>
      </c>
      <c r="E14" t="e">
        <f t="shared" si="17"/>
        <v>#VALUE!</v>
      </c>
      <c r="F14">
        <f t="shared" si="17"/>
        <v>7</v>
      </c>
      <c r="G14">
        <f t="shared" si="17"/>
        <v>0</v>
      </c>
      <c r="H14">
        <f t="shared" si="17"/>
        <v>0</v>
      </c>
      <c r="I14">
        <f t="shared" si="17"/>
        <v>12</v>
      </c>
      <c r="J14">
        <f t="shared" si="17"/>
        <v>0</v>
      </c>
      <c r="K14">
        <f t="shared" si="17"/>
        <v>12</v>
      </c>
      <c r="L14">
        <f t="shared" si="17"/>
        <v>0</v>
      </c>
      <c r="M14">
        <f t="shared" si="17"/>
        <v>0</v>
      </c>
      <c r="N14">
        <f t="shared" ref="N14:U14" si="18">HOUR(N10)</f>
        <v>0</v>
      </c>
      <c r="O14">
        <f t="shared" si="18"/>
        <v>0</v>
      </c>
      <c r="P14">
        <f t="shared" si="18"/>
        <v>0</v>
      </c>
      <c r="Q14">
        <f t="shared" si="18"/>
        <v>0</v>
      </c>
      <c r="R14">
        <f t="shared" si="18"/>
        <v>0</v>
      </c>
      <c r="S14">
        <f t="shared" si="18"/>
        <v>0</v>
      </c>
      <c r="T14">
        <f t="shared" si="18"/>
        <v>0</v>
      </c>
      <c r="U14">
        <f t="shared" si="18"/>
        <v>0</v>
      </c>
      <c r="W14">
        <f ca="1">HOUR(W10)</f>
        <v>11</v>
      </c>
    </row>
    <row r="15" spans="2:23" x14ac:dyDescent="0.25">
      <c r="C15" s="4" t="s">
        <v>208</v>
      </c>
      <c r="D15">
        <f t="shared" ref="D15:M15" si="19">MINUTE(D10)</f>
        <v>26</v>
      </c>
      <c r="E15" t="e">
        <f t="shared" si="19"/>
        <v>#VALUE!</v>
      </c>
      <c r="F15">
        <f t="shared" si="19"/>
        <v>12</v>
      </c>
      <c r="G15">
        <f t="shared" si="19"/>
        <v>0</v>
      </c>
      <c r="H15">
        <f t="shared" si="19"/>
        <v>0</v>
      </c>
      <c r="I15">
        <f t="shared" si="19"/>
        <v>0</v>
      </c>
      <c r="J15">
        <f t="shared" si="19"/>
        <v>0</v>
      </c>
      <c r="K15">
        <f t="shared" si="19"/>
        <v>0</v>
      </c>
      <c r="L15">
        <f t="shared" si="19"/>
        <v>0</v>
      </c>
      <c r="M15">
        <f t="shared" si="19"/>
        <v>0</v>
      </c>
      <c r="N15">
        <f t="shared" ref="N15:U15" si="20">MINUTE(N10)</f>
        <v>0</v>
      </c>
      <c r="O15">
        <f t="shared" si="20"/>
        <v>0</v>
      </c>
      <c r="P15">
        <f t="shared" si="20"/>
        <v>0</v>
      </c>
      <c r="Q15">
        <f t="shared" si="20"/>
        <v>0</v>
      </c>
      <c r="R15">
        <f t="shared" si="20"/>
        <v>0</v>
      </c>
      <c r="S15">
        <f t="shared" si="20"/>
        <v>0</v>
      </c>
      <c r="T15">
        <f t="shared" si="20"/>
        <v>0</v>
      </c>
      <c r="U15">
        <f t="shared" si="20"/>
        <v>0</v>
      </c>
      <c r="W15">
        <f ca="1">MINUTE(W10)</f>
        <v>55</v>
      </c>
    </row>
    <row r="16" spans="2:23" x14ac:dyDescent="0.25">
      <c r="C16" s="4" t="s">
        <v>209</v>
      </c>
      <c r="D16">
        <f t="shared" ref="D16:M16" si="21">SECOND(D10)</f>
        <v>24</v>
      </c>
      <c r="E16" t="e">
        <f t="shared" si="21"/>
        <v>#VALUE!</v>
      </c>
      <c r="F16">
        <f t="shared" si="21"/>
        <v>0</v>
      </c>
      <c r="G16">
        <f t="shared" si="21"/>
        <v>0</v>
      </c>
      <c r="H16">
        <f t="shared" si="21"/>
        <v>0</v>
      </c>
      <c r="I16">
        <f t="shared" si="21"/>
        <v>0</v>
      </c>
      <c r="J16">
        <f t="shared" si="21"/>
        <v>0</v>
      </c>
      <c r="K16">
        <f t="shared" si="21"/>
        <v>0</v>
      </c>
      <c r="L16">
        <f t="shared" si="21"/>
        <v>0</v>
      </c>
      <c r="M16">
        <f t="shared" si="21"/>
        <v>0</v>
      </c>
      <c r="N16">
        <f t="shared" ref="N16:U16" si="22">SECOND(N10)</f>
        <v>0</v>
      </c>
      <c r="O16">
        <f t="shared" si="22"/>
        <v>0</v>
      </c>
      <c r="P16">
        <f t="shared" si="22"/>
        <v>0</v>
      </c>
      <c r="Q16">
        <f t="shared" si="22"/>
        <v>0</v>
      </c>
      <c r="R16">
        <f t="shared" si="22"/>
        <v>0</v>
      </c>
      <c r="S16">
        <f t="shared" si="22"/>
        <v>0</v>
      </c>
      <c r="T16">
        <f t="shared" si="22"/>
        <v>0</v>
      </c>
      <c r="U16">
        <f t="shared" si="22"/>
        <v>0</v>
      </c>
      <c r="W16">
        <f ca="1">SECOND(W10)</f>
        <v>27</v>
      </c>
    </row>
    <row r="17" spans="2:23" x14ac:dyDescent="0.25">
      <c r="C17" s="4" t="s">
        <v>210</v>
      </c>
      <c r="D17" s="27">
        <f t="shared" ref="D17:L17" si="23">(D14/24)+(D15/60/24)+(D16/60/60/24)</f>
        <v>0.81</v>
      </c>
      <c r="E17" s="27" t="e">
        <f t="shared" si="23"/>
        <v>#VALUE!</v>
      </c>
      <c r="F17" s="27">
        <f t="shared" si="23"/>
        <v>0.30000000000000004</v>
      </c>
      <c r="G17" s="27">
        <f t="shared" si="23"/>
        <v>0</v>
      </c>
      <c r="H17" s="27">
        <f t="shared" si="23"/>
        <v>0</v>
      </c>
      <c r="I17" s="27">
        <f t="shared" si="23"/>
        <v>0.5</v>
      </c>
      <c r="J17" s="27">
        <f t="shared" si="23"/>
        <v>0</v>
      </c>
      <c r="K17" s="27">
        <f t="shared" si="23"/>
        <v>0.5</v>
      </c>
      <c r="L17" s="27">
        <f t="shared" si="23"/>
        <v>0</v>
      </c>
      <c r="M17" s="27">
        <f t="shared" ref="M17:U17" si="24">(M14/24)+(M15/60/24)+(M16/60/60/24)</f>
        <v>0</v>
      </c>
      <c r="N17" s="27">
        <f t="shared" si="24"/>
        <v>0</v>
      </c>
      <c r="O17" s="27">
        <f t="shared" si="24"/>
        <v>0</v>
      </c>
      <c r="P17" s="27">
        <f t="shared" si="24"/>
        <v>0</v>
      </c>
      <c r="Q17" s="27">
        <f t="shared" si="24"/>
        <v>0</v>
      </c>
      <c r="R17" s="27">
        <f t="shared" si="24"/>
        <v>0</v>
      </c>
      <c r="S17" s="27">
        <f t="shared" si="24"/>
        <v>0</v>
      </c>
      <c r="T17" s="27">
        <f t="shared" si="24"/>
        <v>0</v>
      </c>
      <c r="U17" s="27">
        <f t="shared" si="24"/>
        <v>0</v>
      </c>
      <c r="W17" s="27">
        <f ca="1">(W14/24)+(W15/60/24)+(W16/60/60/24)</f>
        <v>0.49684027777777773</v>
      </c>
    </row>
    <row r="18" spans="2:23" x14ac:dyDescent="0.25">
      <c r="B18"/>
      <c r="C18" s="4" t="s">
        <v>211</v>
      </c>
      <c r="D18" s="27">
        <f t="shared" ref="D18:M18" si="25">D10-TRUNC(D10)</f>
        <v>0.81000000000130967</v>
      </c>
      <c r="E18" s="27" t="e">
        <f t="shared" si="25"/>
        <v>#VALUE!</v>
      </c>
      <c r="F18" s="27">
        <f t="shared" si="25"/>
        <v>0.30000000000291038</v>
      </c>
      <c r="G18" s="27">
        <f t="shared" si="25"/>
        <v>0</v>
      </c>
      <c r="H18" s="27">
        <f t="shared" si="25"/>
        <v>0</v>
      </c>
      <c r="I18" s="27">
        <f t="shared" si="25"/>
        <v>0.5</v>
      </c>
      <c r="J18" s="27">
        <f t="shared" si="25"/>
        <v>0</v>
      </c>
      <c r="K18" s="27">
        <f t="shared" si="25"/>
        <v>0.5</v>
      </c>
      <c r="L18" s="27">
        <f t="shared" si="25"/>
        <v>0</v>
      </c>
      <c r="M18" s="27">
        <f t="shared" si="25"/>
        <v>0</v>
      </c>
      <c r="N18" s="27">
        <f t="shared" ref="N18:U18" si="26">N10-TRUNC(N10)</f>
        <v>0</v>
      </c>
      <c r="O18" s="27">
        <f t="shared" si="26"/>
        <v>0</v>
      </c>
      <c r="P18" s="27">
        <f t="shared" si="26"/>
        <v>0</v>
      </c>
      <c r="Q18" s="27">
        <f t="shared" si="26"/>
        <v>0</v>
      </c>
      <c r="R18" s="27">
        <f t="shared" si="26"/>
        <v>0</v>
      </c>
      <c r="S18" s="27">
        <f t="shared" si="26"/>
        <v>0</v>
      </c>
      <c r="T18" s="27">
        <f t="shared" si="26"/>
        <v>0</v>
      </c>
      <c r="U18" s="27">
        <f t="shared" si="26"/>
        <v>0</v>
      </c>
      <c r="W18" s="27">
        <f ca="1">W10-TRUNC(W10)</f>
        <v>0.49683553240902256</v>
      </c>
    </row>
    <row r="19" spans="2:23" x14ac:dyDescent="0.25">
      <c r="B19"/>
      <c r="C19" s="4" t="s">
        <v>206</v>
      </c>
      <c r="D19" s="29">
        <f>D13+D18</f>
        <v>4.8100000000013097</v>
      </c>
      <c r="E19" s="29">
        <f>27.5</f>
        <v>27.5</v>
      </c>
      <c r="F19" s="29">
        <f t="shared" ref="F19:L19" si="27">F13+F18</f>
        <v>1.3000000000029104</v>
      </c>
      <c r="G19" s="29">
        <f t="shared" si="27"/>
        <v>1</v>
      </c>
      <c r="H19" s="29">
        <f t="shared" si="27"/>
        <v>27</v>
      </c>
      <c r="I19" s="29">
        <f t="shared" si="27"/>
        <v>19.5</v>
      </c>
      <c r="J19" s="29">
        <f t="shared" si="27"/>
        <v>27</v>
      </c>
      <c r="K19" s="29">
        <f t="shared" si="27"/>
        <v>19.5</v>
      </c>
      <c r="L19" s="29">
        <f t="shared" si="27"/>
        <v>1</v>
      </c>
      <c r="M19" s="29">
        <v>1</v>
      </c>
      <c r="N19" s="29">
        <f>N13+N18</f>
        <v>31</v>
      </c>
      <c r="O19" s="29">
        <v>10.3</v>
      </c>
      <c r="P19" s="29">
        <v>31</v>
      </c>
      <c r="Q19" s="29">
        <v>1</v>
      </c>
      <c r="R19" s="29">
        <v>12.5</v>
      </c>
      <c r="S19" s="29">
        <v>1</v>
      </c>
      <c r="T19" s="29">
        <v>17.899999999999999</v>
      </c>
      <c r="U19" s="29">
        <v>1.5</v>
      </c>
      <c r="W19" s="29">
        <f ca="1">W13+W18</f>
        <v>19.496835532409023</v>
      </c>
    </row>
    <row r="20" spans="2:23" x14ac:dyDescent="0.25">
      <c r="B20"/>
      <c r="C20" s="4" t="s">
        <v>229</v>
      </c>
      <c r="D20">
        <f t="shared" ref="D20:M20" si="28">IF(D12&lt;3,D11-1,D11)</f>
        <v>1957</v>
      </c>
      <c r="E20">
        <f t="shared" si="28"/>
        <v>332</v>
      </c>
      <c r="F20">
        <f t="shared" si="28"/>
        <v>1999</v>
      </c>
      <c r="G20">
        <f t="shared" si="28"/>
        <v>1998</v>
      </c>
      <c r="H20">
        <f t="shared" si="28"/>
        <v>1986</v>
      </c>
      <c r="I20">
        <f t="shared" si="28"/>
        <v>1987</v>
      </c>
      <c r="J20">
        <f t="shared" si="28"/>
        <v>1987</v>
      </c>
      <c r="K20">
        <f t="shared" si="28"/>
        <v>1988</v>
      </c>
      <c r="L20">
        <f t="shared" si="28"/>
        <v>1899</v>
      </c>
      <c r="M20">
        <f t="shared" si="28"/>
        <v>1599</v>
      </c>
      <c r="N20">
        <f t="shared" ref="N20:U20" si="29">IF(N12&lt;3,N11-1,N11)</f>
        <v>1600</v>
      </c>
      <c r="O20">
        <f t="shared" si="29"/>
        <v>837</v>
      </c>
      <c r="P20">
        <f t="shared" si="29"/>
        <v>-123</v>
      </c>
      <c r="Q20">
        <f t="shared" si="29"/>
        <v>-123</v>
      </c>
      <c r="R20">
        <f t="shared" si="29"/>
        <v>-1000</v>
      </c>
      <c r="S20">
        <f t="shared" si="29"/>
        <v>-1000</v>
      </c>
      <c r="T20">
        <f t="shared" si="29"/>
        <v>-1001</v>
      </c>
      <c r="U20">
        <f t="shared" si="29"/>
        <v>-4713</v>
      </c>
      <c r="W20">
        <f ca="1">IF(W12&lt;3,W11-1,W11)</f>
        <v>2022</v>
      </c>
    </row>
    <row r="21" spans="2:23" x14ac:dyDescent="0.25">
      <c r="B21"/>
      <c r="C21" s="4" t="s">
        <v>230</v>
      </c>
      <c r="D21">
        <f t="shared" ref="D21:M21" si="30">IF(D12&lt;3,D12+12,D12)</f>
        <v>10</v>
      </c>
      <c r="E21">
        <f t="shared" si="30"/>
        <v>13</v>
      </c>
      <c r="F21">
        <f t="shared" si="30"/>
        <v>13</v>
      </c>
      <c r="G21">
        <f t="shared" si="30"/>
        <v>13</v>
      </c>
      <c r="H21">
        <f t="shared" si="30"/>
        <v>13</v>
      </c>
      <c r="I21">
        <f t="shared" si="30"/>
        <v>6</v>
      </c>
      <c r="J21">
        <f t="shared" si="30"/>
        <v>13</v>
      </c>
      <c r="K21">
        <f>IF(K12&lt;3,K12+12,K12)</f>
        <v>6</v>
      </c>
      <c r="L21">
        <f t="shared" si="30"/>
        <v>13</v>
      </c>
      <c r="M21">
        <f t="shared" si="30"/>
        <v>13</v>
      </c>
      <c r="N21">
        <f t="shared" ref="N21:U21" si="31">IF(N12&lt;3,N12+12,N12)</f>
        <v>12</v>
      </c>
      <c r="O21">
        <f t="shared" si="31"/>
        <v>4</v>
      </c>
      <c r="P21">
        <f t="shared" si="31"/>
        <v>12</v>
      </c>
      <c r="Q21">
        <f t="shared" si="31"/>
        <v>13</v>
      </c>
      <c r="R21">
        <f t="shared" si="31"/>
        <v>7</v>
      </c>
      <c r="S21">
        <f t="shared" si="31"/>
        <v>3</v>
      </c>
      <c r="T21">
        <f t="shared" si="31"/>
        <v>8</v>
      </c>
      <c r="U21">
        <f t="shared" si="31"/>
        <v>13</v>
      </c>
      <c r="W21">
        <f ca="1">IF(W12&lt;3,W12+12,W12)</f>
        <v>10</v>
      </c>
    </row>
    <row r="22" spans="2:23" x14ac:dyDescent="0.25">
      <c r="B22"/>
      <c r="C22" s="4" t="s">
        <v>231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>
        <v>0</v>
      </c>
    </row>
    <row r="23" spans="2:23" x14ac:dyDescent="0.25">
      <c r="B23"/>
      <c r="C23" s="4" t="s">
        <v>232</v>
      </c>
      <c r="D23">
        <f t="shared" ref="D23:M23" si="32">INT(D20/100)</f>
        <v>19</v>
      </c>
      <c r="E23">
        <f t="shared" si="32"/>
        <v>3</v>
      </c>
      <c r="F23">
        <f t="shared" si="32"/>
        <v>19</v>
      </c>
      <c r="G23">
        <f t="shared" si="32"/>
        <v>19</v>
      </c>
      <c r="H23">
        <f t="shared" si="32"/>
        <v>19</v>
      </c>
      <c r="I23">
        <f t="shared" si="32"/>
        <v>19</v>
      </c>
      <c r="J23">
        <f t="shared" si="32"/>
        <v>19</v>
      </c>
      <c r="K23">
        <f t="shared" si="32"/>
        <v>19</v>
      </c>
      <c r="L23">
        <f t="shared" si="32"/>
        <v>18</v>
      </c>
      <c r="M23">
        <f t="shared" si="32"/>
        <v>15</v>
      </c>
      <c r="N23">
        <f t="shared" ref="N23:U23" si="33">INT(N20/100)</f>
        <v>16</v>
      </c>
      <c r="O23">
        <f t="shared" si="33"/>
        <v>8</v>
      </c>
      <c r="P23">
        <f t="shared" si="33"/>
        <v>-2</v>
      </c>
      <c r="Q23">
        <f t="shared" si="33"/>
        <v>-2</v>
      </c>
      <c r="R23">
        <f t="shared" si="33"/>
        <v>-10</v>
      </c>
      <c r="S23">
        <f t="shared" si="33"/>
        <v>-10</v>
      </c>
      <c r="T23">
        <f t="shared" si="33"/>
        <v>-11</v>
      </c>
      <c r="U23">
        <f t="shared" si="33"/>
        <v>-48</v>
      </c>
      <c r="W23">
        <f ca="1">INT(W20/100)</f>
        <v>20</v>
      </c>
    </row>
    <row r="24" spans="2:23" x14ac:dyDescent="0.25">
      <c r="B24"/>
      <c r="C24" s="4" t="s">
        <v>233</v>
      </c>
      <c r="D24">
        <f>2-D23+INT(D23/4)</f>
        <v>-13</v>
      </c>
      <c r="E24">
        <v>0</v>
      </c>
      <c r="F24">
        <f t="shared" ref="F24:L24" si="34">2-F23+INT(F23/4)</f>
        <v>-13</v>
      </c>
      <c r="G24">
        <f t="shared" si="34"/>
        <v>-13</v>
      </c>
      <c r="H24">
        <f t="shared" si="34"/>
        <v>-13</v>
      </c>
      <c r="I24">
        <f t="shared" si="34"/>
        <v>-13</v>
      </c>
      <c r="J24">
        <f t="shared" si="34"/>
        <v>-13</v>
      </c>
      <c r="K24">
        <f t="shared" si="34"/>
        <v>-13</v>
      </c>
      <c r="L24">
        <f t="shared" si="34"/>
        <v>-12</v>
      </c>
      <c r="M24">
        <f>2-M23+INT(M23/4)</f>
        <v>-10</v>
      </c>
      <c r="N24">
        <f>2-N23+INT(N23/4)</f>
        <v>-10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>
        <f ca="1">2-W23+INT(W23/4)</f>
        <v>-13</v>
      </c>
    </row>
    <row r="25" spans="2:23" x14ac:dyDescent="0.25">
      <c r="B25"/>
      <c r="C25" s="4" t="s">
        <v>213</v>
      </c>
      <c r="D25">
        <f t="shared" ref="D25:M25" si="35">INT(365.25*(D20+4716))</f>
        <v>2437313</v>
      </c>
      <c r="E25">
        <f t="shared" si="35"/>
        <v>1843782</v>
      </c>
      <c r="F25">
        <f t="shared" si="35"/>
        <v>2452653</v>
      </c>
      <c r="G25">
        <f t="shared" si="35"/>
        <v>2452288</v>
      </c>
      <c r="H25">
        <f t="shared" si="35"/>
        <v>2447905</v>
      </c>
      <c r="I25">
        <f t="shared" si="35"/>
        <v>2448270</v>
      </c>
      <c r="J25">
        <f t="shared" si="35"/>
        <v>2448270</v>
      </c>
      <c r="K25">
        <f t="shared" si="35"/>
        <v>2448636</v>
      </c>
      <c r="L25">
        <f t="shared" si="35"/>
        <v>2416128</v>
      </c>
      <c r="M25">
        <f t="shared" si="35"/>
        <v>2306553</v>
      </c>
      <c r="N25">
        <f t="shared" ref="N25:U25" si="36">INT(365.25*(N20+4716))</f>
        <v>2306919</v>
      </c>
      <c r="O25">
        <f t="shared" si="36"/>
        <v>2028233</v>
      </c>
      <c r="P25">
        <f t="shared" si="36"/>
        <v>1677593</v>
      </c>
      <c r="Q25">
        <f t="shared" si="36"/>
        <v>1677593</v>
      </c>
      <c r="R25">
        <f t="shared" si="36"/>
        <v>1357269</v>
      </c>
      <c r="S25">
        <f t="shared" si="36"/>
        <v>1357269</v>
      </c>
      <c r="T25">
        <f t="shared" si="36"/>
        <v>1356903</v>
      </c>
      <c r="U25">
        <f t="shared" si="36"/>
        <v>1095</v>
      </c>
      <c r="W25">
        <f ca="1">INT(365.25*(W20+4716))</f>
        <v>2461054</v>
      </c>
    </row>
    <row r="26" spans="2:23" x14ac:dyDescent="0.25">
      <c r="B26"/>
      <c r="C26" s="4" t="s">
        <v>214</v>
      </c>
      <c r="D26">
        <f t="shared" ref="D26:M26" si="37">INT(30.6001*(D21+1))</f>
        <v>336</v>
      </c>
      <c r="E26">
        <f t="shared" si="37"/>
        <v>428</v>
      </c>
      <c r="F26">
        <f t="shared" si="37"/>
        <v>428</v>
      </c>
      <c r="G26">
        <f t="shared" si="37"/>
        <v>428</v>
      </c>
      <c r="H26">
        <f t="shared" si="37"/>
        <v>428</v>
      </c>
      <c r="I26">
        <f t="shared" si="37"/>
        <v>214</v>
      </c>
      <c r="J26">
        <f t="shared" si="37"/>
        <v>428</v>
      </c>
      <c r="K26">
        <f t="shared" si="37"/>
        <v>214</v>
      </c>
      <c r="L26">
        <f t="shared" si="37"/>
        <v>428</v>
      </c>
      <c r="M26">
        <f t="shared" si="37"/>
        <v>428</v>
      </c>
      <c r="N26">
        <f t="shared" ref="N26:U26" si="38">INT(30.6001*(N21+1))</f>
        <v>397</v>
      </c>
      <c r="O26">
        <f t="shared" si="38"/>
        <v>153</v>
      </c>
      <c r="P26">
        <f t="shared" si="38"/>
        <v>397</v>
      </c>
      <c r="Q26">
        <f t="shared" si="38"/>
        <v>428</v>
      </c>
      <c r="R26">
        <f t="shared" si="38"/>
        <v>244</v>
      </c>
      <c r="S26">
        <f t="shared" si="38"/>
        <v>122</v>
      </c>
      <c r="T26">
        <f t="shared" si="38"/>
        <v>275</v>
      </c>
      <c r="U26">
        <f t="shared" si="38"/>
        <v>428</v>
      </c>
      <c r="W26">
        <f ca="1">INT(30.6001*(W21+1))</f>
        <v>336</v>
      </c>
    </row>
    <row r="27" spans="2:23" x14ac:dyDescent="0.25">
      <c r="B27"/>
      <c r="C27" s="4" t="s">
        <v>215</v>
      </c>
      <c r="D27" s="28">
        <f t="shared" ref="D27:M27" si="39">D19+D24-1524.5</f>
        <v>-1532.6899999999987</v>
      </c>
      <c r="E27" s="28">
        <f t="shared" si="39"/>
        <v>-1497</v>
      </c>
      <c r="F27" s="28">
        <f t="shared" si="39"/>
        <v>-1536.1999999999971</v>
      </c>
      <c r="G27" s="28">
        <f t="shared" si="39"/>
        <v>-1536.5</v>
      </c>
      <c r="H27" s="28">
        <f t="shared" si="39"/>
        <v>-1510.5</v>
      </c>
      <c r="I27" s="28">
        <f t="shared" si="39"/>
        <v>-1518</v>
      </c>
      <c r="J27" s="28">
        <f t="shared" si="39"/>
        <v>-1510.5</v>
      </c>
      <c r="K27" s="28">
        <f t="shared" si="39"/>
        <v>-1518</v>
      </c>
      <c r="L27" s="28">
        <f t="shared" si="39"/>
        <v>-1535.5</v>
      </c>
      <c r="M27" s="28">
        <f t="shared" si="39"/>
        <v>-1533.5</v>
      </c>
      <c r="N27" s="28">
        <f t="shared" ref="N27:U27" si="40">N19+N24-1524.5</f>
        <v>-1503.5</v>
      </c>
      <c r="O27" s="28">
        <f t="shared" si="40"/>
        <v>-1514.2</v>
      </c>
      <c r="P27" s="28">
        <f t="shared" si="40"/>
        <v>-1493.5</v>
      </c>
      <c r="Q27" s="28">
        <f t="shared" si="40"/>
        <v>-1523.5</v>
      </c>
      <c r="R27" s="28">
        <f t="shared" si="40"/>
        <v>-1512</v>
      </c>
      <c r="S27" s="28">
        <f t="shared" si="40"/>
        <v>-1523.5</v>
      </c>
      <c r="T27" s="28">
        <f t="shared" si="40"/>
        <v>-1506.6</v>
      </c>
      <c r="U27" s="28">
        <f t="shared" si="40"/>
        <v>-1523</v>
      </c>
      <c r="W27" s="28">
        <f ca="1">W19+W24-1524.5</f>
        <v>-1518.003164467591</v>
      </c>
    </row>
    <row r="28" spans="2:23" x14ac:dyDescent="0.25">
      <c r="B28"/>
      <c r="C28" s="36" t="s">
        <v>216</v>
      </c>
      <c r="D28" s="37">
        <f t="shared" ref="D28:L28" si="41">D25+D26+D27</f>
        <v>2436116.31</v>
      </c>
      <c r="E28" s="37">
        <f t="shared" si="41"/>
        <v>1842713</v>
      </c>
      <c r="F28" s="37">
        <f t="shared" si="41"/>
        <v>2451544.7999999998</v>
      </c>
      <c r="G28" s="37">
        <f t="shared" si="41"/>
        <v>2451179.5</v>
      </c>
      <c r="H28" s="37">
        <f t="shared" si="41"/>
        <v>2446822.5</v>
      </c>
      <c r="I28" s="37">
        <f t="shared" si="41"/>
        <v>2446966</v>
      </c>
      <c r="J28" s="37">
        <f t="shared" si="41"/>
        <v>2447187.5</v>
      </c>
      <c r="K28" s="37">
        <f t="shared" si="41"/>
        <v>2447332</v>
      </c>
      <c r="L28" s="37">
        <f t="shared" si="41"/>
        <v>2415020.5</v>
      </c>
      <c r="M28" s="37">
        <f t="shared" ref="M28:U28" si="42">M25+M26+M27</f>
        <v>2305447.5</v>
      </c>
      <c r="N28" s="37">
        <f t="shared" si="42"/>
        <v>2305812.5</v>
      </c>
      <c r="O28" s="37">
        <f t="shared" si="42"/>
        <v>2026871.8</v>
      </c>
      <c r="P28" s="37">
        <f t="shared" si="42"/>
        <v>1676496.5</v>
      </c>
      <c r="Q28" s="37">
        <f t="shared" si="42"/>
        <v>1676497.5</v>
      </c>
      <c r="R28" s="37">
        <f t="shared" si="42"/>
        <v>1356001</v>
      </c>
      <c r="S28" s="37">
        <f t="shared" si="42"/>
        <v>1355867.5</v>
      </c>
      <c r="T28" s="37">
        <f t="shared" si="42"/>
        <v>1355671.4</v>
      </c>
      <c r="U28" s="37">
        <f t="shared" si="42"/>
        <v>0</v>
      </c>
      <c r="W28" s="37">
        <f ca="1">W25+W26+W27</f>
        <v>2459871.9968355326</v>
      </c>
    </row>
    <row r="29" spans="2:23" ht="15.75" x14ac:dyDescent="0.25">
      <c r="B29" s="48" t="s">
        <v>217</v>
      </c>
      <c r="C29" s="48"/>
    </row>
    <row r="30" spans="2:23" x14ac:dyDescent="0.25">
      <c r="B30"/>
      <c r="C30" s="4" t="s">
        <v>216</v>
      </c>
      <c r="D30" s="30">
        <f t="shared" ref="D30:M30" si="43">D28</f>
        <v>2436116.31</v>
      </c>
      <c r="E30" s="30">
        <f t="shared" si="43"/>
        <v>1842713</v>
      </c>
      <c r="F30" s="30">
        <f t="shared" si="43"/>
        <v>2451544.7999999998</v>
      </c>
      <c r="G30" s="30">
        <f t="shared" si="43"/>
        <v>2451179.5</v>
      </c>
      <c r="H30" s="30">
        <f t="shared" si="43"/>
        <v>2446822.5</v>
      </c>
      <c r="I30" s="30">
        <f t="shared" si="43"/>
        <v>2446966</v>
      </c>
      <c r="J30" s="30">
        <f t="shared" si="43"/>
        <v>2447187.5</v>
      </c>
      <c r="K30" s="30">
        <f t="shared" si="43"/>
        <v>2447332</v>
      </c>
      <c r="L30" s="30">
        <f t="shared" si="43"/>
        <v>2415020.5</v>
      </c>
      <c r="M30" s="30">
        <f t="shared" si="43"/>
        <v>2305447.5</v>
      </c>
      <c r="N30" s="30">
        <f t="shared" ref="N30:U30" si="44">N28</f>
        <v>2305812.5</v>
      </c>
      <c r="O30" s="30">
        <f t="shared" si="44"/>
        <v>2026871.8</v>
      </c>
      <c r="P30" s="30">
        <f t="shared" si="44"/>
        <v>1676496.5</v>
      </c>
      <c r="Q30" s="30">
        <f t="shared" si="44"/>
        <v>1676497.5</v>
      </c>
      <c r="R30" s="30">
        <f t="shared" si="44"/>
        <v>1356001</v>
      </c>
      <c r="S30" s="30">
        <f t="shared" si="44"/>
        <v>1355867.5</v>
      </c>
      <c r="T30" s="30">
        <f t="shared" si="44"/>
        <v>1355671.4</v>
      </c>
      <c r="U30" s="30">
        <f t="shared" si="44"/>
        <v>0</v>
      </c>
      <c r="W30" s="30">
        <f ca="1">W28</f>
        <v>2459871.9968355326</v>
      </c>
    </row>
    <row r="31" spans="2:23" x14ac:dyDescent="0.25">
      <c r="B31"/>
      <c r="C31" s="35" t="s">
        <v>234</v>
      </c>
      <c r="D31" s="28">
        <f t="shared" ref="D31:L31" si="45">D30+0.5</f>
        <v>2436116.81</v>
      </c>
      <c r="E31" s="28">
        <f t="shared" si="45"/>
        <v>1842713.5</v>
      </c>
      <c r="F31" s="28">
        <f t="shared" si="45"/>
        <v>2451545.2999999998</v>
      </c>
      <c r="G31" s="28">
        <f t="shared" si="45"/>
        <v>2451180</v>
      </c>
      <c r="H31" s="28">
        <f t="shared" si="45"/>
        <v>2446823</v>
      </c>
      <c r="I31" s="28">
        <f t="shared" si="45"/>
        <v>2446966.5</v>
      </c>
      <c r="J31" s="28">
        <f t="shared" si="45"/>
        <v>2447188</v>
      </c>
      <c r="K31" s="28">
        <f t="shared" si="45"/>
        <v>2447332.5</v>
      </c>
      <c r="L31" s="28">
        <f t="shared" si="45"/>
        <v>2415021</v>
      </c>
      <c r="M31" s="28">
        <f t="shared" ref="M31:U31" si="46">M30+0.5</f>
        <v>2305448</v>
      </c>
      <c r="N31" s="28">
        <f t="shared" si="46"/>
        <v>2305813</v>
      </c>
      <c r="O31" s="28">
        <f t="shared" si="46"/>
        <v>2026872.3</v>
      </c>
      <c r="P31" s="28">
        <f t="shared" si="46"/>
        <v>1676497</v>
      </c>
      <c r="Q31" s="28">
        <f t="shared" si="46"/>
        <v>1676498</v>
      </c>
      <c r="R31" s="28">
        <f t="shared" si="46"/>
        <v>1356001.5</v>
      </c>
      <c r="S31" s="28">
        <f t="shared" si="46"/>
        <v>1355868</v>
      </c>
      <c r="T31" s="28">
        <f t="shared" si="46"/>
        <v>1355671.9</v>
      </c>
      <c r="U31" s="28">
        <f t="shared" si="46"/>
        <v>0.5</v>
      </c>
      <c r="W31" s="28">
        <f ca="1">W30+0.5</f>
        <v>2459872.4968355326</v>
      </c>
    </row>
    <row r="32" spans="2:23" x14ac:dyDescent="0.25">
      <c r="B32"/>
      <c r="C32" s="4" t="s">
        <v>235</v>
      </c>
      <c r="D32" s="28">
        <f t="shared" ref="D32:L32" si="47">TRUNC(D31)</f>
        <v>2436116</v>
      </c>
      <c r="E32" s="28">
        <f t="shared" si="47"/>
        <v>1842713</v>
      </c>
      <c r="F32" s="28">
        <f t="shared" si="47"/>
        <v>2451545</v>
      </c>
      <c r="G32" s="28">
        <f t="shared" si="47"/>
        <v>2451180</v>
      </c>
      <c r="H32" s="28">
        <f t="shared" si="47"/>
        <v>2446823</v>
      </c>
      <c r="I32" s="28">
        <f t="shared" si="47"/>
        <v>2446966</v>
      </c>
      <c r="J32" s="28">
        <f t="shared" si="47"/>
        <v>2447188</v>
      </c>
      <c r="K32" s="28">
        <f t="shared" si="47"/>
        <v>2447332</v>
      </c>
      <c r="L32" s="28">
        <f t="shared" si="47"/>
        <v>2415021</v>
      </c>
      <c r="M32" s="28">
        <f t="shared" ref="M32:U32" si="48">TRUNC(M31)</f>
        <v>2305448</v>
      </c>
      <c r="N32" s="28">
        <f t="shared" si="48"/>
        <v>2305813</v>
      </c>
      <c r="O32" s="28">
        <f t="shared" si="48"/>
        <v>2026872</v>
      </c>
      <c r="P32" s="28">
        <f t="shared" si="48"/>
        <v>1676497</v>
      </c>
      <c r="Q32" s="28">
        <f t="shared" si="48"/>
        <v>1676498</v>
      </c>
      <c r="R32" s="28">
        <f t="shared" si="48"/>
        <v>1356001</v>
      </c>
      <c r="S32" s="28">
        <f t="shared" si="48"/>
        <v>1355868</v>
      </c>
      <c r="T32" s="28">
        <f t="shared" si="48"/>
        <v>1355671</v>
      </c>
      <c r="U32" s="28">
        <f t="shared" si="48"/>
        <v>0</v>
      </c>
      <c r="W32" s="28">
        <f ca="1">TRUNC(W31)</f>
        <v>2459872</v>
      </c>
    </row>
    <row r="33" spans="2:23" x14ac:dyDescent="0.25">
      <c r="B33"/>
      <c r="C33" s="4" t="s">
        <v>236</v>
      </c>
      <c r="D33" s="28">
        <f t="shared" ref="D33:L33" si="49">D31-D32</f>
        <v>0.81000000005587935</v>
      </c>
      <c r="E33" s="28">
        <f t="shared" si="49"/>
        <v>0.5</v>
      </c>
      <c r="F33" s="28">
        <f t="shared" si="49"/>
        <v>0.29999999981373549</v>
      </c>
      <c r="G33" s="28">
        <f t="shared" si="49"/>
        <v>0</v>
      </c>
      <c r="H33" s="28">
        <f t="shared" si="49"/>
        <v>0</v>
      </c>
      <c r="I33" s="28">
        <f t="shared" si="49"/>
        <v>0.5</v>
      </c>
      <c r="J33" s="28">
        <f t="shared" si="49"/>
        <v>0</v>
      </c>
      <c r="K33" s="28">
        <f t="shared" si="49"/>
        <v>0.5</v>
      </c>
      <c r="L33" s="28">
        <f t="shared" si="49"/>
        <v>0</v>
      </c>
      <c r="M33" s="28">
        <f t="shared" ref="M33:U33" si="50">M31-M32</f>
        <v>0</v>
      </c>
      <c r="N33" s="28">
        <f t="shared" si="50"/>
        <v>0</v>
      </c>
      <c r="O33" s="28">
        <f t="shared" si="50"/>
        <v>0.30000000004656613</v>
      </c>
      <c r="P33" s="28">
        <f t="shared" si="50"/>
        <v>0</v>
      </c>
      <c r="Q33" s="28">
        <f t="shared" si="50"/>
        <v>0</v>
      </c>
      <c r="R33" s="28">
        <f t="shared" si="50"/>
        <v>0.5</v>
      </c>
      <c r="S33" s="28">
        <f t="shared" si="50"/>
        <v>0</v>
      </c>
      <c r="T33" s="28">
        <f t="shared" si="50"/>
        <v>0.89999999990686774</v>
      </c>
      <c r="U33" s="28">
        <f t="shared" si="50"/>
        <v>0.5</v>
      </c>
      <c r="W33" s="28">
        <f ca="1">W31-W32</f>
        <v>0.49683553259819746</v>
      </c>
    </row>
    <row r="34" spans="2:23" x14ac:dyDescent="0.25">
      <c r="B34"/>
      <c r="C34" s="4" t="s">
        <v>246</v>
      </c>
    </row>
    <row r="35" spans="2:23" x14ac:dyDescent="0.25">
      <c r="B35"/>
      <c r="C35" s="4" t="s">
        <v>237</v>
      </c>
      <c r="D35">
        <f t="shared" ref="D35:M35" si="51">INT((D32-1867216.25)/36524.25)</f>
        <v>15</v>
      </c>
      <c r="E35">
        <f t="shared" si="51"/>
        <v>-1</v>
      </c>
      <c r="F35">
        <f t="shared" si="51"/>
        <v>15</v>
      </c>
      <c r="G35">
        <f t="shared" si="51"/>
        <v>15</v>
      </c>
      <c r="H35">
        <f t="shared" si="51"/>
        <v>15</v>
      </c>
      <c r="I35">
        <f t="shared" si="51"/>
        <v>15</v>
      </c>
      <c r="J35">
        <f t="shared" si="51"/>
        <v>15</v>
      </c>
      <c r="K35">
        <f t="shared" si="51"/>
        <v>15</v>
      </c>
      <c r="L35">
        <f t="shared" si="51"/>
        <v>14</v>
      </c>
      <c r="M35">
        <f t="shared" si="51"/>
        <v>11</v>
      </c>
      <c r="N35">
        <f t="shared" ref="N35:U35" si="52">INT((N32-1867216.25)/36524.25)</f>
        <v>12</v>
      </c>
      <c r="O35">
        <f t="shared" si="52"/>
        <v>4</v>
      </c>
      <c r="P35">
        <f t="shared" si="52"/>
        <v>-6</v>
      </c>
      <c r="Q35">
        <f t="shared" si="52"/>
        <v>-6</v>
      </c>
      <c r="R35">
        <f t="shared" si="52"/>
        <v>-14</v>
      </c>
      <c r="S35">
        <f t="shared" si="52"/>
        <v>-15</v>
      </c>
      <c r="T35">
        <f t="shared" si="52"/>
        <v>-15</v>
      </c>
      <c r="U35">
        <f t="shared" si="52"/>
        <v>-52</v>
      </c>
      <c r="W35">
        <f ca="1">INT((W32-1867216.25)/36524.25)</f>
        <v>16</v>
      </c>
    </row>
    <row r="36" spans="2:23" x14ac:dyDescent="0.25">
      <c r="B36"/>
      <c r="C36" s="4" t="s">
        <v>238</v>
      </c>
      <c r="D36" s="28">
        <f t="shared" ref="D36:L36" si="53">D32+1+D35-INT(D35/4)</f>
        <v>2436129</v>
      </c>
      <c r="E36" s="28">
        <f t="shared" si="53"/>
        <v>1842714</v>
      </c>
      <c r="F36" s="28">
        <f t="shared" si="53"/>
        <v>2451558</v>
      </c>
      <c r="G36" s="28">
        <f t="shared" si="53"/>
        <v>2451193</v>
      </c>
      <c r="H36" s="28">
        <f t="shared" si="53"/>
        <v>2446836</v>
      </c>
      <c r="I36" s="28">
        <f t="shared" si="53"/>
        <v>2446979</v>
      </c>
      <c r="J36" s="28">
        <f t="shared" si="53"/>
        <v>2447201</v>
      </c>
      <c r="K36" s="28">
        <f t="shared" si="53"/>
        <v>2447345</v>
      </c>
      <c r="L36" s="28">
        <f t="shared" si="53"/>
        <v>2415033</v>
      </c>
      <c r="M36" s="28">
        <f t="shared" ref="M36:U36" si="54">M32+1+M35-INT(M35/4)</f>
        <v>2305458</v>
      </c>
      <c r="N36" s="28">
        <f t="shared" si="54"/>
        <v>2305823</v>
      </c>
      <c r="O36" s="28">
        <f t="shared" si="54"/>
        <v>2026876</v>
      </c>
      <c r="P36" s="28">
        <f t="shared" si="54"/>
        <v>1676494</v>
      </c>
      <c r="Q36" s="28">
        <f t="shared" si="54"/>
        <v>1676495</v>
      </c>
      <c r="R36" s="28">
        <f t="shared" si="54"/>
        <v>1355992</v>
      </c>
      <c r="S36" s="28">
        <f t="shared" si="54"/>
        <v>1355858</v>
      </c>
      <c r="T36" s="28">
        <f t="shared" si="54"/>
        <v>1355661</v>
      </c>
      <c r="U36" s="28">
        <f t="shared" si="54"/>
        <v>-38</v>
      </c>
      <c r="W36" s="28">
        <f ca="1">W32+1+W35-INT(W35/4)</f>
        <v>2459885</v>
      </c>
    </row>
    <row r="37" spans="2:23" x14ac:dyDescent="0.25">
      <c r="B37"/>
      <c r="C37" s="4" t="s">
        <v>212</v>
      </c>
      <c r="D37">
        <f t="shared" ref="D37:L37" si="55">IF(D32&lt;2299161,D32,D36)</f>
        <v>2436129</v>
      </c>
      <c r="E37">
        <f t="shared" si="55"/>
        <v>1842713</v>
      </c>
      <c r="F37">
        <f t="shared" si="55"/>
        <v>2451558</v>
      </c>
      <c r="G37">
        <f t="shared" si="55"/>
        <v>2451193</v>
      </c>
      <c r="H37">
        <f t="shared" si="55"/>
        <v>2446836</v>
      </c>
      <c r="I37">
        <f t="shared" si="55"/>
        <v>2446979</v>
      </c>
      <c r="J37">
        <f t="shared" si="55"/>
        <v>2447201</v>
      </c>
      <c r="K37">
        <f t="shared" si="55"/>
        <v>2447345</v>
      </c>
      <c r="L37">
        <f t="shared" si="55"/>
        <v>2415033</v>
      </c>
      <c r="M37">
        <f t="shared" ref="M37:U37" si="56">IF(M32&lt;2299161,M32,M36)</f>
        <v>2305458</v>
      </c>
      <c r="N37">
        <f t="shared" si="56"/>
        <v>2305823</v>
      </c>
      <c r="O37">
        <f t="shared" si="56"/>
        <v>2026872</v>
      </c>
      <c r="P37">
        <f t="shared" si="56"/>
        <v>1676497</v>
      </c>
      <c r="Q37">
        <f t="shared" si="56"/>
        <v>1676498</v>
      </c>
      <c r="R37">
        <f t="shared" si="56"/>
        <v>1356001</v>
      </c>
      <c r="S37">
        <f t="shared" si="56"/>
        <v>1355868</v>
      </c>
      <c r="T37">
        <f t="shared" si="56"/>
        <v>1355671</v>
      </c>
      <c r="U37">
        <f t="shared" si="56"/>
        <v>0</v>
      </c>
      <c r="W37">
        <f ca="1">IF(W32&lt;2299161,W32,W36)</f>
        <v>2459885</v>
      </c>
    </row>
    <row r="38" spans="2:23" x14ac:dyDescent="0.25">
      <c r="B38"/>
    </row>
    <row r="39" spans="2:23" x14ac:dyDescent="0.25">
      <c r="B39"/>
      <c r="C39" s="4" t="s">
        <v>239</v>
      </c>
      <c r="D39">
        <f t="shared" ref="D39:M39" si="57">D37+1524</f>
        <v>2437653</v>
      </c>
      <c r="E39">
        <f t="shared" si="57"/>
        <v>1844237</v>
      </c>
      <c r="F39">
        <f t="shared" si="57"/>
        <v>2453082</v>
      </c>
      <c r="G39">
        <f t="shared" si="57"/>
        <v>2452717</v>
      </c>
      <c r="H39">
        <f t="shared" si="57"/>
        <v>2448360</v>
      </c>
      <c r="I39">
        <f t="shared" si="57"/>
        <v>2448503</v>
      </c>
      <c r="J39">
        <f t="shared" si="57"/>
        <v>2448725</v>
      </c>
      <c r="K39">
        <f t="shared" si="57"/>
        <v>2448869</v>
      </c>
      <c r="L39">
        <f t="shared" si="57"/>
        <v>2416557</v>
      </c>
      <c r="M39">
        <f t="shared" si="57"/>
        <v>2306982</v>
      </c>
      <c r="N39">
        <f t="shared" ref="N39:U39" si="58">N37+1524</f>
        <v>2307347</v>
      </c>
      <c r="O39">
        <f t="shared" si="58"/>
        <v>2028396</v>
      </c>
      <c r="P39">
        <f t="shared" si="58"/>
        <v>1678021</v>
      </c>
      <c r="Q39">
        <f t="shared" si="58"/>
        <v>1678022</v>
      </c>
      <c r="R39">
        <f t="shared" si="58"/>
        <v>1357525</v>
      </c>
      <c r="S39">
        <f t="shared" si="58"/>
        <v>1357392</v>
      </c>
      <c r="T39">
        <f t="shared" si="58"/>
        <v>1357195</v>
      </c>
      <c r="U39">
        <f t="shared" si="58"/>
        <v>1524</v>
      </c>
      <c r="W39">
        <f ca="1">W37+1524</f>
        <v>2461409</v>
      </c>
    </row>
    <row r="40" spans="2:23" x14ac:dyDescent="0.25">
      <c r="B40"/>
      <c r="C40" s="4" t="s">
        <v>240</v>
      </c>
      <c r="D40">
        <f t="shared" ref="D40:L40" si="59">INT((D39-122.1)/365.25)</f>
        <v>6673</v>
      </c>
      <c r="E40">
        <f t="shared" si="59"/>
        <v>5048</v>
      </c>
      <c r="F40">
        <f t="shared" si="59"/>
        <v>6715</v>
      </c>
      <c r="G40">
        <f t="shared" si="59"/>
        <v>6714</v>
      </c>
      <c r="H40">
        <f t="shared" si="59"/>
        <v>6702</v>
      </c>
      <c r="I40">
        <f t="shared" si="59"/>
        <v>6703</v>
      </c>
      <c r="J40">
        <f t="shared" si="59"/>
        <v>6703</v>
      </c>
      <c r="K40">
        <f t="shared" si="59"/>
        <v>6704</v>
      </c>
      <c r="L40">
        <f t="shared" si="59"/>
        <v>6615</v>
      </c>
      <c r="M40">
        <f t="shared" ref="M40:U40" si="60">INT((M39-122.1)/365.25)</f>
        <v>6315</v>
      </c>
      <c r="N40">
        <f t="shared" si="60"/>
        <v>6316</v>
      </c>
      <c r="O40">
        <f t="shared" si="60"/>
        <v>5553</v>
      </c>
      <c r="P40">
        <f t="shared" si="60"/>
        <v>4593</v>
      </c>
      <c r="Q40">
        <f t="shared" si="60"/>
        <v>4593</v>
      </c>
      <c r="R40">
        <f t="shared" si="60"/>
        <v>3716</v>
      </c>
      <c r="S40">
        <f t="shared" si="60"/>
        <v>3716</v>
      </c>
      <c r="T40">
        <f t="shared" si="60"/>
        <v>3715</v>
      </c>
      <c r="U40">
        <f t="shared" si="60"/>
        <v>3</v>
      </c>
      <c r="W40">
        <f ca="1">INT((W39-122.1)/365.25)</f>
        <v>6738</v>
      </c>
    </row>
    <row r="41" spans="2:23" x14ac:dyDescent="0.25">
      <c r="B41"/>
      <c r="C41" s="4" t="s">
        <v>241</v>
      </c>
      <c r="D41">
        <f t="shared" ref="D41:L41" si="61">INT(365.25*D40)</f>
        <v>2437313</v>
      </c>
      <c r="E41">
        <f t="shared" si="61"/>
        <v>1843782</v>
      </c>
      <c r="F41">
        <f t="shared" si="61"/>
        <v>2452653</v>
      </c>
      <c r="G41">
        <f t="shared" si="61"/>
        <v>2452288</v>
      </c>
      <c r="H41">
        <f t="shared" si="61"/>
        <v>2447905</v>
      </c>
      <c r="I41">
        <f t="shared" si="61"/>
        <v>2448270</v>
      </c>
      <c r="J41">
        <f t="shared" si="61"/>
        <v>2448270</v>
      </c>
      <c r="K41">
        <f t="shared" si="61"/>
        <v>2448636</v>
      </c>
      <c r="L41">
        <f t="shared" si="61"/>
        <v>2416128</v>
      </c>
      <c r="M41">
        <f t="shared" ref="M41:U41" si="62">INT(365.25*M40)</f>
        <v>2306553</v>
      </c>
      <c r="N41">
        <f t="shared" si="62"/>
        <v>2306919</v>
      </c>
      <c r="O41">
        <f t="shared" si="62"/>
        <v>2028233</v>
      </c>
      <c r="P41">
        <f t="shared" si="62"/>
        <v>1677593</v>
      </c>
      <c r="Q41">
        <f t="shared" si="62"/>
        <v>1677593</v>
      </c>
      <c r="R41">
        <f t="shared" si="62"/>
        <v>1357269</v>
      </c>
      <c r="S41">
        <f t="shared" si="62"/>
        <v>1357269</v>
      </c>
      <c r="T41">
        <f t="shared" si="62"/>
        <v>1356903</v>
      </c>
      <c r="U41">
        <f t="shared" si="62"/>
        <v>1095</v>
      </c>
      <c r="W41">
        <f ca="1">INT(365.25*W40)</f>
        <v>2461054</v>
      </c>
    </row>
    <row r="42" spans="2:23" x14ac:dyDescent="0.25">
      <c r="B42"/>
      <c r="C42" s="4" t="s">
        <v>242</v>
      </c>
      <c r="D42">
        <f t="shared" ref="D42:L42" si="63">INT((D39-D41)/30.6001)</f>
        <v>11</v>
      </c>
      <c r="E42">
        <f t="shared" si="63"/>
        <v>14</v>
      </c>
      <c r="F42">
        <f t="shared" si="63"/>
        <v>14</v>
      </c>
      <c r="G42">
        <f t="shared" si="63"/>
        <v>14</v>
      </c>
      <c r="H42">
        <f t="shared" si="63"/>
        <v>14</v>
      </c>
      <c r="I42">
        <f t="shared" si="63"/>
        <v>7</v>
      </c>
      <c r="J42">
        <f t="shared" si="63"/>
        <v>14</v>
      </c>
      <c r="K42">
        <f t="shared" si="63"/>
        <v>7</v>
      </c>
      <c r="L42">
        <f t="shared" si="63"/>
        <v>14</v>
      </c>
      <c r="M42">
        <f t="shared" ref="M42:U42" si="64">INT((M39-M41)/30.6001)</f>
        <v>14</v>
      </c>
      <c r="N42">
        <f t="shared" si="64"/>
        <v>13</v>
      </c>
      <c r="O42">
        <f t="shared" si="64"/>
        <v>5</v>
      </c>
      <c r="P42">
        <f t="shared" si="64"/>
        <v>13</v>
      </c>
      <c r="Q42">
        <f t="shared" si="64"/>
        <v>14</v>
      </c>
      <c r="R42">
        <f t="shared" si="64"/>
        <v>8</v>
      </c>
      <c r="S42">
        <f t="shared" si="64"/>
        <v>4</v>
      </c>
      <c r="T42">
        <f t="shared" si="64"/>
        <v>9</v>
      </c>
      <c r="U42">
        <f t="shared" si="64"/>
        <v>14</v>
      </c>
      <c r="W42">
        <f ca="1">INT((W39-W41)/30.6001)</f>
        <v>11</v>
      </c>
    </row>
    <row r="43" spans="2:23" x14ac:dyDescent="0.25">
      <c r="B43"/>
      <c r="C43" s="4" t="s">
        <v>243</v>
      </c>
      <c r="D43" s="32">
        <f t="shared" ref="D43:L43" si="65">D39-D41-INT(30.6001*D42)+D33</f>
        <v>4.8100000000558794</v>
      </c>
      <c r="E43" s="32">
        <f t="shared" si="65"/>
        <v>27.5</v>
      </c>
      <c r="F43" s="32">
        <f t="shared" si="65"/>
        <v>1.2999999998137355</v>
      </c>
      <c r="G43" s="32">
        <f t="shared" si="65"/>
        <v>1</v>
      </c>
      <c r="H43" s="32">
        <f t="shared" si="65"/>
        <v>27</v>
      </c>
      <c r="I43" s="32">
        <f t="shared" si="65"/>
        <v>19.5</v>
      </c>
      <c r="J43" s="32">
        <f t="shared" si="65"/>
        <v>27</v>
      </c>
      <c r="K43" s="32">
        <f t="shared" si="65"/>
        <v>19.5</v>
      </c>
      <c r="L43" s="32">
        <f t="shared" si="65"/>
        <v>1</v>
      </c>
      <c r="M43" s="32">
        <f t="shared" ref="M43:U43" si="66">M39-M41-INT(30.6001*M42)+M33</f>
        <v>1</v>
      </c>
      <c r="N43" s="32">
        <f t="shared" si="66"/>
        <v>31</v>
      </c>
      <c r="O43" s="32">
        <f t="shared" si="66"/>
        <v>10.300000000046566</v>
      </c>
      <c r="P43" s="32">
        <f t="shared" si="66"/>
        <v>31</v>
      </c>
      <c r="Q43" s="32">
        <f t="shared" si="66"/>
        <v>1</v>
      </c>
      <c r="R43" s="32">
        <f t="shared" si="66"/>
        <v>12.5</v>
      </c>
      <c r="S43" s="32">
        <f t="shared" si="66"/>
        <v>1</v>
      </c>
      <c r="T43" s="32">
        <f t="shared" si="66"/>
        <v>17.899999999906868</v>
      </c>
      <c r="U43" s="32">
        <f t="shared" si="66"/>
        <v>1.5</v>
      </c>
      <c r="W43" s="32">
        <f ca="1">W39-W41-INT(30.6001*W42)+W33</f>
        <v>19.496835532598197</v>
      </c>
    </row>
    <row r="44" spans="2:23" x14ac:dyDescent="0.25">
      <c r="B44"/>
      <c r="C44" s="4" t="s">
        <v>245</v>
      </c>
    </row>
    <row r="45" spans="2:23" x14ac:dyDescent="0.25">
      <c r="B45"/>
      <c r="C45" s="4" t="s">
        <v>244</v>
      </c>
      <c r="D45" s="1">
        <f t="shared" ref="D45:M45" si="67">IF(D42&lt;14,D42-1,D42-13)</f>
        <v>10</v>
      </c>
      <c r="E45" s="1">
        <f t="shared" si="67"/>
        <v>1</v>
      </c>
      <c r="F45" s="1">
        <f t="shared" si="67"/>
        <v>1</v>
      </c>
      <c r="G45" s="1">
        <f t="shared" si="67"/>
        <v>1</v>
      </c>
      <c r="H45" s="1">
        <f t="shared" si="67"/>
        <v>1</v>
      </c>
      <c r="I45" s="1">
        <f t="shared" si="67"/>
        <v>6</v>
      </c>
      <c r="J45" s="1">
        <f t="shared" si="67"/>
        <v>1</v>
      </c>
      <c r="K45" s="1">
        <f t="shared" si="67"/>
        <v>6</v>
      </c>
      <c r="L45" s="1">
        <f t="shared" si="67"/>
        <v>1</v>
      </c>
      <c r="M45" s="1">
        <f t="shared" si="67"/>
        <v>1</v>
      </c>
      <c r="N45" s="1">
        <f t="shared" ref="N45:U45" si="68">IF(N42&lt;14,N42-1,N42-13)</f>
        <v>12</v>
      </c>
      <c r="O45" s="1">
        <f t="shared" si="68"/>
        <v>4</v>
      </c>
      <c r="P45" s="1">
        <f t="shared" si="68"/>
        <v>12</v>
      </c>
      <c r="Q45" s="1">
        <f t="shared" si="68"/>
        <v>1</v>
      </c>
      <c r="R45" s="1">
        <f t="shared" si="68"/>
        <v>7</v>
      </c>
      <c r="S45" s="1">
        <f t="shared" si="68"/>
        <v>3</v>
      </c>
      <c r="T45" s="1">
        <f t="shared" si="68"/>
        <v>8</v>
      </c>
      <c r="U45" s="1">
        <f t="shared" si="68"/>
        <v>1</v>
      </c>
      <c r="W45" s="1">
        <f ca="1">IF(W42&lt;14,W42-1,W42-13)</f>
        <v>10</v>
      </c>
    </row>
    <row r="46" spans="2:23" x14ac:dyDescent="0.25">
      <c r="B46"/>
      <c r="C46" s="4" t="s">
        <v>247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</row>
    <row r="47" spans="2:23" x14ac:dyDescent="0.25">
      <c r="B47"/>
      <c r="C47" s="4" t="s">
        <v>248</v>
      </c>
      <c r="D47" s="1">
        <f t="shared" ref="D47:M47" si="69">IF(D45&gt;2,D40-4716,D40-4715)</f>
        <v>1957</v>
      </c>
      <c r="E47" s="1">
        <f t="shared" si="69"/>
        <v>333</v>
      </c>
      <c r="F47" s="1">
        <f t="shared" si="69"/>
        <v>2000</v>
      </c>
      <c r="G47" s="1">
        <f t="shared" si="69"/>
        <v>1999</v>
      </c>
      <c r="H47" s="1">
        <f t="shared" si="69"/>
        <v>1987</v>
      </c>
      <c r="I47" s="1">
        <f t="shared" si="69"/>
        <v>1987</v>
      </c>
      <c r="J47" s="1">
        <f t="shared" si="69"/>
        <v>1988</v>
      </c>
      <c r="K47" s="1">
        <f t="shared" si="69"/>
        <v>1988</v>
      </c>
      <c r="L47" s="1">
        <f t="shared" si="69"/>
        <v>1900</v>
      </c>
      <c r="M47" s="1">
        <f t="shared" si="69"/>
        <v>1600</v>
      </c>
      <c r="N47" s="1">
        <f t="shared" ref="N47:U47" si="70">IF(N45&gt;2,N40-4716,N40-4715)</f>
        <v>1600</v>
      </c>
      <c r="O47" s="1">
        <f t="shared" si="70"/>
        <v>837</v>
      </c>
      <c r="P47" s="1">
        <f t="shared" si="70"/>
        <v>-123</v>
      </c>
      <c r="Q47" s="1">
        <f t="shared" si="70"/>
        <v>-122</v>
      </c>
      <c r="R47" s="1">
        <f t="shared" si="70"/>
        <v>-1000</v>
      </c>
      <c r="S47" s="1">
        <f t="shared" si="70"/>
        <v>-1000</v>
      </c>
      <c r="T47" s="1">
        <f t="shared" si="70"/>
        <v>-1001</v>
      </c>
      <c r="U47" s="1">
        <f t="shared" si="70"/>
        <v>-4712</v>
      </c>
      <c r="W47" s="1">
        <f ca="1">IF(W45&gt;2,W40-4716,W40-4715)</f>
        <v>2022</v>
      </c>
    </row>
    <row r="48" spans="2:23" x14ac:dyDescent="0.25">
      <c r="B48"/>
      <c r="C48" s="4" t="s">
        <v>219</v>
      </c>
      <c r="D48" s="28">
        <f t="shared" ref="D48:M48" si="71">D43-TRUNC(D43)</f>
        <v>0.81000000005587935</v>
      </c>
      <c r="E48" s="28">
        <f t="shared" si="71"/>
        <v>0.5</v>
      </c>
      <c r="F48" s="28">
        <f t="shared" si="71"/>
        <v>0.29999999981373549</v>
      </c>
      <c r="G48" s="28">
        <f t="shared" si="71"/>
        <v>0</v>
      </c>
      <c r="H48" s="28">
        <f t="shared" si="71"/>
        <v>0</v>
      </c>
      <c r="I48" s="28">
        <f t="shared" si="71"/>
        <v>0.5</v>
      </c>
      <c r="J48" s="28">
        <f t="shared" si="71"/>
        <v>0</v>
      </c>
      <c r="K48" s="28">
        <f t="shared" si="71"/>
        <v>0.5</v>
      </c>
      <c r="L48" s="28">
        <f t="shared" si="71"/>
        <v>0</v>
      </c>
      <c r="M48" s="28">
        <f t="shared" si="71"/>
        <v>0</v>
      </c>
      <c r="N48" s="28">
        <f t="shared" ref="N48:U48" si="72">N43-TRUNC(N43)</f>
        <v>0</v>
      </c>
      <c r="O48" s="28">
        <f t="shared" si="72"/>
        <v>0.30000000004656613</v>
      </c>
      <c r="P48" s="28">
        <f t="shared" si="72"/>
        <v>0</v>
      </c>
      <c r="Q48" s="28">
        <f t="shared" si="72"/>
        <v>0</v>
      </c>
      <c r="R48" s="28">
        <f t="shared" si="72"/>
        <v>0.5</v>
      </c>
      <c r="S48" s="28">
        <f t="shared" si="72"/>
        <v>0</v>
      </c>
      <c r="T48" s="28">
        <f t="shared" si="72"/>
        <v>0.89999999990686774</v>
      </c>
      <c r="U48" s="28">
        <f t="shared" si="72"/>
        <v>0.5</v>
      </c>
      <c r="W48" s="28">
        <f ca="1">W43-TRUNC(W43)</f>
        <v>0.49683553259819746</v>
      </c>
    </row>
    <row r="49" spans="3:23" x14ac:dyDescent="0.25">
      <c r="C49" s="4" t="s">
        <v>220</v>
      </c>
      <c r="D49" s="28">
        <f t="shared" ref="D49:L49" si="73">(D48*24)</f>
        <v>19.440000001341105</v>
      </c>
      <c r="E49" s="28">
        <f t="shared" si="73"/>
        <v>12</v>
      </c>
      <c r="F49" s="28">
        <f t="shared" si="73"/>
        <v>7.1999999955296516</v>
      </c>
      <c r="G49" s="28">
        <f t="shared" si="73"/>
        <v>0</v>
      </c>
      <c r="H49" s="28">
        <f t="shared" si="73"/>
        <v>0</v>
      </c>
      <c r="I49" s="28">
        <f t="shared" si="73"/>
        <v>12</v>
      </c>
      <c r="J49" s="28">
        <f t="shared" si="73"/>
        <v>0</v>
      </c>
      <c r="K49" s="28">
        <f t="shared" si="73"/>
        <v>12</v>
      </c>
      <c r="L49" s="28">
        <f t="shared" si="73"/>
        <v>0</v>
      </c>
      <c r="M49" s="28">
        <f t="shared" ref="M49:U49" si="74">(M48*24)</f>
        <v>0</v>
      </c>
      <c r="N49" s="28">
        <f t="shared" si="74"/>
        <v>0</v>
      </c>
      <c r="O49" s="28">
        <f t="shared" si="74"/>
        <v>7.2000000011175871</v>
      </c>
      <c r="P49" s="28">
        <f t="shared" si="74"/>
        <v>0</v>
      </c>
      <c r="Q49" s="28">
        <f t="shared" si="74"/>
        <v>0</v>
      </c>
      <c r="R49" s="28">
        <f t="shared" si="74"/>
        <v>12</v>
      </c>
      <c r="S49" s="28">
        <f t="shared" si="74"/>
        <v>0</v>
      </c>
      <c r="T49" s="28">
        <f t="shared" si="74"/>
        <v>21.599999997764826</v>
      </c>
      <c r="U49" s="28">
        <f t="shared" si="74"/>
        <v>12</v>
      </c>
      <c r="W49" s="28">
        <f ca="1">(W48*24)</f>
        <v>11.924052782356739</v>
      </c>
    </row>
    <row r="50" spans="3:23" x14ac:dyDescent="0.25">
      <c r="C50" s="4" t="s">
        <v>220</v>
      </c>
      <c r="D50" s="33">
        <f t="shared" ref="D50:L50" si="75">TRUNC(D49)</f>
        <v>19</v>
      </c>
      <c r="E50" s="33">
        <f t="shared" si="75"/>
        <v>12</v>
      </c>
      <c r="F50" s="33">
        <f t="shared" si="75"/>
        <v>7</v>
      </c>
      <c r="G50" s="33">
        <f t="shared" si="75"/>
        <v>0</v>
      </c>
      <c r="H50" s="33">
        <f t="shared" si="75"/>
        <v>0</v>
      </c>
      <c r="I50" s="33">
        <f t="shared" si="75"/>
        <v>12</v>
      </c>
      <c r="J50" s="33">
        <f t="shared" si="75"/>
        <v>0</v>
      </c>
      <c r="K50" s="33">
        <f t="shared" si="75"/>
        <v>12</v>
      </c>
      <c r="L50" s="33">
        <f t="shared" si="75"/>
        <v>0</v>
      </c>
      <c r="M50" s="33">
        <f t="shared" ref="M50:U50" si="76">TRUNC(M49)</f>
        <v>0</v>
      </c>
      <c r="N50" s="33">
        <f t="shared" si="76"/>
        <v>0</v>
      </c>
      <c r="O50" s="33">
        <f t="shared" si="76"/>
        <v>7</v>
      </c>
      <c r="P50" s="33">
        <f t="shared" si="76"/>
        <v>0</v>
      </c>
      <c r="Q50" s="33">
        <f t="shared" si="76"/>
        <v>0</v>
      </c>
      <c r="R50" s="33">
        <f t="shared" si="76"/>
        <v>12</v>
      </c>
      <c r="S50" s="33">
        <f t="shared" si="76"/>
        <v>0</v>
      </c>
      <c r="T50" s="33">
        <f t="shared" si="76"/>
        <v>21</v>
      </c>
      <c r="U50" s="33">
        <f t="shared" si="76"/>
        <v>12</v>
      </c>
      <c r="W50" s="33">
        <f ca="1">TRUNC(W49)</f>
        <v>11</v>
      </c>
    </row>
    <row r="51" spans="3:23" x14ac:dyDescent="0.25">
      <c r="C51" s="4" t="s">
        <v>221</v>
      </c>
      <c r="D51" s="28">
        <f t="shared" ref="D51:L51" si="77">(D49-D50)*60</f>
        <v>26.40000008046627</v>
      </c>
      <c r="E51" s="28">
        <f t="shared" si="77"/>
        <v>0</v>
      </c>
      <c r="F51" s="28">
        <f t="shared" si="77"/>
        <v>11.999999731779099</v>
      </c>
      <c r="G51" s="28">
        <f t="shared" si="77"/>
        <v>0</v>
      </c>
      <c r="H51" s="28">
        <f t="shared" si="77"/>
        <v>0</v>
      </c>
      <c r="I51" s="28">
        <f t="shared" si="77"/>
        <v>0</v>
      </c>
      <c r="J51" s="28">
        <f t="shared" si="77"/>
        <v>0</v>
      </c>
      <c r="K51" s="28">
        <f t="shared" si="77"/>
        <v>0</v>
      </c>
      <c r="L51" s="28">
        <f t="shared" si="77"/>
        <v>0</v>
      </c>
      <c r="M51" s="28">
        <f t="shared" ref="M51:U51" si="78">(M49-M50)*60</f>
        <v>0</v>
      </c>
      <c r="N51" s="28">
        <f t="shared" si="78"/>
        <v>0</v>
      </c>
      <c r="O51" s="28">
        <f t="shared" si="78"/>
        <v>12.000000067055225</v>
      </c>
      <c r="P51" s="28">
        <f t="shared" si="78"/>
        <v>0</v>
      </c>
      <c r="Q51" s="28">
        <f t="shared" si="78"/>
        <v>0</v>
      </c>
      <c r="R51" s="28">
        <f t="shared" si="78"/>
        <v>0</v>
      </c>
      <c r="S51" s="28">
        <f t="shared" si="78"/>
        <v>0</v>
      </c>
      <c r="T51" s="28">
        <f t="shared" si="78"/>
        <v>35.999999865889549</v>
      </c>
      <c r="U51" s="28">
        <f t="shared" si="78"/>
        <v>0</v>
      </c>
      <c r="W51" s="28">
        <f ca="1">(W49-W50)*60</f>
        <v>55.443166941404343</v>
      </c>
    </row>
    <row r="52" spans="3:23" x14ac:dyDescent="0.25">
      <c r="C52" s="4" t="s">
        <v>221</v>
      </c>
      <c r="D52" s="33">
        <f t="shared" ref="D52:L52" si="79">TRUNC(D51)</f>
        <v>26</v>
      </c>
      <c r="E52" s="33">
        <f t="shared" si="79"/>
        <v>0</v>
      </c>
      <c r="F52" s="33">
        <f t="shared" si="79"/>
        <v>11</v>
      </c>
      <c r="G52" s="33">
        <f t="shared" si="79"/>
        <v>0</v>
      </c>
      <c r="H52" s="33">
        <f t="shared" si="79"/>
        <v>0</v>
      </c>
      <c r="I52" s="33">
        <f t="shared" si="79"/>
        <v>0</v>
      </c>
      <c r="J52" s="33">
        <f t="shared" si="79"/>
        <v>0</v>
      </c>
      <c r="K52" s="33">
        <f t="shared" si="79"/>
        <v>0</v>
      </c>
      <c r="L52" s="33">
        <f t="shared" si="79"/>
        <v>0</v>
      </c>
      <c r="M52" s="33">
        <f t="shared" ref="M52:U52" si="80">TRUNC(M51)</f>
        <v>0</v>
      </c>
      <c r="N52" s="33">
        <f t="shared" si="80"/>
        <v>0</v>
      </c>
      <c r="O52" s="33">
        <f t="shared" si="80"/>
        <v>12</v>
      </c>
      <c r="P52" s="33">
        <f t="shared" si="80"/>
        <v>0</v>
      </c>
      <c r="Q52" s="33">
        <f t="shared" si="80"/>
        <v>0</v>
      </c>
      <c r="R52" s="33">
        <f t="shared" si="80"/>
        <v>0</v>
      </c>
      <c r="S52" s="33">
        <f t="shared" si="80"/>
        <v>0</v>
      </c>
      <c r="T52" s="33">
        <f t="shared" si="80"/>
        <v>35</v>
      </c>
      <c r="U52" s="33">
        <f t="shared" si="80"/>
        <v>0</v>
      </c>
      <c r="W52" s="33">
        <f ca="1">TRUNC(W51)</f>
        <v>55</v>
      </c>
    </row>
    <row r="53" spans="3:23" x14ac:dyDescent="0.25">
      <c r="C53" s="4" t="s">
        <v>222</v>
      </c>
      <c r="D53" s="28">
        <f t="shared" ref="D53:L53" si="81">(D51-D52)*60</f>
        <v>24.000004827976227</v>
      </c>
      <c r="E53" s="28">
        <f t="shared" si="81"/>
        <v>0</v>
      </c>
      <c r="F53" s="28">
        <f t="shared" si="81"/>
        <v>59.999983906745911</v>
      </c>
      <c r="G53" s="28">
        <f t="shared" si="81"/>
        <v>0</v>
      </c>
      <c r="H53" s="28">
        <f t="shared" si="81"/>
        <v>0</v>
      </c>
      <c r="I53" s="28">
        <f t="shared" si="81"/>
        <v>0</v>
      </c>
      <c r="J53" s="28">
        <f t="shared" si="81"/>
        <v>0</v>
      </c>
      <c r="K53" s="28">
        <f t="shared" si="81"/>
        <v>0</v>
      </c>
      <c r="L53" s="28">
        <f t="shared" si="81"/>
        <v>0</v>
      </c>
      <c r="M53" s="28">
        <f t="shared" ref="M53:U53" si="82">(M51-M52)*60</f>
        <v>0</v>
      </c>
      <c r="N53" s="28">
        <f t="shared" si="82"/>
        <v>0</v>
      </c>
      <c r="O53" s="28">
        <f t="shared" si="82"/>
        <v>4.0233135223388672E-6</v>
      </c>
      <c r="P53" s="28">
        <f t="shared" si="82"/>
        <v>0</v>
      </c>
      <c r="Q53" s="28">
        <f t="shared" si="82"/>
        <v>0</v>
      </c>
      <c r="R53" s="28">
        <f t="shared" si="82"/>
        <v>0</v>
      </c>
      <c r="S53" s="28">
        <f t="shared" si="82"/>
        <v>0</v>
      </c>
      <c r="T53" s="28">
        <f t="shared" si="82"/>
        <v>59.999991953372955</v>
      </c>
      <c r="U53" s="28">
        <f t="shared" si="82"/>
        <v>0</v>
      </c>
      <c r="W53" s="28">
        <f ca="1">(W51-W52)*60</f>
        <v>26.590016484260559</v>
      </c>
    </row>
    <row r="54" spans="3:23" x14ac:dyDescent="0.25">
      <c r="C54" s="4" t="s">
        <v>222</v>
      </c>
      <c r="D54" s="33">
        <f t="shared" ref="D54:L54" si="83">TRUNC(D53)</f>
        <v>24</v>
      </c>
      <c r="E54" s="33">
        <f t="shared" si="83"/>
        <v>0</v>
      </c>
      <c r="F54" s="33">
        <f t="shared" si="83"/>
        <v>59</v>
      </c>
      <c r="G54" s="33">
        <f t="shared" si="83"/>
        <v>0</v>
      </c>
      <c r="H54" s="33">
        <f t="shared" si="83"/>
        <v>0</v>
      </c>
      <c r="I54" s="33">
        <f t="shared" si="83"/>
        <v>0</v>
      </c>
      <c r="J54" s="33">
        <f t="shared" si="83"/>
        <v>0</v>
      </c>
      <c r="K54" s="33">
        <f t="shared" si="83"/>
        <v>0</v>
      </c>
      <c r="L54" s="33">
        <f t="shared" si="83"/>
        <v>0</v>
      </c>
      <c r="M54" s="33">
        <f t="shared" ref="M54:U54" si="84">TRUNC(M53)</f>
        <v>0</v>
      </c>
      <c r="N54" s="33">
        <f t="shared" si="84"/>
        <v>0</v>
      </c>
      <c r="O54" s="33">
        <f t="shared" si="84"/>
        <v>0</v>
      </c>
      <c r="P54" s="33">
        <f t="shared" si="84"/>
        <v>0</v>
      </c>
      <c r="Q54" s="33">
        <f t="shared" si="84"/>
        <v>0</v>
      </c>
      <c r="R54" s="33">
        <f t="shared" si="84"/>
        <v>0</v>
      </c>
      <c r="S54" s="33">
        <f t="shared" si="84"/>
        <v>0</v>
      </c>
      <c r="T54" s="33">
        <f t="shared" si="84"/>
        <v>59</v>
      </c>
      <c r="U54" s="33">
        <f t="shared" si="84"/>
        <v>0</v>
      </c>
      <c r="W54" s="33">
        <f ca="1">TRUNC(W53)</f>
        <v>26</v>
      </c>
    </row>
    <row r="55" spans="3:23" x14ac:dyDescent="0.25">
      <c r="C55" s="4" t="s">
        <v>223</v>
      </c>
      <c r="D55" s="28">
        <f t="shared" ref="D55:L55" si="85">D53-D54</f>
        <v>4.8279762268066406E-6</v>
      </c>
      <c r="E55" s="28">
        <f t="shared" si="85"/>
        <v>0</v>
      </c>
      <c r="F55" s="28">
        <f t="shared" si="85"/>
        <v>0.99998390674591064</v>
      </c>
      <c r="G55" s="28">
        <f t="shared" si="85"/>
        <v>0</v>
      </c>
      <c r="H55" s="28">
        <f t="shared" si="85"/>
        <v>0</v>
      </c>
      <c r="I55" s="28">
        <f t="shared" si="85"/>
        <v>0</v>
      </c>
      <c r="J55" s="28">
        <f t="shared" si="85"/>
        <v>0</v>
      </c>
      <c r="K55" s="28">
        <f t="shared" si="85"/>
        <v>0</v>
      </c>
      <c r="L55" s="28">
        <f t="shared" si="85"/>
        <v>0</v>
      </c>
      <c r="M55" s="28">
        <f t="shared" ref="M55:U55" si="86">M53-M54</f>
        <v>0</v>
      </c>
      <c r="N55" s="28">
        <f t="shared" si="86"/>
        <v>0</v>
      </c>
      <c r="O55" s="28">
        <f t="shared" si="86"/>
        <v>4.0233135223388672E-6</v>
      </c>
      <c r="P55" s="28">
        <f t="shared" si="86"/>
        <v>0</v>
      </c>
      <c r="Q55" s="28">
        <f t="shared" si="86"/>
        <v>0</v>
      </c>
      <c r="R55" s="28">
        <f t="shared" si="86"/>
        <v>0</v>
      </c>
      <c r="S55" s="28">
        <f t="shared" si="86"/>
        <v>0</v>
      </c>
      <c r="T55" s="28">
        <f t="shared" si="86"/>
        <v>0.99999195337295532</v>
      </c>
      <c r="U55" s="28">
        <f t="shared" si="86"/>
        <v>0</v>
      </c>
      <c r="W55" s="28">
        <f ca="1">W53-W54</f>
        <v>0.59001648426055908</v>
      </c>
    </row>
    <row r="56" spans="3:23" x14ac:dyDescent="0.25">
      <c r="C56" s="4" t="s">
        <v>224</v>
      </c>
      <c r="D56" s="34">
        <f t="shared" ref="D56:M56" si="87">TIME(D50,D52,D53)</f>
        <v>0.81</v>
      </c>
      <c r="E56" s="34">
        <f t="shared" si="87"/>
        <v>0.5</v>
      </c>
      <c r="F56" s="34">
        <f t="shared" si="87"/>
        <v>0.29998842592592595</v>
      </c>
      <c r="G56" s="34">
        <f t="shared" si="87"/>
        <v>0</v>
      </c>
      <c r="H56" s="34">
        <f t="shared" si="87"/>
        <v>0</v>
      </c>
      <c r="I56" s="34">
        <f t="shared" si="87"/>
        <v>0.5</v>
      </c>
      <c r="J56" s="34">
        <f t="shared" si="87"/>
        <v>0</v>
      </c>
      <c r="K56" s="34">
        <f t="shared" si="87"/>
        <v>0.5</v>
      </c>
      <c r="L56" s="34">
        <f t="shared" si="87"/>
        <v>0</v>
      </c>
      <c r="M56" s="34">
        <f t="shared" si="87"/>
        <v>0</v>
      </c>
      <c r="N56" s="34">
        <f t="shared" ref="N56:U56" si="88">TIME(N50,N52,N53)</f>
        <v>0</v>
      </c>
      <c r="O56" s="34">
        <f t="shared" si="88"/>
        <v>0.3</v>
      </c>
      <c r="P56" s="34">
        <f t="shared" si="88"/>
        <v>0</v>
      </c>
      <c r="Q56" s="34">
        <f t="shared" si="88"/>
        <v>0</v>
      </c>
      <c r="R56" s="34">
        <f t="shared" si="88"/>
        <v>0.5</v>
      </c>
      <c r="S56" s="34">
        <f t="shared" si="88"/>
        <v>0</v>
      </c>
      <c r="T56" s="34">
        <f t="shared" si="88"/>
        <v>0.89998842592592598</v>
      </c>
      <c r="U56" s="34">
        <f t="shared" si="88"/>
        <v>0.5</v>
      </c>
      <c r="W56" s="34">
        <f ca="1">TIME(W50,W52,W53)</f>
        <v>0.49682870370370374</v>
      </c>
    </row>
    <row r="57" spans="3:23" x14ac:dyDescent="0.25">
      <c r="C57" s="4" t="s">
        <v>218</v>
      </c>
      <c r="D57" s="31">
        <f t="shared" ref="D57:L57" si="89">DATE(D47,D45,D43)+D56</f>
        <v>21097.81</v>
      </c>
      <c r="E57" s="31">
        <f t="shared" si="89"/>
        <v>121654.5</v>
      </c>
      <c r="F57" s="31">
        <f t="shared" si="89"/>
        <v>36526.299988425926</v>
      </c>
      <c r="G57" s="31">
        <f t="shared" si="89"/>
        <v>36161</v>
      </c>
      <c r="H57" s="31">
        <f t="shared" si="89"/>
        <v>31804</v>
      </c>
      <c r="I57" s="31">
        <f t="shared" si="89"/>
        <v>31947.5</v>
      </c>
      <c r="J57" s="31">
        <f t="shared" si="89"/>
        <v>32169</v>
      </c>
      <c r="K57" s="31">
        <f t="shared" si="89"/>
        <v>32313.5</v>
      </c>
      <c r="L57" s="31">
        <f t="shared" si="89"/>
        <v>1</v>
      </c>
      <c r="M57" s="31">
        <f t="shared" ref="M57:U57" si="90">DATE(M47,M45,M43)+M56</f>
        <v>584390</v>
      </c>
      <c r="N57" s="31">
        <f t="shared" si="90"/>
        <v>584754</v>
      </c>
      <c r="O57" s="31">
        <f t="shared" si="90"/>
        <v>305809.3</v>
      </c>
      <c r="P57" s="31" t="e">
        <f t="shared" si="90"/>
        <v>#NUM!</v>
      </c>
      <c r="Q57" s="31" t="e">
        <f t="shared" si="90"/>
        <v>#NUM!</v>
      </c>
      <c r="R57" s="31" t="e">
        <f t="shared" si="90"/>
        <v>#NUM!</v>
      </c>
      <c r="S57" s="31" t="e">
        <f t="shared" si="90"/>
        <v>#NUM!</v>
      </c>
      <c r="T57" s="31" t="e">
        <f t="shared" si="90"/>
        <v>#NUM!</v>
      </c>
      <c r="U57" s="31" t="e">
        <f t="shared" si="90"/>
        <v>#NUM!</v>
      </c>
      <c r="W57" s="31">
        <f ca="1">DATE(W47,W45,W43)+W56</f>
        <v>44853.496828703705</v>
      </c>
    </row>
    <row r="59" spans="3:23" x14ac:dyDescent="0.25">
      <c r="C59" s="4" t="s">
        <v>225</v>
      </c>
      <c r="D59" s="26">
        <f t="shared" ref="D59:M59" si="91">D10</f>
        <v>21097.81</v>
      </c>
      <c r="E59" s="26" t="str">
        <f t="shared" si="91"/>
        <v>333-01-27</v>
      </c>
      <c r="F59" s="26">
        <f t="shared" si="91"/>
        <v>36526.300000000003</v>
      </c>
      <c r="G59" s="26">
        <f t="shared" si="91"/>
        <v>36161</v>
      </c>
      <c r="H59" s="26">
        <f t="shared" si="91"/>
        <v>31804</v>
      </c>
      <c r="I59" s="26">
        <f t="shared" si="91"/>
        <v>31947.5</v>
      </c>
      <c r="J59" s="26">
        <f t="shared" si="91"/>
        <v>32169</v>
      </c>
      <c r="K59" s="26">
        <f t="shared" si="91"/>
        <v>32313.5</v>
      </c>
      <c r="L59" s="26">
        <f t="shared" si="91"/>
        <v>1</v>
      </c>
      <c r="M59" s="26">
        <f t="shared" si="91"/>
        <v>584390</v>
      </c>
      <c r="N59" s="26">
        <f t="shared" ref="N59:U59" si="92">N10</f>
        <v>584390</v>
      </c>
      <c r="O59" s="26">
        <f t="shared" si="92"/>
        <v>584390</v>
      </c>
      <c r="P59" s="26">
        <f t="shared" si="92"/>
        <v>584390</v>
      </c>
      <c r="Q59" s="26">
        <f t="shared" si="92"/>
        <v>584390</v>
      </c>
      <c r="R59" s="26">
        <f t="shared" si="92"/>
        <v>584390</v>
      </c>
      <c r="S59" s="26">
        <f t="shared" si="92"/>
        <v>584390</v>
      </c>
      <c r="T59" s="26">
        <f t="shared" si="92"/>
        <v>584390</v>
      </c>
      <c r="U59" s="26">
        <f t="shared" si="92"/>
        <v>584390</v>
      </c>
      <c r="W59" s="26">
        <f ca="1">W10</f>
        <v>44853.496835532409</v>
      </c>
    </row>
    <row r="68" spans="4:23" x14ac:dyDescent="0.25">
      <c r="D68">
        <v>99</v>
      </c>
      <c r="F68">
        <f>D68/24/60/60/1000</f>
        <v>1.1458333333333333E-6</v>
      </c>
      <c r="W68" t="s">
        <v>255</v>
      </c>
    </row>
    <row r="69" spans="4:23" x14ac:dyDescent="0.25">
      <c r="D69">
        <v>12</v>
      </c>
      <c r="F69">
        <f>D69/24/60/60</f>
        <v>1.3888888888888889E-4</v>
      </c>
      <c r="W69" t="s">
        <v>256</v>
      </c>
    </row>
    <row r="70" spans="4:23" x14ac:dyDescent="0.25">
      <c r="D70">
        <v>12</v>
      </c>
      <c r="F70">
        <f>D70/24/60</f>
        <v>8.3333333333333332E-3</v>
      </c>
      <c r="W70" t="s">
        <v>257</v>
      </c>
    </row>
    <row r="71" spans="4:23" x14ac:dyDescent="0.25">
      <c r="D71">
        <v>12</v>
      </c>
      <c r="F71">
        <f>D71/24</f>
        <v>0.5</v>
      </c>
      <c r="W71" t="s">
        <v>258</v>
      </c>
    </row>
    <row r="72" spans="4:23" x14ac:dyDescent="0.25">
      <c r="D72" s="38">
        <f>TIME(D71,D70,D69)</f>
        <v>0.50847222222222221</v>
      </c>
      <c r="F72" s="39">
        <f>SUM(F68:F71)</f>
        <v>0.50847336805555554</v>
      </c>
    </row>
    <row r="73" spans="4:23" x14ac:dyDescent="0.25">
      <c r="F73" s="39">
        <f>((((((D68/1000)+D69)/60)+D70)/60)+D71)/24</f>
        <v>0.50847336805555554</v>
      </c>
    </row>
  </sheetData>
  <mergeCells count="2">
    <mergeCell ref="B9:C9"/>
    <mergeCell ref="B29:C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A8FD-D406-46F6-90A3-29E55C0A05E8}">
  <dimension ref="B3:H19"/>
  <sheetViews>
    <sheetView zoomScaleNormal="100" workbookViewId="0">
      <selection activeCell="D22" sqref="D22"/>
    </sheetView>
  </sheetViews>
  <sheetFormatPr defaultRowHeight="15" x14ac:dyDescent="0.25"/>
  <cols>
    <col min="2" max="5" width="24.140625" customWidth="1"/>
  </cols>
  <sheetData>
    <row r="3" spans="2:8" ht="18.75" x14ac:dyDescent="0.3">
      <c r="B3" s="49" t="s">
        <v>54</v>
      </c>
      <c r="C3" s="49"/>
      <c r="D3" s="49"/>
      <c r="E3" s="15"/>
    </row>
    <row r="4" spans="2:8" ht="18.75" x14ac:dyDescent="0.3">
      <c r="B4" s="50" t="s">
        <v>67</v>
      </c>
      <c r="C4" s="50"/>
      <c r="D4" s="50"/>
      <c r="E4" s="15"/>
    </row>
    <row r="5" spans="2:8" ht="18.75" x14ac:dyDescent="0.3">
      <c r="B5" s="14" t="s">
        <v>19</v>
      </c>
      <c r="C5" s="14" t="s">
        <v>20</v>
      </c>
      <c r="D5" s="14" t="s">
        <v>21</v>
      </c>
      <c r="E5" s="14" t="s">
        <v>65</v>
      </c>
    </row>
    <row r="6" spans="2:8" ht="18.75" x14ac:dyDescent="0.3">
      <c r="B6" s="16" t="s">
        <v>18</v>
      </c>
      <c r="C6" s="16">
        <v>19</v>
      </c>
      <c r="D6" s="17" t="s">
        <v>23</v>
      </c>
      <c r="E6" s="16" t="s">
        <v>0</v>
      </c>
    </row>
    <row r="7" spans="2:8" ht="18.75" x14ac:dyDescent="0.3">
      <c r="B7" s="16" t="s">
        <v>18</v>
      </c>
      <c r="C7" s="16">
        <v>100</v>
      </c>
      <c r="D7" s="16" t="s">
        <v>1</v>
      </c>
      <c r="E7" s="16" t="s">
        <v>2</v>
      </c>
      <c r="G7" s="16" t="s">
        <v>94</v>
      </c>
    </row>
    <row r="8" spans="2:8" ht="18.75" x14ac:dyDescent="0.3">
      <c r="B8" s="16" t="s">
        <v>1</v>
      </c>
      <c r="C8" s="16">
        <v>4</v>
      </c>
      <c r="D8" s="16" t="s">
        <v>3</v>
      </c>
      <c r="E8" s="16" t="s">
        <v>4</v>
      </c>
      <c r="G8" s="16" t="s">
        <v>2</v>
      </c>
      <c r="H8" s="16" t="s">
        <v>5</v>
      </c>
    </row>
    <row r="9" spans="2:8" ht="18.75" x14ac:dyDescent="0.3">
      <c r="B9" s="16" t="s">
        <v>24</v>
      </c>
      <c r="C9" s="16">
        <v>25</v>
      </c>
      <c r="D9" s="16" t="s">
        <v>5</v>
      </c>
      <c r="E9" s="17" t="s">
        <v>23</v>
      </c>
      <c r="G9" s="16" t="s">
        <v>4</v>
      </c>
      <c r="H9" s="16" t="s">
        <v>6</v>
      </c>
    </row>
    <row r="10" spans="2:8" ht="18.75" x14ac:dyDescent="0.3">
      <c r="B10" s="16" t="s">
        <v>25</v>
      </c>
      <c r="C10" s="16">
        <v>3</v>
      </c>
      <c r="D10" s="16" t="s">
        <v>6</v>
      </c>
      <c r="E10" s="17" t="s">
        <v>23</v>
      </c>
      <c r="G10" s="16" t="s">
        <v>9</v>
      </c>
      <c r="H10" s="16" t="s">
        <v>3</v>
      </c>
    </row>
    <row r="11" spans="2:8" ht="18.75" x14ac:dyDescent="0.3">
      <c r="B11" s="16" t="s">
        <v>26</v>
      </c>
      <c r="C11" s="16">
        <v>30</v>
      </c>
      <c r="D11" s="17" t="s">
        <v>23</v>
      </c>
      <c r="E11" s="16" t="s">
        <v>7</v>
      </c>
      <c r="G11" s="16" t="s">
        <v>11</v>
      </c>
      <c r="H11" s="16" t="s">
        <v>8</v>
      </c>
    </row>
    <row r="12" spans="2:8" ht="18.75" x14ac:dyDescent="0.3">
      <c r="B12" s="16" t="s">
        <v>2</v>
      </c>
      <c r="C12" s="16">
        <v>4</v>
      </c>
      <c r="D12" s="16" t="s">
        <v>8</v>
      </c>
      <c r="E12" s="16" t="s">
        <v>9</v>
      </c>
      <c r="G12" s="16" t="s">
        <v>12</v>
      </c>
    </row>
    <row r="13" spans="2:8" ht="18.75" x14ac:dyDescent="0.3">
      <c r="B13" s="16" t="s">
        <v>27</v>
      </c>
      <c r="C13" s="16">
        <v>7</v>
      </c>
      <c r="D13" s="17" t="s">
        <v>23</v>
      </c>
      <c r="E13" s="16" t="s">
        <v>10</v>
      </c>
      <c r="G13" s="16" t="s">
        <v>13</v>
      </c>
    </row>
    <row r="14" spans="2:8" ht="18.75" x14ac:dyDescent="0.3">
      <c r="B14" s="16" t="s">
        <v>66</v>
      </c>
      <c r="C14" s="16">
        <v>451</v>
      </c>
      <c r="D14" s="16" t="s">
        <v>11</v>
      </c>
      <c r="E14" s="17" t="s">
        <v>23</v>
      </c>
    </row>
    <row r="15" spans="2:8" ht="18.75" x14ac:dyDescent="0.3">
      <c r="B15" s="16" t="s">
        <v>28</v>
      </c>
      <c r="C15" s="16">
        <v>31</v>
      </c>
      <c r="D15" s="16" t="s">
        <v>12</v>
      </c>
      <c r="E15" s="16" t="s">
        <v>13</v>
      </c>
    </row>
    <row r="18" spans="2:2" ht="18.75" x14ac:dyDescent="0.3">
      <c r="B18" s="16" t="s">
        <v>93</v>
      </c>
    </row>
    <row r="19" spans="2:2" ht="18.75" x14ac:dyDescent="0.3">
      <c r="B19" s="16" t="s">
        <v>92</v>
      </c>
    </row>
  </sheetData>
  <mergeCells count="2">
    <mergeCell ref="B3:D3"/>
    <mergeCell ref="B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Bits</vt:lpstr>
      <vt:lpstr>Easter Calcs</vt:lpstr>
      <vt:lpstr>Solstices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Charles</dc:creator>
  <cp:lastModifiedBy>Moore, Charles</cp:lastModifiedBy>
  <dcterms:created xsi:type="dcterms:W3CDTF">2022-10-03T13:42:07Z</dcterms:created>
  <dcterms:modified xsi:type="dcterms:W3CDTF">2022-10-19T15:55:36Z</dcterms:modified>
</cp:coreProperties>
</file>