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-Alexis\Documents\edhrecEnhanced\collection\"/>
    </mc:Choice>
  </mc:AlternateContent>
  <xr:revisionPtr revIDLastSave="0" documentId="13_ncr:1_{AD65069C-8EF6-45E4-9605-3D57E161F4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8" i="1" l="1"/>
  <c r="A1857" i="1"/>
  <c r="A1856" i="1"/>
  <c r="A1845" i="1"/>
  <c r="A1855" i="1"/>
  <c r="A1854" i="1"/>
  <c r="A1853" i="1"/>
  <c r="A1844" i="1"/>
  <c r="A1843" i="1"/>
  <c r="A1842" i="1"/>
  <c r="A1841" i="1"/>
  <c r="A1840" i="1"/>
  <c r="A1852" i="1"/>
  <c r="A1839" i="1"/>
  <c r="A1851" i="1"/>
  <c r="A1826" i="1"/>
  <c r="A1850" i="1"/>
  <c r="A1825" i="1"/>
  <c r="A1824" i="1"/>
  <c r="A1823" i="1"/>
  <c r="A1822" i="1"/>
  <c r="A1821" i="1"/>
  <c r="A1838" i="1"/>
  <c r="A1849" i="1"/>
  <c r="A1837" i="1"/>
  <c r="A1836" i="1"/>
  <c r="A1835" i="1"/>
  <c r="A1820" i="1"/>
  <c r="A1819" i="1"/>
  <c r="A1805" i="1"/>
  <c r="A1818" i="1"/>
  <c r="A1817" i="1"/>
  <c r="A1804" i="1"/>
  <c r="A1803" i="1"/>
  <c r="A1802" i="1"/>
  <c r="A1801" i="1"/>
  <c r="A1834" i="1"/>
  <c r="A1816" i="1"/>
  <c r="A1800" i="1"/>
  <c r="A1833" i="1"/>
  <c r="A1799" i="1"/>
  <c r="A1798" i="1"/>
  <c r="A1797" i="1"/>
  <c r="A1796" i="1"/>
  <c r="A1815" i="1"/>
  <c r="A1832" i="1"/>
  <c r="A1758" i="1"/>
  <c r="A1757" i="1"/>
  <c r="A1795" i="1"/>
  <c r="A1781" i="1"/>
  <c r="A1794" i="1"/>
  <c r="A1814" i="1"/>
  <c r="A1848" i="1"/>
  <c r="A1780" i="1"/>
  <c r="A1779" i="1"/>
  <c r="A1756" i="1"/>
  <c r="A1778" i="1"/>
  <c r="A1831" i="1"/>
  <c r="A1777" i="1"/>
  <c r="A1755" i="1"/>
  <c r="A1776" i="1"/>
  <c r="A1847" i="1"/>
  <c r="A1724" i="1"/>
  <c r="A1793" i="1"/>
  <c r="A1792" i="1"/>
  <c r="A1754" i="1"/>
  <c r="A1813" i="1"/>
  <c r="A1791" i="1"/>
  <c r="A1775" i="1"/>
  <c r="A1830" i="1"/>
  <c r="A1846" i="1"/>
  <c r="A1812" i="1"/>
  <c r="A1829" i="1"/>
  <c r="A1753" i="1"/>
  <c r="A1752" i="1"/>
  <c r="A1723" i="1"/>
  <c r="A1774" i="1"/>
  <c r="A1773" i="1"/>
  <c r="A1790" i="1"/>
  <c r="A1772" i="1"/>
  <c r="A1771" i="1"/>
  <c r="A1751" i="1"/>
  <c r="A1750" i="1"/>
  <c r="A1749" i="1"/>
  <c r="A1722" i="1"/>
  <c r="A1748" i="1"/>
  <c r="A1770" i="1"/>
  <c r="A1789" i="1"/>
  <c r="A1721" i="1"/>
  <c r="A1720" i="1"/>
  <c r="A1788" i="1"/>
  <c r="A1747" i="1"/>
  <c r="A1828" i="1"/>
  <c r="A1689" i="1"/>
  <c r="A1769" i="1"/>
  <c r="A1768" i="1"/>
  <c r="A1767" i="1"/>
  <c r="A1746" i="1"/>
  <c r="A1745" i="1"/>
  <c r="A1744" i="1"/>
  <c r="A1648" i="1"/>
  <c r="A1719" i="1"/>
  <c r="A1787" i="1"/>
  <c r="A1688" i="1"/>
  <c r="A1786" i="1"/>
  <c r="A1766" i="1"/>
  <c r="A1718" i="1"/>
  <c r="A1687" i="1"/>
  <c r="A1785" i="1"/>
  <c r="A1765" i="1"/>
  <c r="A1600" i="1"/>
  <c r="A1717" i="1"/>
  <c r="A1827" i="1"/>
  <c r="A1743" i="1"/>
  <c r="A1686" i="1"/>
  <c r="A1716" i="1"/>
  <c r="A1715" i="1"/>
  <c r="A1714" i="1"/>
  <c r="A1742" i="1"/>
  <c r="A1685" i="1"/>
  <c r="A1811" i="1"/>
  <c r="A1684" i="1"/>
  <c r="A1741" i="1"/>
  <c r="A1740" i="1"/>
  <c r="A1739" i="1"/>
  <c r="A1784" i="1"/>
  <c r="A1713" i="1"/>
  <c r="A1683" i="1"/>
  <c r="A1712" i="1"/>
  <c r="A1711" i="1"/>
  <c r="A1738" i="1"/>
  <c r="A1682" i="1"/>
  <c r="A1710" i="1"/>
  <c r="A1647" i="1"/>
  <c r="A1680" i="1"/>
  <c r="A1810" i="1"/>
  <c r="A1764" i="1"/>
  <c r="A1679" i="1"/>
  <c r="A1709" i="1"/>
  <c r="A1763" i="1"/>
  <c r="A1708" i="1"/>
  <c r="A1707" i="1"/>
  <c r="A1762" i="1"/>
  <c r="A1550" i="1"/>
  <c r="A1599" i="1"/>
  <c r="A1646" i="1"/>
  <c r="A1678" i="1"/>
  <c r="A1706" i="1"/>
  <c r="A1783" i="1"/>
  <c r="A1705" i="1"/>
  <c r="A1704" i="1"/>
  <c r="A1737" i="1"/>
  <c r="A1809" i="1"/>
  <c r="A1808" i="1"/>
  <c r="A1807" i="1"/>
  <c r="A1703" i="1"/>
  <c r="A1598" i="1"/>
  <c r="A1702" i="1"/>
  <c r="A1645" i="1"/>
  <c r="A1677" i="1"/>
  <c r="A1761" i="1"/>
  <c r="A1644" i="1"/>
  <c r="A1676" i="1"/>
  <c r="A1736" i="1"/>
  <c r="A1701" i="1"/>
  <c r="A1597" i="1"/>
  <c r="A1806" i="1"/>
  <c r="A1675" i="1"/>
  <c r="A1548" i="1"/>
  <c r="A1547" i="1"/>
  <c r="A1735" i="1"/>
  <c r="A1734" i="1"/>
  <c r="A1733" i="1"/>
  <c r="A1732" i="1"/>
  <c r="A1642" i="1"/>
  <c r="A1641" i="1"/>
  <c r="A1760" i="1"/>
  <c r="A1673" i="1"/>
  <c r="A1731" i="1"/>
  <c r="A1640" i="1"/>
  <c r="A1546" i="1"/>
  <c r="A1639" i="1"/>
  <c r="A1595" i="1"/>
  <c r="A1638" i="1"/>
  <c r="A1637" i="1"/>
  <c r="A1671" i="1"/>
  <c r="A1670" i="1"/>
  <c r="A1594" i="1"/>
  <c r="A1593" i="1"/>
  <c r="A1730" i="1"/>
  <c r="A1592" i="1"/>
  <c r="A1635" i="1"/>
  <c r="A1668" i="1"/>
  <c r="A1634" i="1"/>
  <c r="A1491" i="1"/>
  <c r="A1633" i="1"/>
  <c r="A1545" i="1"/>
  <c r="A1698" i="1"/>
  <c r="A1544" i="1"/>
  <c r="A1632" i="1"/>
  <c r="A1629" i="1"/>
  <c r="A1697" i="1"/>
  <c r="A1628" i="1"/>
  <c r="A1729" i="1"/>
  <c r="A1728" i="1"/>
  <c r="A1589" i="1"/>
  <c r="A1696" i="1"/>
  <c r="A1627" i="1"/>
  <c r="A1695" i="1"/>
  <c r="A1541" i="1"/>
  <c r="A1540" i="1"/>
  <c r="A1588" i="1"/>
  <c r="A1626" i="1"/>
  <c r="A1666" i="1"/>
  <c r="A1587" i="1"/>
  <c r="A1727" i="1"/>
  <c r="A1625" i="1"/>
  <c r="A1726" i="1"/>
  <c r="A1665" i="1"/>
  <c r="A1782" i="1"/>
  <c r="A1759" i="1"/>
  <c r="A1694" i="1"/>
  <c r="A1586" i="1"/>
  <c r="A1585" i="1"/>
  <c r="A1624" i="1"/>
  <c r="A1664" i="1"/>
  <c r="A1486" i="1"/>
  <c r="A1725" i="1"/>
  <c r="A1538" i="1"/>
  <c r="A1537" i="1"/>
  <c r="A1485" i="1"/>
  <c r="A1536" i="1"/>
  <c r="A1484" i="1"/>
  <c r="A1535" i="1"/>
  <c r="A1584" i="1"/>
  <c r="A1662" i="1"/>
  <c r="A1583" i="1"/>
  <c r="A1623" i="1"/>
  <c r="A1370" i="1"/>
  <c r="A1534" i="1"/>
  <c r="A1622" i="1"/>
  <c r="A1621" i="1"/>
  <c r="A1580" i="1"/>
  <c r="A1532" i="1"/>
  <c r="A1579" i="1"/>
  <c r="A1531" i="1"/>
  <c r="A1368" i="1"/>
  <c r="A1578" i="1"/>
  <c r="A1577" i="1"/>
  <c r="A1620" i="1"/>
  <c r="A1660" i="1"/>
  <c r="A1530" i="1"/>
  <c r="A1482" i="1"/>
  <c r="A1366" i="1"/>
  <c r="A1529" i="1"/>
  <c r="A1693" i="1"/>
  <c r="A1365" i="1"/>
  <c r="A1364" i="1"/>
  <c r="A1692" i="1"/>
  <c r="A1619" i="1"/>
  <c r="A1576" i="1"/>
  <c r="A1691" i="1"/>
  <c r="A1527" i="1"/>
  <c r="A1658" i="1"/>
  <c r="A1575" i="1"/>
  <c r="A1574" i="1"/>
  <c r="A1616" i="1"/>
  <c r="A1526" i="1"/>
  <c r="A1572" i="1"/>
  <c r="A1295" i="1"/>
  <c r="A1571" i="1"/>
  <c r="A1433" i="1"/>
  <c r="A1615" i="1"/>
  <c r="A1362" i="1"/>
  <c r="A1570" i="1"/>
  <c r="A1569" i="1"/>
  <c r="A1568" i="1"/>
  <c r="A1473" i="1"/>
  <c r="A1523" i="1"/>
  <c r="A1657" i="1"/>
  <c r="A1567" i="1"/>
  <c r="A1656" i="1"/>
  <c r="A1614" i="1"/>
  <c r="A1429" i="1"/>
  <c r="A1472" i="1"/>
  <c r="A1521" i="1"/>
  <c r="A1470" i="1"/>
  <c r="A1520" i="1"/>
  <c r="A1565" i="1"/>
  <c r="A1613" i="1"/>
  <c r="A1427" i="1"/>
  <c r="A1426" i="1"/>
  <c r="A1612" i="1"/>
  <c r="A1358" i="1"/>
  <c r="A1611" i="1"/>
  <c r="A1564" i="1"/>
  <c r="A1519" i="1"/>
  <c r="A1468" i="1"/>
  <c r="A1608" i="1"/>
  <c r="A1467" i="1"/>
  <c r="A1655" i="1"/>
  <c r="A1466" i="1"/>
  <c r="A1563" i="1"/>
  <c r="A1291" i="1"/>
  <c r="A1607" i="1"/>
  <c r="A1424" i="1"/>
  <c r="A1518" i="1"/>
  <c r="A1357" i="1"/>
  <c r="A1421" i="1"/>
  <c r="A1517" i="1"/>
  <c r="A1210" i="1"/>
  <c r="A1606" i="1"/>
  <c r="A1516" i="1"/>
  <c r="A1289" i="1"/>
  <c r="A1515" i="1"/>
  <c r="A1514" i="1"/>
  <c r="A1513" i="1"/>
  <c r="A1654" i="1"/>
  <c r="A1690" i="1"/>
  <c r="A1653" i="1"/>
  <c r="A1286" i="1"/>
  <c r="A1652" i="1"/>
  <c r="A1512" i="1"/>
  <c r="A1284" i="1"/>
  <c r="A1605" i="1"/>
  <c r="A1561" i="1"/>
  <c r="A1511" i="1"/>
  <c r="A1352" i="1"/>
  <c r="A985" i="1"/>
  <c r="A1464" i="1"/>
  <c r="A1351" i="1"/>
  <c r="A1417" i="1"/>
  <c r="A1416" i="1"/>
  <c r="A1349" i="1"/>
  <c r="A1510" i="1"/>
  <c r="A1559" i="1"/>
  <c r="A1651" i="1"/>
  <c r="A1347" i="1"/>
  <c r="A1415" i="1"/>
  <c r="A1346" i="1"/>
  <c r="A1345" i="1"/>
  <c r="A1557" i="1"/>
  <c r="A1283" i="1"/>
  <c r="A1556" i="1"/>
  <c r="A1414" i="1"/>
  <c r="A1413" i="1"/>
  <c r="A1282" i="1"/>
  <c r="A1411" i="1"/>
  <c r="A1555" i="1"/>
  <c r="A1281" i="1"/>
  <c r="A1461" i="1"/>
  <c r="A1280" i="1"/>
  <c r="A1343" i="1"/>
  <c r="A1279" i="1"/>
  <c r="A1409" i="1"/>
  <c r="A1650" i="1"/>
  <c r="A1278" i="1"/>
  <c r="A1408" i="1"/>
  <c r="A1206" i="1"/>
  <c r="A1407" i="1"/>
  <c r="A983" i="1"/>
  <c r="A1603" i="1"/>
  <c r="A1553" i="1"/>
  <c r="A1552" i="1"/>
  <c r="A1506" i="1"/>
  <c r="A1335" i="1"/>
  <c r="A1276" i="1"/>
  <c r="A1334" i="1"/>
  <c r="A1459" i="1"/>
  <c r="A1404" i="1"/>
  <c r="A1275" i="1"/>
  <c r="A982" i="1"/>
  <c r="A1458" i="1"/>
  <c r="A1333" i="1"/>
  <c r="A1332" i="1"/>
  <c r="A1331" i="1"/>
  <c r="A1403" i="1"/>
  <c r="A1505" i="1"/>
  <c r="A1402" i="1"/>
  <c r="A1401" i="1"/>
  <c r="A1457" i="1"/>
  <c r="A1602" i="1"/>
  <c r="A1456" i="1"/>
  <c r="A1455" i="1"/>
  <c r="A1504" i="1"/>
  <c r="A1454" i="1"/>
  <c r="A1503" i="1"/>
  <c r="A1601" i="1"/>
  <c r="A1649" i="1"/>
  <c r="A1399" i="1"/>
  <c r="A1398" i="1"/>
  <c r="A1397" i="1"/>
  <c r="A1502" i="1"/>
  <c r="A1396" i="1"/>
  <c r="A1270" i="1"/>
  <c r="A1394" i="1"/>
  <c r="A1393" i="1"/>
  <c r="A1453" i="1"/>
  <c r="A1452" i="1"/>
  <c r="A1391" i="1"/>
  <c r="A1390" i="1"/>
  <c r="A1501" i="1"/>
  <c r="A1389" i="1"/>
  <c r="A1451" i="1"/>
  <c r="A1500" i="1"/>
  <c r="A1199" i="1"/>
  <c r="A1080" i="1"/>
  <c r="A1198" i="1"/>
  <c r="A1449" i="1"/>
  <c r="A1195" i="1"/>
  <c r="A1194" i="1"/>
  <c r="A1499" i="1"/>
  <c r="A1327" i="1"/>
  <c r="A1265" i="1"/>
  <c r="A1498" i="1"/>
  <c r="A1325" i="1"/>
  <c r="A1192" i="1"/>
  <c r="A1191" i="1"/>
  <c r="A1188" i="1"/>
  <c r="A1187" i="1"/>
  <c r="A1497" i="1"/>
  <c r="A1323" i="1"/>
  <c r="A1447" i="1"/>
  <c r="A1183" i="1"/>
  <c r="A1383" i="1"/>
  <c r="A971" i="1"/>
  <c r="A1382" i="1"/>
  <c r="A1381" i="1"/>
  <c r="A1180" i="1"/>
  <c r="A1380" i="1"/>
  <c r="A969" i="1"/>
  <c r="A1379" i="1"/>
  <c r="A1260" i="1"/>
  <c r="A1322" i="1"/>
  <c r="A1496" i="1"/>
  <c r="A1321" i="1"/>
  <c r="A1258" i="1"/>
  <c r="A1257" i="1"/>
  <c r="A1256" i="1"/>
  <c r="A1255" i="1"/>
  <c r="A1254" i="1"/>
  <c r="A1178" i="1"/>
  <c r="A1378" i="1"/>
  <c r="A1253" i="1"/>
  <c r="A1495" i="1"/>
  <c r="A726" i="1"/>
  <c r="A1318" i="1"/>
  <c r="A1069" i="1"/>
  <c r="A1252" i="1"/>
  <c r="A1067" i="1"/>
  <c r="A1494" i="1"/>
  <c r="A1446" i="1"/>
  <c r="A1250" i="1"/>
  <c r="A1377" i="1"/>
  <c r="A1249" i="1"/>
  <c r="A855" i="1"/>
  <c r="A725" i="1"/>
  <c r="A1317" i="1"/>
  <c r="A1174" i="1"/>
  <c r="A1316" i="1"/>
  <c r="A1376" i="1"/>
  <c r="A1173" i="1"/>
  <c r="A1375" i="1"/>
  <c r="A852" i="1"/>
  <c r="A1170" i="1"/>
  <c r="A1247" i="1"/>
  <c r="A1063" i="1"/>
  <c r="A1169" i="1"/>
  <c r="A1312" i="1"/>
  <c r="A1165" i="1"/>
  <c r="A851" i="1"/>
  <c r="A1445" i="1"/>
  <c r="A1163" i="1"/>
  <c r="A1055" i="1"/>
  <c r="A1054" i="1"/>
  <c r="A1053" i="1"/>
  <c r="A1243" i="1"/>
  <c r="A1310" i="1"/>
  <c r="A960" i="1"/>
  <c r="A1162" i="1"/>
  <c r="A1161" i="1"/>
  <c r="A1160" i="1"/>
  <c r="A1551" i="1"/>
  <c r="A959" i="1"/>
  <c r="A1050" i="1"/>
  <c r="A1159" i="1"/>
  <c r="A1240" i="1"/>
  <c r="A1373" i="1"/>
  <c r="A1158" i="1"/>
  <c r="A1444" i="1"/>
  <c r="A1443" i="1"/>
  <c r="A1048" i="1"/>
  <c r="A1047" i="1"/>
  <c r="A845" i="1"/>
  <c r="A844" i="1"/>
  <c r="A1155" i="1"/>
  <c r="A840" i="1"/>
  <c r="A953" i="1"/>
  <c r="A1154" i="1"/>
  <c r="A952" i="1"/>
  <c r="A1153" i="1"/>
  <c r="A1152" i="1"/>
  <c r="A434" i="1"/>
  <c r="A951" i="1"/>
  <c r="A838" i="1"/>
  <c r="A1239" i="1"/>
  <c r="A1044" i="1"/>
  <c r="A837" i="1"/>
  <c r="A1043" i="1"/>
  <c r="A836" i="1"/>
  <c r="A1150" i="1"/>
  <c r="A1237" i="1"/>
  <c r="A1149" i="1"/>
  <c r="A1148" i="1"/>
  <c r="A1041" i="1"/>
  <c r="A1372" i="1"/>
  <c r="A1235" i="1"/>
  <c r="A1040" i="1"/>
  <c r="A834" i="1"/>
  <c r="A1307" i="1"/>
  <c r="A1145" i="1"/>
  <c r="A948" i="1"/>
  <c r="A1306" i="1"/>
  <c r="A832" i="1"/>
  <c r="A1441" i="1"/>
  <c r="A708" i="1"/>
  <c r="A1304" i="1"/>
  <c r="A1234" i="1"/>
  <c r="A1440" i="1"/>
  <c r="A1233" i="1"/>
  <c r="A586" i="1"/>
  <c r="A1231" i="1"/>
  <c r="A1138" i="1"/>
  <c r="A1303" i="1"/>
  <c r="A939" i="1"/>
  <c r="A1229" i="1"/>
  <c r="A938" i="1"/>
  <c r="A1037" i="1"/>
  <c r="A936" i="1"/>
  <c r="A829" i="1"/>
  <c r="A1137" i="1"/>
  <c r="A1036" i="1"/>
  <c r="A827" i="1"/>
  <c r="A1136" i="1"/>
  <c r="A1227" i="1"/>
  <c r="A825" i="1"/>
  <c r="A1226" i="1"/>
  <c r="A1302" i="1"/>
  <c r="A934" i="1"/>
  <c r="A1135" i="1"/>
  <c r="A1225" i="1"/>
  <c r="A933" i="1"/>
  <c r="A932" i="1"/>
  <c r="A1134" i="1"/>
  <c r="A1035" i="1"/>
  <c r="A1301" i="1"/>
  <c r="A931" i="1"/>
  <c r="A705" i="1"/>
  <c r="A1033" i="1"/>
  <c r="A1133" i="1"/>
  <c r="A1132" i="1"/>
  <c r="A929" i="1"/>
  <c r="A927" i="1"/>
  <c r="A1224" i="1"/>
  <c r="A1130" i="1"/>
  <c r="A1222" i="1"/>
  <c r="A582" i="1"/>
  <c r="A1127" i="1"/>
  <c r="A1300" i="1"/>
  <c r="A701" i="1"/>
  <c r="A1126" i="1"/>
  <c r="A1221" i="1"/>
  <c r="A819" i="1"/>
  <c r="A1125" i="1"/>
  <c r="A817" i="1"/>
  <c r="A1121" i="1"/>
  <c r="A1120" i="1"/>
  <c r="A1119" i="1"/>
  <c r="A1298" i="1"/>
  <c r="A1028" i="1"/>
  <c r="A815" i="1"/>
  <c r="A814" i="1"/>
  <c r="A697" i="1"/>
  <c r="A1219" i="1"/>
  <c r="A574" i="1"/>
  <c r="A573" i="1"/>
  <c r="A920" i="1"/>
  <c r="A919" i="1"/>
  <c r="A694" i="1"/>
  <c r="A811" i="1"/>
  <c r="A917" i="1"/>
  <c r="A1114" i="1"/>
  <c r="A1215" i="1"/>
  <c r="A1111" i="1"/>
  <c r="A1027" i="1"/>
  <c r="A1110" i="1"/>
  <c r="A1026" i="1"/>
  <c r="A1023" i="1"/>
  <c r="A299" i="1"/>
  <c r="A1109" i="1"/>
  <c r="A806" i="1"/>
  <c r="A298" i="1"/>
  <c r="A567" i="1"/>
  <c r="A1108" i="1"/>
  <c r="A805" i="1"/>
  <c r="A913" i="1"/>
  <c r="A688" i="1"/>
  <c r="A1105" i="1"/>
  <c r="A1020" i="1"/>
  <c r="A1104" i="1"/>
  <c r="A686" i="1"/>
  <c r="A685" i="1"/>
  <c r="A563" i="1"/>
  <c r="A1019" i="1"/>
  <c r="A1103" i="1"/>
  <c r="A910" i="1"/>
  <c r="A1017" i="1"/>
  <c r="A800" i="1"/>
  <c r="A799" i="1"/>
  <c r="A562" i="1"/>
  <c r="A1015" i="1"/>
  <c r="A426" i="1"/>
  <c r="A908" i="1"/>
  <c r="A1014" i="1"/>
  <c r="A795" i="1"/>
  <c r="A794" i="1"/>
  <c r="A425" i="1"/>
  <c r="A1102" i="1"/>
  <c r="A296" i="1"/>
  <c r="A676" i="1"/>
  <c r="A1010" i="1"/>
  <c r="A554" i="1"/>
  <c r="A1100" i="1"/>
  <c r="A1099" i="1"/>
  <c r="A1007" i="1"/>
  <c r="A547" i="1"/>
  <c r="A1006" i="1"/>
  <c r="A785" i="1"/>
  <c r="A898" i="1"/>
  <c r="A1098" i="1"/>
  <c r="A1005" i="1"/>
  <c r="A666" i="1"/>
  <c r="A1097" i="1"/>
  <c r="A896" i="1"/>
  <c r="A1297" i="1"/>
  <c r="A416" i="1"/>
  <c r="A782" i="1"/>
  <c r="A539" i="1"/>
  <c r="A895" i="1"/>
  <c r="A538" i="1"/>
  <c r="A414" i="1"/>
  <c r="A537" i="1"/>
  <c r="A894" i="1"/>
  <c r="A1213" i="1"/>
  <c r="A1096" i="1"/>
  <c r="A780" i="1"/>
  <c r="A662" i="1"/>
  <c r="A779" i="1"/>
  <c r="A893" i="1"/>
  <c r="A892" i="1"/>
  <c r="A661" i="1"/>
  <c r="A289" i="1"/>
  <c r="A288" i="1"/>
  <c r="A1000" i="1"/>
  <c r="A775" i="1"/>
  <c r="A773" i="1"/>
  <c r="A657" i="1"/>
  <c r="A656" i="1"/>
  <c r="A772" i="1"/>
  <c r="A409" i="1"/>
  <c r="A653" i="1"/>
  <c r="A408" i="1"/>
  <c r="A890" i="1"/>
  <c r="A770" i="1"/>
  <c r="A526" i="1"/>
  <c r="A1095" i="1"/>
  <c r="A405" i="1"/>
  <c r="A769" i="1"/>
  <c r="A999" i="1"/>
  <c r="A652" i="1"/>
  <c r="A766" i="1"/>
  <c r="A765" i="1"/>
  <c r="A523" i="1"/>
  <c r="A651" i="1"/>
  <c r="A402" i="1"/>
  <c r="A521" i="1"/>
  <c r="A649" i="1"/>
  <c r="A887" i="1"/>
  <c r="A997" i="1"/>
  <c r="A400" i="1"/>
  <c r="A996" i="1"/>
  <c r="A995" i="1"/>
  <c r="A1094" i="1"/>
  <c r="A1093" i="1"/>
  <c r="A398" i="1"/>
  <c r="A883" i="1"/>
  <c r="A882" i="1"/>
  <c r="A754" i="1"/>
  <c r="A881" i="1"/>
  <c r="A395" i="1"/>
  <c r="A993" i="1"/>
  <c r="A394" i="1"/>
  <c r="A880" i="1"/>
  <c r="A646" i="1"/>
  <c r="A879" i="1"/>
  <c r="A878" i="1"/>
  <c r="A876" i="1"/>
  <c r="A992" i="1"/>
  <c r="A641" i="1"/>
  <c r="A640" i="1"/>
  <c r="A390" i="1"/>
  <c r="A637" i="1"/>
  <c r="A633" i="1"/>
  <c r="A632" i="1"/>
  <c r="A389" i="1"/>
  <c r="A991" i="1"/>
  <c r="A280" i="1"/>
  <c r="A388" i="1"/>
  <c r="A989" i="1"/>
  <c r="A630" i="1"/>
  <c r="A505" i="1"/>
  <c r="A504" i="1"/>
  <c r="A192" i="1"/>
  <c r="A871" i="1"/>
  <c r="A385" i="1"/>
  <c r="A190" i="1"/>
  <c r="A629" i="1"/>
  <c r="A383" i="1"/>
  <c r="A382" i="1"/>
  <c r="A747" i="1"/>
  <c r="A381" i="1"/>
  <c r="A746" i="1"/>
  <c r="A627" i="1"/>
  <c r="A499" i="1"/>
  <c r="A744" i="1"/>
  <c r="A497" i="1"/>
  <c r="A869" i="1"/>
  <c r="A626" i="1"/>
  <c r="A494" i="1"/>
  <c r="A741" i="1"/>
  <c r="A493" i="1"/>
  <c r="A740" i="1"/>
  <c r="A188" i="1"/>
  <c r="A738" i="1"/>
  <c r="A621" i="1"/>
  <c r="A491" i="1"/>
  <c r="A374" i="1"/>
  <c r="A489" i="1"/>
  <c r="A487" i="1"/>
  <c r="A57" i="1"/>
  <c r="A122" i="1"/>
  <c r="A618" i="1"/>
  <c r="A186" i="1"/>
  <c r="A371" i="1"/>
  <c r="A736" i="1"/>
  <c r="A867" i="1"/>
  <c r="A270" i="1"/>
  <c r="A121" i="1"/>
  <c r="A369" i="1"/>
  <c r="A614" i="1"/>
  <c r="A185" i="1"/>
  <c r="A183" i="1"/>
  <c r="A56" i="1"/>
  <c r="A479" i="1"/>
  <c r="A986" i="1"/>
  <c r="A182" i="1"/>
  <c r="A477" i="1"/>
  <c r="A476" i="1"/>
  <c r="A180" i="1"/>
  <c r="A116" i="1"/>
  <c r="A474" i="1"/>
  <c r="A179" i="1"/>
  <c r="A734" i="1"/>
  <c r="A471" i="1"/>
  <c r="A470" i="1"/>
  <c r="A468" i="1"/>
  <c r="A363" i="1"/>
  <c r="A361" i="1"/>
  <c r="A613" i="1"/>
  <c r="A467" i="1"/>
  <c r="A612" i="1"/>
  <c r="A466" i="1"/>
  <c r="A359" i="1"/>
  <c r="A263" i="1"/>
  <c r="A358" i="1"/>
  <c r="A177" i="1"/>
  <c r="A464" i="1"/>
  <c r="A112" i="1"/>
  <c r="A261" i="1"/>
  <c r="A355" i="1"/>
  <c r="A733" i="1"/>
  <c r="A354" i="1"/>
  <c r="A110" i="1"/>
  <c r="A259" i="1"/>
  <c r="A173" i="1"/>
  <c r="A258" i="1"/>
  <c r="A609" i="1"/>
  <c r="A352" i="1"/>
  <c r="A172" i="1"/>
  <c r="A351" i="1"/>
  <c r="A350" i="1"/>
  <c r="A349" i="1"/>
  <c r="A607" i="1"/>
  <c r="A460" i="1"/>
  <c r="A606" i="1"/>
  <c r="A604" i="1"/>
  <c r="A343" i="1"/>
  <c r="A28" i="1"/>
  <c r="A342" i="1"/>
  <c r="A459" i="1"/>
  <c r="A171" i="1"/>
  <c r="A340" i="1"/>
  <c r="A458" i="1"/>
  <c r="A27" i="1"/>
  <c r="A251" i="1"/>
  <c r="A865" i="1"/>
  <c r="A170" i="1"/>
  <c r="A339" i="1"/>
  <c r="A169" i="1"/>
  <c r="A456" i="1"/>
  <c r="A731" i="1"/>
  <c r="A603" i="1"/>
  <c r="A455" i="1"/>
  <c r="A730" i="1"/>
  <c r="A249" i="1"/>
  <c r="A454" i="1"/>
  <c r="A336" i="1"/>
  <c r="A602" i="1"/>
  <c r="A107" i="1"/>
  <c r="A168" i="1"/>
  <c r="A333" i="1"/>
  <c r="A451" i="1"/>
  <c r="A330" i="1"/>
  <c r="A245" i="1"/>
  <c r="A449" i="1"/>
  <c r="A244" i="1"/>
  <c r="A444" i="1"/>
  <c r="A164" i="1"/>
  <c r="A326" i="1"/>
  <c r="A599" i="1"/>
  <c r="A100" i="1"/>
  <c r="A241" i="1"/>
  <c r="A324" i="1"/>
  <c r="A162" i="1"/>
  <c r="A50" i="1"/>
  <c r="A161" i="1"/>
  <c r="A97" i="1"/>
  <c r="A323" i="1"/>
  <c r="A321" i="1"/>
  <c r="A160" i="1"/>
  <c r="A240" i="1"/>
  <c r="A96" i="1"/>
  <c r="A94" i="1"/>
  <c r="A238" i="1"/>
  <c r="A26" i="1"/>
  <c r="A93" i="1"/>
  <c r="A92" i="1"/>
  <c r="A25" i="1"/>
  <c r="A48" i="1"/>
  <c r="A441" i="1"/>
  <c r="A47" i="1"/>
  <c r="A598" i="1"/>
  <c r="A157" i="1"/>
  <c r="A232" i="1"/>
  <c r="A89" i="1"/>
  <c r="A439" i="1"/>
  <c r="A231" i="1"/>
  <c r="A8" i="1"/>
  <c r="A154" i="1"/>
  <c r="A153" i="1"/>
  <c r="A87" i="1"/>
  <c r="A86" i="1"/>
  <c r="A24" i="1"/>
  <c r="A152" i="1"/>
  <c r="A313" i="1"/>
  <c r="A85" i="1"/>
  <c r="A229" i="1"/>
  <c r="A23" i="1"/>
  <c r="A151" i="1"/>
  <c r="A150" i="1"/>
  <c r="A149" i="1"/>
  <c r="A311" i="1"/>
  <c r="A310" i="1"/>
  <c r="A146" i="1"/>
  <c r="A309" i="1"/>
  <c r="A597" i="1"/>
  <c r="A82" i="1"/>
  <c r="A437" i="1"/>
  <c r="A80" i="1"/>
  <c r="A78" i="1"/>
  <c r="A21" i="1"/>
  <c r="A219" i="1"/>
  <c r="A308" i="1"/>
  <c r="A77" i="1"/>
  <c r="A218" i="1"/>
  <c r="A216" i="1"/>
  <c r="A20" i="1"/>
  <c r="A307" i="1"/>
  <c r="A306" i="1"/>
  <c r="A212" i="1"/>
  <c r="A305" i="1"/>
  <c r="A211" i="1"/>
  <c r="A75" i="1"/>
  <c r="A135" i="1"/>
  <c r="A19" i="1"/>
  <c r="A74" i="1"/>
  <c r="A304" i="1"/>
  <c r="A303" i="1"/>
  <c r="A208" i="1"/>
  <c r="A72" i="1"/>
  <c r="A133" i="1"/>
  <c r="A34" i="1"/>
  <c r="A70" i="1"/>
  <c r="A66" i="1"/>
  <c r="A65" i="1"/>
  <c r="A204" i="1"/>
  <c r="A3" i="1"/>
  <c r="A130" i="1"/>
  <c r="A7" i="1"/>
  <c r="A129" i="1"/>
  <c r="A6" i="1"/>
  <c r="A16" i="1"/>
  <c r="A15" i="1"/>
  <c r="A14" i="1"/>
  <c r="A13" i="1"/>
  <c r="A2" i="1"/>
  <c r="A12" i="1"/>
  <c r="A5" i="1"/>
  <c r="A4" i="1"/>
</calcChain>
</file>

<file path=xl/sharedStrings.xml><?xml version="1.0" encoding="utf-8"?>
<sst xmlns="http://schemas.openxmlformats.org/spreadsheetml/2006/main" count="935" uniqueCount="935">
  <si>
    <t>Commander</t>
  </si>
  <si>
    <t>Rank</t>
  </si>
  <si>
    <t>Power</t>
  </si>
  <si>
    <t>Fun</t>
  </si>
  <si>
    <t>Artwork</t>
  </si>
  <si>
    <t>Total</t>
  </si>
  <si>
    <t>Urza, Lord Protector</t>
  </si>
  <si>
    <t>Krark, the Thumbless</t>
  </si>
  <si>
    <t>Vorinclex, Monstrous Raider</t>
  </si>
  <si>
    <t>Valki, God of Lies / Tibalt, Cosmic Imposter</t>
  </si>
  <si>
    <t>Vorinclex</t>
  </si>
  <si>
    <t>Jin-Gitaxias</t>
  </si>
  <si>
    <t>Urabrask</t>
  </si>
  <si>
    <t>Mishra, Claimed by Gix</t>
  </si>
  <si>
    <t>Starscream, Power Hungry</t>
  </si>
  <si>
    <t>Elesh Norn</t>
  </si>
  <si>
    <t>Mondrak, Glory Dominus</t>
  </si>
  <si>
    <t>Gix, Yawgmoth Praetor</t>
  </si>
  <si>
    <t>Extus, Oriq Overlord</t>
  </si>
  <si>
    <t>The Tenth Doctor</t>
  </si>
  <si>
    <t>Bilbo, Birthday Celebrant</t>
  </si>
  <si>
    <t>Gandalf the White</t>
  </si>
  <si>
    <t>Drivnod, Carnage Dominus</t>
  </si>
  <si>
    <t>Sakashima of the Thousand Faces</t>
  </si>
  <si>
    <t>Omnath, Locus of Creation</t>
  </si>
  <si>
    <t>Garth One-Eye</t>
  </si>
  <si>
    <t>Beledros Witherbloom</t>
  </si>
  <si>
    <t>Aragorn, King of Gondor</t>
  </si>
  <si>
    <t>Toski, Bearer of Secrets</t>
  </si>
  <si>
    <t>Koma, Cosmos Serpent</t>
  </si>
  <si>
    <t>Mind Flayer, the Shadow</t>
  </si>
  <si>
    <t>Elesh Norn, Mother of Machines</t>
  </si>
  <si>
    <t>Slimefoot and Squee</t>
  </si>
  <si>
    <t>Araumi of the Dead Tide</t>
  </si>
  <si>
    <t>The Twelfth Doctor</t>
  </si>
  <si>
    <t>Etali, Primal Conqueror</t>
  </si>
  <si>
    <t>Tergrid, God of Fright</t>
  </si>
  <si>
    <t>Abaddon the Despoiler</t>
  </si>
  <si>
    <t>Toralf, God of Fury</t>
  </si>
  <si>
    <t>Esika, God of the Bridge</t>
  </si>
  <si>
    <t>Ob Nixilis, Captive Kingpin</t>
  </si>
  <si>
    <t>Breena, the Demagogue</t>
  </si>
  <si>
    <t>Blanka, Ferocious Friend</t>
  </si>
  <si>
    <t>Atraxa, Grand Unifier</t>
  </si>
  <si>
    <t>The Sixth Doctor</t>
  </si>
  <si>
    <t>Zimone and Dina</t>
  </si>
  <si>
    <t>Thalia and The Gitrog Monster</t>
  </si>
  <si>
    <t>Soul of Windgrace</t>
  </si>
  <si>
    <t>Sheoldred</t>
  </si>
  <si>
    <t>Satoru Umezawa</t>
  </si>
  <si>
    <t>Olivia, Crimson Bride</t>
  </si>
  <si>
    <t>Omnath, Locus of All</t>
  </si>
  <si>
    <t>Shadrix Silverquill</t>
  </si>
  <si>
    <t>Shelob, Dread Weaver</t>
  </si>
  <si>
    <t>Megatron, Tyrant</t>
  </si>
  <si>
    <t>Tom Bombadil</t>
  </si>
  <si>
    <t>Giada, Font of Hope</t>
  </si>
  <si>
    <t>Nashi, Moon Sage's Scion</t>
  </si>
  <si>
    <t>Jor Kadeen, First Goldwarden</t>
  </si>
  <si>
    <t>Tatsunari, Toad Rider</t>
  </si>
  <si>
    <t>Osgir, the Reconstructor</t>
  </si>
  <si>
    <t>Sarkhan, Soul Aflame</t>
  </si>
  <si>
    <t>Daryl, Hunter of Walkers</t>
  </si>
  <si>
    <t>Dhalsim, Pliable Pacifist</t>
  </si>
  <si>
    <t>Negan, the Cold-Blooded</t>
  </si>
  <si>
    <t>Will the Wise</t>
  </si>
  <si>
    <t>Tinybones, Trinket Thief</t>
  </si>
  <si>
    <t>Titania, Voice of Gaea</t>
  </si>
  <si>
    <t>Hinata, Dawn-Crowned</t>
  </si>
  <si>
    <t>Frodo, Sauron's Bane</t>
  </si>
  <si>
    <t>Lynde, Cheerful Tormentor</t>
  </si>
  <si>
    <t>Tiamat</t>
  </si>
  <si>
    <t>Obeka, Brute Chronologist</t>
  </si>
  <si>
    <t>Aragorn, the Uniter</t>
  </si>
  <si>
    <t>The Fugitive Doctor</t>
  </si>
  <si>
    <t>Kura, the Boundless Sky</t>
  </si>
  <si>
    <t>Samwise Gamgee</t>
  </si>
  <si>
    <t>Saruman of Many Colors</t>
  </si>
  <si>
    <t>Sauron, the Dark Lord</t>
  </si>
  <si>
    <t>Kosei, Patient Warlord</t>
  </si>
  <si>
    <t>Shelob, Child of Ungoliant</t>
  </si>
  <si>
    <t>Tovoloar, Dire Overlord / Tovolar, the Midnight Scourge</t>
  </si>
  <si>
    <t>Cyclonus, the Saboteur</t>
  </si>
  <si>
    <t>Rin and Seri, Inseparable</t>
  </si>
  <si>
    <t>Ryu, World Warrior</t>
  </si>
  <si>
    <t>Eleven, the Mage</t>
  </si>
  <si>
    <t>Tameshi, Reality Architect</t>
  </si>
  <si>
    <t>Volo, Itinerant Scholar</t>
  </si>
  <si>
    <t>Raff, Weatherlight Stalwart</t>
  </si>
  <si>
    <t>Zangief, the Red Cyclone</t>
  </si>
  <si>
    <t>Myrkul, Lord of Bones</t>
  </si>
  <si>
    <t>Rowan, Scion of War</t>
  </si>
  <si>
    <t>Inga and Esika</t>
  </si>
  <si>
    <t>Zopandrel, Hunger Dominus</t>
  </si>
  <si>
    <t>The Thirteenth Doctor</t>
  </si>
  <si>
    <t>Tekuthal, Inquiry Dominus</t>
  </si>
  <si>
    <t>Solphim, Mayhem Dominus</t>
  </si>
  <si>
    <t>Kellen, the Fae-Blooded</t>
  </si>
  <si>
    <t>The First Doctor</t>
  </si>
  <si>
    <t>Brenard, Ginger Sculptor</t>
  </si>
  <si>
    <t>Frodo, Adventurous Hobbit</t>
  </si>
  <si>
    <t>Narset, Enlightened Exile</t>
  </si>
  <si>
    <t>Gilraen, Dunedain Protector</t>
  </si>
  <si>
    <t>Galadriel of Lothlorien</t>
  </si>
  <si>
    <t>Gisa, Glorious Resurrector</t>
  </si>
  <si>
    <t>The Reality Chip</t>
  </si>
  <si>
    <t>Fynn, the Fangbearer</t>
  </si>
  <si>
    <t>Archelos, Lagoon Mystic</t>
  </si>
  <si>
    <t>Smeagol, Helpful Guide</t>
  </si>
  <si>
    <t>Katilda, Dawnhart Martyr / Katilda's Rising Dawn</t>
  </si>
  <si>
    <t>Sauron, the Lidless Eye</t>
  </si>
  <si>
    <t>Be'lakor, the Dark Master</t>
  </si>
  <si>
    <t>The Seventh Doctor</t>
  </si>
  <si>
    <t>Queen Kayla bin-Kroog</t>
  </si>
  <si>
    <t>Jon Irenicus, Shattered One</t>
  </si>
  <si>
    <t>Jorn, God of Winter</t>
  </si>
  <si>
    <t>Glenn, the Voice of Calm</t>
  </si>
  <si>
    <t>Chun Li, Countless Kicks</t>
  </si>
  <si>
    <t>Chief Jim Hopper</t>
  </si>
  <si>
    <t>Ramirez DePietro, Pillager</t>
  </si>
  <si>
    <t>Ao, the Dawn Sky</t>
  </si>
  <si>
    <t>Agrus Kos, Eternal Soldier</t>
  </si>
  <si>
    <t>Sheoldred, the Apocalypse</t>
  </si>
  <si>
    <t>Jin-Gitaxias, Progress Tyrant</t>
  </si>
  <si>
    <t xml:space="preserve">Urza, Chief Artificer </t>
  </si>
  <si>
    <t>Mishra, Eminent One</t>
  </si>
  <si>
    <t>Donna Noble</t>
  </si>
  <si>
    <t>Pia Nalaar, Consul of Revival</t>
  </si>
  <si>
    <t>Jetmir, Nexus of Revels</t>
  </si>
  <si>
    <t>Tevesh Szat, Doom of Fools</t>
  </si>
  <si>
    <t>Yenna, Redtooth Regent</t>
  </si>
  <si>
    <t>Lorcan, Warlock Collector</t>
  </si>
  <si>
    <t>Asmoranomardicadaistinacaldacar</t>
  </si>
  <si>
    <t>Faramir, Steward of Gondor</t>
  </si>
  <si>
    <t>Nashi, Moon's Legacy</t>
  </si>
  <si>
    <t>Gyome, Master Chef</t>
  </si>
  <si>
    <t>Liesa, Forgotten Archangel</t>
  </si>
  <si>
    <t>Auntie Blyte, Bad Influence</t>
  </si>
  <si>
    <t>Ghalta and Mavren</t>
  </si>
  <si>
    <t>Wulfgar of Icewind Dale</t>
  </si>
  <si>
    <t>Hans Eriksson</t>
  </si>
  <si>
    <t>Peregrin Took</t>
  </si>
  <si>
    <t>The Balrog, Durin's Bane</t>
  </si>
  <si>
    <t>Hofri Ghostforge</t>
  </si>
  <si>
    <t>Pippin, Guard of the Citadel</t>
  </si>
  <si>
    <t>Goro-Goro and Satoru</t>
  </si>
  <si>
    <t>Toxrill, the Corrosive</t>
  </si>
  <si>
    <t>The Fifth Doctor</t>
  </si>
  <si>
    <t>Borborygmos and Fblthp</t>
  </si>
  <si>
    <t>Breeches, Brazen Plunderer</t>
  </si>
  <si>
    <t>Atsushi, the Blazing Sky</t>
  </si>
  <si>
    <t>E. Honda, Sumo Champion</t>
  </si>
  <si>
    <t>Soundwave, Sonic Spy</t>
  </si>
  <si>
    <t>Sol'Kanar the Tainted</t>
  </si>
  <si>
    <t>Mavinda, Students' Advocate</t>
  </si>
  <si>
    <t>Delina, Wild Mage</t>
  </si>
  <si>
    <t>Urabrask, Heretic Praetor</t>
  </si>
  <si>
    <t>Sauron, Lord of the Rings</t>
  </si>
  <si>
    <t>Neyali, Suns' Vanguard</t>
  </si>
  <si>
    <t>Rograkh, Son of Rohgahh</t>
  </si>
  <si>
    <t>The Third Doctor</t>
  </si>
  <si>
    <t>Preston, the Vanisher</t>
  </si>
  <si>
    <t>Ashnod the Uncaring</t>
  </si>
  <si>
    <t>Urza, Prince of Kroog</t>
  </si>
  <si>
    <t>Will, Scion of Peace</t>
  </si>
  <si>
    <t>Ziatora, the Incinerator</t>
  </si>
  <si>
    <t>Gollum, Obsessed Stalker</t>
  </si>
  <si>
    <t>Kodama of the West Tree</t>
  </si>
  <si>
    <t>Xira, the Golden Sting</t>
  </si>
  <si>
    <t>Talion, the Kindly Lord</t>
  </si>
  <si>
    <t>Lord of the Nazgul</t>
  </si>
  <si>
    <t>Henzie "Toolbox" Torre</t>
  </si>
  <si>
    <t>Mangara, the Diplomat</t>
  </si>
  <si>
    <t>Calix, Guided by Fate</t>
  </si>
  <si>
    <t>Yedora, Grave Gardener</t>
  </si>
  <si>
    <t>Light-Paws, Emperor's Voice</t>
  </si>
  <si>
    <t>Zur, Eternal Schemer</t>
  </si>
  <si>
    <t>Blim, Comedic Genius</t>
  </si>
  <si>
    <t>Jolrael, Mwonvuli Recluse</t>
  </si>
  <si>
    <t>Eligeth, Crossroads Augur</t>
  </si>
  <si>
    <t>Legolas, Master Archer</t>
  </si>
  <si>
    <t>Adrix and Nev, Twincasters</t>
  </si>
  <si>
    <t>Faramir, Prince of Ithilien</t>
  </si>
  <si>
    <t>Jolene, the Plunder Queen</t>
  </si>
  <si>
    <t>Livio, Oathsworn Sentinel</t>
  </si>
  <si>
    <t>Minsc and Boo, Timeless Heroes</t>
  </si>
  <si>
    <t>Hurkyl, Master Wizard</t>
  </si>
  <si>
    <t>Gimli, Mournful Avenger</t>
  </si>
  <si>
    <t>Zurgo and Ojutai</t>
  </si>
  <si>
    <t>Volo, Guide to Monsters</t>
  </si>
  <si>
    <t>Gandalf, White Rider</t>
  </si>
  <si>
    <t>Falco Spara, Pactweaver</t>
  </si>
  <si>
    <t>Unctus, Grand Metatect</t>
  </si>
  <si>
    <t>Astor, Bearer of Blades</t>
  </si>
  <si>
    <t>Ormos, Archive Keeper</t>
  </si>
  <si>
    <t>Orvar, the All-Form</t>
  </si>
  <si>
    <t>Ellyn Harbreeze, Busybody</t>
  </si>
  <si>
    <t>Glissa Sunslayer</t>
  </si>
  <si>
    <t>Anikthea, Hand of Erebos</t>
  </si>
  <si>
    <t>Slobad, Iron Goblin</t>
  </si>
  <si>
    <t>Bladewing, Deathless Tyrant</t>
  </si>
  <si>
    <t>Velomachus Lorehold</t>
  </si>
  <si>
    <t>Karlach, Fury of Avernus</t>
  </si>
  <si>
    <t>Eowyn, Shieldmaiden</t>
  </si>
  <si>
    <t>Keskit, the Flesh Sculptor</t>
  </si>
  <si>
    <t>Commodore Guff</t>
  </si>
  <si>
    <t>Agatha of the Vile Cauldron</t>
  </si>
  <si>
    <t>Grist, the Hunger Tide</t>
  </si>
  <si>
    <t>Jan Jansen, Chaos Crafter</t>
  </si>
  <si>
    <t>Ezuri, Stalker of Spheres</t>
  </si>
  <si>
    <t>Jaheira, Friend of the Forest</t>
  </si>
  <si>
    <t>Rose Tyler</t>
  </si>
  <si>
    <t>Faramir, Field Commander</t>
  </si>
  <si>
    <t>Tawnos. Solemn Survivor</t>
  </si>
  <si>
    <t>Hidetsugu, Devouring Chaos</t>
  </si>
  <si>
    <t>Prosper, Tome-Bound</t>
  </si>
  <si>
    <t>Amy Pond</t>
  </si>
  <si>
    <t>Titania, Nature's Force</t>
  </si>
  <si>
    <t>Fangorn, Tree Shepherd</t>
  </si>
  <si>
    <t>Anhelo, the Painter</t>
  </si>
  <si>
    <t>Tazri, Beacon of Unity</t>
  </si>
  <si>
    <t>The War Doctor</t>
  </si>
  <si>
    <t>Muxus, Goblin Grandee</t>
  </si>
  <si>
    <t>Gollum, Scheming Guide</t>
  </si>
  <si>
    <t>Bhaal, Lord of Murder</t>
  </si>
  <si>
    <t>The Fourth Doctor</t>
  </si>
  <si>
    <t>Tyvar, the Bellicose</t>
  </si>
  <si>
    <t>Edgar, Charmed Groom / Edgar Markov's Coffin</t>
  </si>
  <si>
    <t>RaggaDragga, Goreguts Boss</t>
  </si>
  <si>
    <t>Lae'Zel, Vlaakith's Champion</t>
  </si>
  <si>
    <t>Stenn, Paranoid Partisan</t>
  </si>
  <si>
    <t>The Ninth Doctor</t>
  </si>
  <si>
    <t>Ramses, Assassin Lord</t>
  </si>
  <si>
    <t>Elminster</t>
  </si>
  <si>
    <t>Kamahl, Heart of Krosa</t>
  </si>
  <si>
    <t>Kiora, Sovereign of the Deep</t>
  </si>
  <si>
    <t>Asmodeus the Archfiend</t>
  </si>
  <si>
    <t>Blex, Vexing Pest</t>
  </si>
  <si>
    <t>Ratchet, Field Medic</t>
  </si>
  <si>
    <t>Mike, the Dungeon Master</t>
  </si>
  <si>
    <t>Kodama of the East Tree</t>
  </si>
  <si>
    <t>Saruman, the White Hand</t>
  </si>
  <si>
    <t>Junji, the Midnight Sky</t>
  </si>
  <si>
    <t>Jhoira , Ageless Innovator</t>
  </si>
  <si>
    <t>Tawnos, the Toymaker</t>
  </si>
  <si>
    <t>Mishra, Tamer of Mak Fawa</t>
  </si>
  <si>
    <t>Eomer, King of Rohan</t>
  </si>
  <si>
    <t>Nissa, Resurgent Animist</t>
  </si>
  <si>
    <t>Vohar, Vodalian Desecrator</t>
  </si>
  <si>
    <t>The Eleventh Doctor</t>
  </si>
  <si>
    <t>Yurlok of Scorch Thrash</t>
  </si>
  <si>
    <t>Eriette of the Charmed Apple</t>
  </si>
  <si>
    <t>Rodolf Duskbringer</t>
  </si>
  <si>
    <t>Esix, Fractal Bloom</t>
  </si>
  <si>
    <t>Radagast the Brown</t>
  </si>
  <si>
    <t>Commander Liara Portyr</t>
  </si>
  <si>
    <t>Aragorn, Company Leader</t>
  </si>
  <si>
    <t>Arwen, Mortal Queen</t>
  </si>
  <si>
    <t>Niv-Mizzet, Supreme</t>
  </si>
  <si>
    <t>Birgi, God of Storytelling</t>
  </si>
  <si>
    <t>Shadowfax, Lord of Horses</t>
  </si>
  <si>
    <t>Go-Shintai of Life's Origin</t>
  </si>
  <si>
    <t>Jodah, the Unifier</t>
  </si>
  <si>
    <t>Alrund, God of the Cosmos</t>
  </si>
  <si>
    <t>Old Gnawbone</t>
  </si>
  <si>
    <t>Baba Lysaga, Night Witch</t>
  </si>
  <si>
    <t>Wilhelt, the Rotcleaver</t>
  </si>
  <si>
    <t>Surrak and Goreclaw</t>
  </si>
  <si>
    <t>Kitt Kanto, Mayhem Diva</t>
  </si>
  <si>
    <t>Imotekh the Stormlord</t>
  </si>
  <si>
    <t>Kairi, the Swirling Sky</t>
  </si>
  <si>
    <t>Skrelv, Defector Mite</t>
  </si>
  <si>
    <t>Alaundo the Seer</t>
  </si>
  <si>
    <t>Orah, Skyclave Hierophant</t>
  </si>
  <si>
    <t>Optimus Prime, Hero</t>
  </si>
  <si>
    <t>Tasha, the Witch Queen</t>
  </si>
  <si>
    <t>Sidar Jabari of Zhalfir</t>
  </si>
  <si>
    <t>Gale, Waterdeep Prodigy</t>
  </si>
  <si>
    <t>Ultra Magnus, Tactician</t>
  </si>
  <si>
    <t>Miara, Thorn of the Glade</t>
  </si>
  <si>
    <t>Sliver Gravemother</t>
  </si>
  <si>
    <t>Ertai Resurrected</t>
  </si>
  <si>
    <t>Sythis, Harvest's Hand</t>
  </si>
  <si>
    <t>Ashaya, Soul of the Wild</t>
  </si>
  <si>
    <t>Octavia, Living Thesis</t>
  </si>
  <si>
    <t>Kibo, Uktabi Prince</t>
  </si>
  <si>
    <t>Hazezon, Shaper of Sand</t>
  </si>
  <si>
    <t>The Eighth Doctor</t>
  </si>
  <si>
    <t>Korvold, Gleeful Glutton</t>
  </si>
  <si>
    <t>Rashmi and Ragavan</t>
  </si>
  <si>
    <t>Urtet, Remnant of Memnarch</t>
  </si>
  <si>
    <t>The Swarmlord</t>
  </si>
  <si>
    <t>Syr Ginger, the Meal Ender</t>
  </si>
  <si>
    <t>Lobelia, Defender of Bag End</t>
  </si>
  <si>
    <t>Galazeth Prismari</t>
  </si>
  <si>
    <t>Dina, Soul Steeper</t>
  </si>
  <si>
    <t>Otharri, Suns' Glory</t>
  </si>
  <si>
    <t>Samut, Vizier of Naktamun</t>
  </si>
  <si>
    <t>The Goose Mother</t>
  </si>
  <si>
    <t>Radagast, Wizard of Wilds</t>
  </si>
  <si>
    <t>Belbe, Corrupted Observer</t>
  </si>
  <si>
    <t>Ria Ivor, Bane of Bladehold</t>
  </si>
  <si>
    <t>Ken, Burning Brawler</t>
  </si>
  <si>
    <t>Captain N'Ghathrod</t>
  </si>
  <si>
    <t>Jeska, Thrice Reborn</t>
  </si>
  <si>
    <t>Jared Carthalion</t>
  </si>
  <si>
    <t>Tetsuo, Imperial Champion</t>
  </si>
  <si>
    <t>Willowdusk, Essence Seer</t>
  </si>
  <si>
    <t>Heliod, the Radiant Dawn</t>
  </si>
  <si>
    <t>Sarulf, Realm Eater</t>
  </si>
  <si>
    <t>Samwise the Stouthearted</t>
  </si>
  <si>
    <t>Moraug, Fury of Akoum</t>
  </si>
  <si>
    <t>Karazikar, the Eye Tyrant</t>
  </si>
  <si>
    <t>Graaz, Unstoppable Juggernaut</t>
  </si>
  <si>
    <t>Losheel, Clockwork Scholar</t>
  </si>
  <si>
    <t>Neera, Wild Mage</t>
  </si>
  <si>
    <t>Quintorius, Loremaster</t>
  </si>
  <si>
    <t>Chiss-Goria, Furnace Tyrant</t>
  </si>
  <si>
    <t>Tivit, Seller of Secrets</t>
  </si>
  <si>
    <t>Elenda and Azor</t>
  </si>
  <si>
    <t>Eowyn, Fearless Knight</t>
  </si>
  <si>
    <t>Torens, Fist of the Angels</t>
  </si>
  <si>
    <r>
      <rPr>
        <b/>
        <u/>
        <sz val="12"/>
        <color rgb="FF000000"/>
        <rFont val="Helvetica Neue"/>
      </rPr>
      <t>Halvar, God of Battle</t>
    </r>
    <r>
      <rPr>
        <b/>
        <u/>
        <sz val="12"/>
        <color rgb="FF000000"/>
        <rFont val="Helvetica Neue"/>
      </rPr>
      <t xml:space="preserve"> / Sword of the Realms</t>
    </r>
  </si>
  <si>
    <t>Runo Stromkirk / Krothuss, Lord of the Deep</t>
  </si>
  <si>
    <t>Cosima, God of the Voyage</t>
  </si>
  <si>
    <t>King of the Oathbreakers</t>
  </si>
  <si>
    <t>Jared Carthalion, True Heir</t>
  </si>
  <si>
    <t>Parnesse, the Subtle Brush</t>
  </si>
  <si>
    <t>Prowl, Stoic Strategist</t>
  </si>
  <si>
    <t>Flamewar, Brash Vetern</t>
  </si>
  <si>
    <t>Kyodai, Soul of Kamigawa</t>
  </si>
  <si>
    <t>Toggo, Goblin Weaponsmith</t>
  </si>
  <si>
    <t>Liesa, Shroud of Dusk</t>
  </si>
  <si>
    <t>Ashnod, Flesh Mechanist</t>
  </si>
  <si>
    <t>Sivitri, Dragon Master</t>
  </si>
  <si>
    <t>Faldorn, Dread Wolf Herald</t>
  </si>
  <si>
    <t>Dihada, Binder of Wills</t>
  </si>
  <si>
    <t>Galadriel, Elven Queen</t>
  </si>
  <si>
    <t>Vishgraz, the Doomhive</t>
  </si>
  <si>
    <t>Eruth, Tormented Prophet</t>
  </si>
  <si>
    <t>Bane, Lord of Darkness</t>
  </si>
  <si>
    <t>Ratadrabik of Urborg</t>
  </si>
  <si>
    <t>Shanna, Purifying Blade</t>
  </si>
  <si>
    <t>Rigo, Streetwise Mentor</t>
  </si>
  <si>
    <t>Hylda of the Icy Crown</t>
  </si>
  <si>
    <t>Raphael, Fiendish Savior</t>
  </si>
  <si>
    <t>Boromir, Warden of the Tower</t>
  </si>
  <si>
    <t>Rona, Sheoldred's Faithful</t>
  </si>
  <si>
    <t>Yusri, Fortune's Flame</t>
  </si>
  <si>
    <t>Karn, Legacy Reforged</t>
  </si>
  <si>
    <t>Taborax, Hope's Demise</t>
  </si>
  <si>
    <t>Imoti, Celebrant of Bounty</t>
  </si>
  <si>
    <t>Sigarda, Font of Blessings</t>
  </si>
  <si>
    <t>Drana and Linvala</t>
  </si>
  <si>
    <t>Chishiro, the Shattered Blade</t>
  </si>
  <si>
    <t>The Second Doctor</t>
  </si>
  <si>
    <t>Gandalf the Grey</t>
  </si>
  <si>
    <t>Vito, Thorn of the Dusk Rose</t>
  </si>
  <si>
    <t>Miirym, Sentinel Wyrm</t>
  </si>
  <si>
    <t>Adbel Adrian, Gorion's Ward</t>
  </si>
  <si>
    <t>Arni Metalbrow</t>
  </si>
  <si>
    <t>Katilda, Dawnhart Prime</t>
  </si>
  <si>
    <t>Will Kenrith</t>
  </si>
  <si>
    <t>Chatterfang, Squirrel General</t>
  </si>
  <si>
    <t>Djeru and Hazoret</t>
  </si>
  <si>
    <t>Durnan of the Yawning Portal</t>
  </si>
  <si>
    <t>Strefan, Maurer Progenitor</t>
  </si>
  <si>
    <t>Isshin, Two Heavens as One</t>
  </si>
  <si>
    <t>Marneus Calgar</t>
  </si>
  <si>
    <t>Plargg and Nassari</t>
  </si>
  <si>
    <t>Klauth, Unrivaled Ancient</t>
  </si>
  <si>
    <t>Charix, the Raging Isle</t>
  </si>
  <si>
    <t>Rankle and Torbran</t>
  </si>
  <si>
    <t>Tormod, the Desecrator</t>
  </si>
  <si>
    <t>Inniaz, the Gale Force</t>
  </si>
  <si>
    <t>Imoen, Mystic Trickster</t>
  </si>
  <si>
    <t>Loran of the Third Path</t>
  </si>
  <si>
    <t>Kels, Fight Fixer</t>
  </si>
  <si>
    <t>Tocasia, Dig Site Mentor</t>
  </si>
  <si>
    <t>Shigeki, Jukai Visionary</t>
  </si>
  <si>
    <t>Jadzi, Oracle of Arcavios</t>
  </si>
  <si>
    <t>Sarevok, Deathbringer</t>
  </si>
  <si>
    <t>Kamiz, Obscura Oculus</t>
  </si>
  <si>
    <t>Merry, Esquire of Rohan</t>
  </si>
  <si>
    <t>Kolvori, God of Kinship</t>
  </si>
  <si>
    <t>Rick, Steadfast Leader</t>
  </si>
  <si>
    <t>Codie, Vociferous Codex</t>
  </si>
  <si>
    <t>Duke Ulder Ravengard</t>
  </si>
  <si>
    <t>Vrondiss, Rage of Ancients</t>
  </si>
  <si>
    <t>Verrak, Warped Sengir</t>
  </si>
  <si>
    <t>Raiyuu, Storm's Edge</t>
  </si>
  <si>
    <t>Lucas, the Sharpshooter</t>
  </si>
  <si>
    <t>Ace, Fearless Rebel</t>
  </si>
  <si>
    <t>Aesi, Tyrant of Gyre Strait</t>
  </si>
  <si>
    <t>Old Stickfingers</t>
  </si>
  <si>
    <t>Ghost of Ramirez DePietro</t>
  </si>
  <si>
    <t>Nevinyrral, Tyrant of Urborg</t>
  </si>
  <si>
    <t>Narci, Fable Singer</t>
  </si>
  <si>
    <t>Ragavan, Nimble Pilferer</t>
  </si>
  <si>
    <t>Lonis, Cryptozoologist</t>
  </si>
  <si>
    <t>Lulu, Loyal Holyphant</t>
  </si>
  <si>
    <t>Jolrael, Voice of Zhalfir</t>
  </si>
  <si>
    <t>Peri Brown</t>
  </si>
  <si>
    <t>Alela, Cunning Conqueror</t>
  </si>
  <si>
    <t>Ashcoat of the Shadow Swarm</t>
  </si>
  <si>
    <t>Grolnok, the Omnivore</t>
  </si>
  <si>
    <t>The Gaffer</t>
  </si>
  <si>
    <t>Halana and Alena, Partners</t>
  </si>
  <si>
    <t>Romana II</t>
  </si>
  <si>
    <t>Umbris, Fear Manifest</t>
  </si>
  <si>
    <t>Geralf, Visionary Stitcher</t>
  </si>
  <si>
    <t>Sivriss, Nightmare Speaker</t>
  </si>
  <si>
    <t>Minsc, Beloved Ranger</t>
  </si>
  <si>
    <t>Geth, Thane of Contracts</t>
  </si>
  <si>
    <t>Garna, Bloodfist of Keld</t>
  </si>
  <si>
    <t>Toluz, Clever Conductor</t>
  </si>
  <si>
    <t>Subira, Tulzidi Caravanner</t>
  </si>
  <si>
    <t>Ryan Sinclair</t>
  </si>
  <si>
    <t>Braids, Arisen Nightmare</t>
  </si>
  <si>
    <t>Ardenn, Intrepid Archaeologist</t>
  </si>
  <si>
    <t>Gimli of the Glittering Caves</t>
  </si>
  <si>
    <t>Sefris of the Hidden Ways</t>
  </si>
  <si>
    <t>Karumonix, the Rat King</t>
  </si>
  <si>
    <t>Lagomos, Hand of Hatred</t>
  </si>
  <si>
    <t>Mari, the Killing Quill</t>
  </si>
  <si>
    <t>Danitha, Benalia's Hope</t>
  </si>
  <si>
    <t>Zevlor, Elturel Exile</t>
  </si>
  <si>
    <t>Lathril, Blade of the Elves</t>
  </si>
  <si>
    <t>Arwen, Weaver of Hope</t>
  </si>
  <si>
    <t>Ivy, Gleeful Spellthief</t>
  </si>
  <si>
    <t>Uvilda, Dean of Perfection</t>
  </si>
  <si>
    <t>Farmer Cotton</t>
  </si>
  <si>
    <t>Blitzwing, Cruel Tormentor</t>
  </si>
  <si>
    <t>Gorion, Wise Mentor</t>
  </si>
  <si>
    <t>Slicer, Hired Muscle</t>
  </si>
  <si>
    <t>Moira and Teshar</t>
  </si>
  <si>
    <t>Grima, Saruman's Footman</t>
  </si>
  <si>
    <t>Stangg, Echo Warrior</t>
  </si>
  <si>
    <t>Denry Klin, Editor in Chief</t>
  </si>
  <si>
    <t>Shorikai, Genesis Engine</t>
  </si>
  <si>
    <t>Nine-Fingers Keene</t>
  </si>
  <si>
    <t>Blaster, Combat DJ</t>
  </si>
  <si>
    <t>Treebeard, Gracious Host</t>
  </si>
  <si>
    <t>Bill the Pony</t>
  </si>
  <si>
    <t>Illuminor Szeras</t>
  </si>
  <si>
    <t>Gandalf, Friend of the Shire</t>
  </si>
  <si>
    <t>Gollum, Patient Plotter</t>
  </si>
  <si>
    <t>Guile, Sonic Soldier</t>
  </si>
  <si>
    <t>Witch-King of Angmar</t>
  </si>
  <si>
    <t>Aragorn and Arwyn, Wed</t>
  </si>
  <si>
    <t>Magnus the Red</t>
  </si>
  <si>
    <t>Eomer, Marshal of Rohan</t>
  </si>
  <si>
    <t>Zhulodok, Void Gorger</t>
  </si>
  <si>
    <t>Melira, the Living Cure</t>
  </si>
  <si>
    <t>Hamza, Guardian of Arashin</t>
  </si>
  <si>
    <t>Adric, Mathematical Genius</t>
  </si>
  <si>
    <t>Gwenna, Eyes of Gaea</t>
  </si>
  <si>
    <t>Valentin, Dean of the Vein</t>
  </si>
  <si>
    <t>Wyleth, Soul of Steel</t>
  </si>
  <si>
    <t>Piru, the Volatile</t>
  </si>
  <si>
    <t>Xanathar, Guild Kingpin</t>
  </si>
  <si>
    <t>Eloise, Nephalia Sleuth</t>
  </si>
  <si>
    <t>Killian, Ink Duelist</t>
  </si>
  <si>
    <t>Bennie Bracks, Zoologist</t>
  </si>
  <si>
    <t>Kenessos, Priest of Thassa</t>
  </si>
  <si>
    <t xml:space="preserve">Perrie the Pulverizer </t>
  </si>
  <si>
    <t>The Ever-Changing 'Dane</t>
  </si>
  <si>
    <t>Zimone, Quandrix Prodigy</t>
  </si>
  <si>
    <t>Totentanz, Swarm Piper</t>
  </si>
  <si>
    <t>Rowan Kenrith</t>
  </si>
  <si>
    <t>Nyssa of Traken</t>
  </si>
  <si>
    <t>Rona, Herald of Invasion</t>
  </si>
  <si>
    <t>Ludevic, Necrogenius / Olag, Ludevic's Hubris</t>
  </si>
  <si>
    <t>Millicent, Restless Revenant</t>
  </si>
  <si>
    <t>Lord Xander, the Collector</t>
  </si>
  <si>
    <t>Denethor, Stoneseer</t>
  </si>
  <si>
    <t>Shaile, Dean of Radiance</t>
  </si>
  <si>
    <t>Henrika Domnathi / Henrika, Infernal Seer</t>
  </si>
  <si>
    <t>Greta, Sweettooth Scourge</t>
  </si>
  <si>
    <t>Cirdan, the Shipwright</t>
  </si>
  <si>
    <t>Quintorius, Field Historian</t>
  </si>
  <si>
    <t>The Watcher in the Water</t>
  </si>
  <si>
    <t>Baral and Kari Zev</t>
  </si>
  <si>
    <t>Alibou, Ancient Witness</t>
  </si>
  <si>
    <t>Sauron, the Necromancer</t>
  </si>
  <si>
    <t>Zara, Renegade Recruiter</t>
  </si>
  <si>
    <t>Vislor Turlough</t>
  </si>
  <si>
    <t>Frodo Baggins</t>
  </si>
  <si>
    <t>Trazyn, the Infinite</t>
  </si>
  <si>
    <t>Katilda and Lier</t>
  </si>
  <si>
    <t>Runadi, Behemoth Caller</t>
  </si>
  <si>
    <t>Sanwell, Avenger Ace</t>
  </si>
  <si>
    <t>Theodan, King of Rohan</t>
  </si>
  <si>
    <t>Magda, Brazen Outlaw</t>
  </si>
  <si>
    <t>Svella, Ice Shaper</t>
  </si>
  <si>
    <t>Danitha, New Benalia's Light</t>
  </si>
  <si>
    <t>Wyll, Blade of Frontiers</t>
  </si>
  <si>
    <t>Urza, Powerstone Prodigy</t>
  </si>
  <si>
    <t>Evelyn, the Covetous</t>
  </si>
  <si>
    <t>Svyelun of Sea and Sky</t>
  </si>
  <si>
    <r>
      <rPr>
        <b/>
        <u/>
        <sz val="12"/>
        <color rgb="FF000000"/>
        <rFont val="Helvetica Neue"/>
      </rPr>
      <t xml:space="preserve">Minn, Wily </t>
    </r>
    <r>
      <rPr>
        <b/>
        <u/>
        <sz val="12"/>
        <color rgb="FF000000"/>
        <rFont val="Helvetica Neue"/>
      </rPr>
      <t>Illusionist</t>
    </r>
  </si>
  <si>
    <t>Niambi, Esteemed Speaker</t>
  </si>
  <si>
    <t>Vega, the Watcher</t>
  </si>
  <si>
    <t>Martha Jones</t>
  </si>
  <si>
    <t>The Beamtown Bullies</t>
  </si>
  <si>
    <t>Ixhel, Scion of Atraxa</t>
  </si>
  <si>
    <t>Ognis, the Dragon's Lash</t>
  </si>
  <si>
    <t>Akroma, Vision of Ixidor</t>
  </si>
  <si>
    <t>Omarthis, Ghostfire Initiate</t>
  </si>
  <si>
    <r>
      <rPr>
        <b/>
        <u/>
        <sz val="12"/>
        <color rgb="FF000000"/>
        <rFont val="Helvetica Neue"/>
      </rPr>
      <t>P</t>
    </r>
    <r>
      <rPr>
        <b/>
        <u/>
        <sz val="12"/>
        <color rgb="FF000000"/>
        <rFont val="Helvetica Neue"/>
      </rPr>
      <t>habine, Boss's Confidant</t>
    </r>
  </si>
  <si>
    <t>Ian Chesterson</t>
  </si>
  <si>
    <t>Gwaihir, Greatest of the Eagles</t>
  </si>
  <si>
    <t>Alandra, the Sky Dreamer</t>
  </si>
  <si>
    <t>Anrakyr, the Traveler</t>
  </si>
  <si>
    <t>Ovika, Enigma Goliath</t>
  </si>
  <si>
    <t>Nardole, Resourceful Cyborg</t>
  </si>
  <si>
    <t>The Balrog of Moria</t>
  </si>
  <si>
    <t>Nihiloor</t>
  </si>
  <si>
    <t>Thrasta, Tempest's Roar</t>
  </si>
  <si>
    <t>Celestine, the Living Saint</t>
  </si>
  <si>
    <t>Elrond of the White Council</t>
  </si>
  <si>
    <t>Hidetsugu and Kairi</t>
  </si>
  <si>
    <t>Oswald Fiddlebender</t>
  </si>
  <si>
    <t>Amareth, the Lustrous</t>
  </si>
  <si>
    <t>Kardur, Doomscourge</t>
  </si>
  <si>
    <t>Pippin, Warden of Isengard</t>
  </si>
  <si>
    <t>Nahiri, Forged in Fury</t>
  </si>
  <si>
    <t>Tor Wauki the Younger</t>
  </si>
  <si>
    <t>Kediss, Emberclaw Familiar</t>
  </si>
  <si>
    <t>Meriadoc Brandybuck</t>
  </si>
  <si>
    <t>Firkraag, Cunning Instigator</t>
  </si>
  <si>
    <t>Akiri, Fearless Voyager</t>
  </si>
  <si>
    <t>Loran, Disciple of History</t>
  </si>
  <si>
    <t>Legolas, Counter of Kills</t>
  </si>
  <si>
    <t>Sharae of Numbing Depths</t>
  </si>
  <si>
    <t>Ghyrson Starn, Kelermorph</t>
  </si>
  <si>
    <t>Tazri, Stalwart Survivor</t>
  </si>
  <si>
    <t>Kasla, the Broken Halo</t>
  </si>
  <si>
    <t>Emperor Mihail II</t>
  </si>
  <si>
    <t>Neyith of the Dire Hunt</t>
  </si>
  <si>
    <t>Rivaz of the Claw</t>
  </si>
  <si>
    <t>Frodo, Determined Hero</t>
  </si>
  <si>
    <t>Emiel the Blessed</t>
  </si>
  <si>
    <t>Arcee, Sharpshooter</t>
  </si>
  <si>
    <t>Polukranos Reborn</t>
  </si>
  <si>
    <t>Kros, Defense Contractor</t>
  </si>
  <si>
    <t>Cadric, Soul Kindler</t>
  </si>
  <si>
    <t>Prava of the Steel Legion</t>
  </si>
  <si>
    <t>Varragoth, Bloodsky Sire</t>
  </si>
  <si>
    <t>Gretchen Titchwillow</t>
  </si>
  <si>
    <t>Kharn the Betrayer</t>
  </si>
  <si>
    <t>Errant, Street Artist</t>
  </si>
  <si>
    <t>The Archimandrite</t>
  </si>
  <si>
    <t>Dargo, the Shipwrecker</t>
  </si>
  <si>
    <t>Rukarumel, Biologist</t>
  </si>
  <si>
    <t>Myojin of Blooming Dawn</t>
  </si>
  <si>
    <t>Gandalf, Westward Voyager</t>
  </si>
  <si>
    <t>Sengir, the Dark Baron</t>
  </si>
  <si>
    <t>Shanid, Sleepers' Scourge</t>
  </si>
  <si>
    <t>Abomination of Llanowar</t>
  </si>
  <si>
    <t>Sam, Loyal Attendant</t>
  </si>
  <si>
    <t>Raffine, Scheming Seer</t>
  </si>
  <si>
    <t>Jenson Carthalion, Druid Exile</t>
  </si>
  <si>
    <t>Beregond of the Guard</t>
  </si>
  <si>
    <t>Greasefang, Okiba Boss</t>
  </si>
  <si>
    <t>Ellivere of the Wild Court</t>
  </si>
  <si>
    <t>Graham O'Brien</t>
  </si>
  <si>
    <t>Colfenor, the Last Yew</t>
  </si>
  <si>
    <t>Goldberry, River-Daughter</t>
  </si>
  <si>
    <t>Uurg, Spawn of Turg</t>
  </si>
  <si>
    <t>Ayara, Widow of the Realm</t>
  </si>
  <si>
    <t>Myojin of Cryptic Dreams</t>
  </si>
  <si>
    <t>Jinnie Fay, Jetmir's Second</t>
  </si>
  <si>
    <t>Belisarius Cawl</t>
  </si>
  <si>
    <t>Narfi, Betrayer King</t>
  </si>
  <si>
    <t>Deathleaper, Terror Weapon</t>
  </si>
  <si>
    <t>Ganax, Astral Hunter</t>
  </si>
  <si>
    <t>Zurzoth, Chaos Rider</t>
  </si>
  <si>
    <t>K-9, Mark I</t>
  </si>
  <si>
    <t>Nalia de'Arnise</t>
  </si>
  <si>
    <t>Radha, Heart of Keld</t>
  </si>
  <si>
    <t>Zagras, Thief of Heartbeats</t>
  </si>
  <si>
    <t>Liberator, Urza's Battlethopter</t>
  </si>
  <si>
    <t>Mizzix, Replica Rider</t>
  </si>
  <si>
    <t>Tegan Jovanka</t>
  </si>
  <si>
    <t>Magus Lucea Kane</t>
  </si>
  <si>
    <t>Nemata, Primeval Warden</t>
  </si>
  <si>
    <t>Baeloth Barrityl, Entertainer</t>
  </si>
  <si>
    <t>Mortarion, Deamon Primarch</t>
  </si>
  <si>
    <t>Kaima, the Fractured Calm</t>
  </si>
  <si>
    <t>Vadrik, Astral Archmage</t>
  </si>
  <si>
    <t>Sigarda, Champion of Light</t>
  </si>
  <si>
    <t>Anowon, the Ruin Thief</t>
  </si>
  <si>
    <t>Heiko Yamazaki, the General</t>
  </si>
  <si>
    <t>Aegar, The Freezing Flame</t>
  </si>
  <si>
    <t>Gimbal, Gremlin Prodigy</t>
  </si>
  <si>
    <t>Farideh, Devil's Chosen</t>
  </si>
  <si>
    <t>Harbin, Vanguard Aviator</t>
  </si>
  <si>
    <t>Max, the Daredevil</t>
  </si>
  <si>
    <t>Rasaad yn Bashir</t>
  </si>
  <si>
    <t>Myojin of Grim Betrayal</t>
  </si>
  <si>
    <t>Yoshimaru, Ever-Faithful</t>
  </si>
  <si>
    <t>Leori, Sparktouched Hunter</t>
  </si>
  <si>
    <t>Egon, God of Death</t>
  </si>
  <si>
    <t>Laelia, the Blade Reforged</t>
  </si>
  <si>
    <t>Squee, Dubious Monarch</t>
  </si>
  <si>
    <t>Commissar Severina Raine</t>
  </si>
  <si>
    <t>Aeve, Progenitor Ooze</t>
  </si>
  <si>
    <t>Bill Potts</t>
  </si>
  <si>
    <t>Burakos, Party Leader</t>
  </si>
  <si>
    <r>
      <rPr>
        <b/>
        <u/>
        <sz val="12"/>
        <color rgb="FF000000"/>
        <rFont val="Helvetica Neue"/>
      </rPr>
      <t xml:space="preserve">Elas </t>
    </r>
    <r>
      <rPr>
        <b/>
        <i/>
        <u/>
        <sz val="12"/>
        <color rgb="FF000000"/>
        <rFont val="Helvetica Neue"/>
      </rPr>
      <t>il-</t>
    </r>
    <r>
      <rPr>
        <b/>
        <u/>
        <sz val="12"/>
        <color rgb="FF000000"/>
        <rFont val="Helvetica Neue"/>
      </rPr>
      <t>Kor, Sadistic Pilgrim</t>
    </r>
  </si>
  <si>
    <t>Legolas Greenleaf</t>
  </si>
  <si>
    <t>Veyran Voice of Duality</t>
  </si>
  <si>
    <t>Brimaz, Blight of Oreskos</t>
  </si>
  <si>
    <t>Rocco, Cabaretti Caterer</t>
  </si>
  <si>
    <t>Drafna, Founder of Lat-Nam</t>
  </si>
  <si>
    <t>Szarekh, the Silent King</t>
  </si>
  <si>
    <t>Nymris, Oona's Trickster</t>
  </si>
  <si>
    <t>Lier, Disciple of the Drowned</t>
  </si>
  <si>
    <t>Greensleeves, Maro-Sorcerer</t>
  </si>
  <si>
    <t>Inferno of the Star Mounts</t>
  </si>
  <si>
    <t>Kemba, Kha Enduring</t>
  </si>
  <si>
    <t>Boromir, Gondor's Hope</t>
  </si>
  <si>
    <t>Ghen, Arcanum Weaver</t>
  </si>
  <si>
    <t>Ranar the Ever-Watchful</t>
  </si>
  <si>
    <t>Kethek, Crucible Goliath</t>
  </si>
  <si>
    <t>Fain, the Broker</t>
  </si>
  <si>
    <t>Adeline, Resplendant Cathar</t>
  </si>
  <si>
    <t>Inquisitor Greyfax</t>
  </si>
  <si>
    <t>Eowyn, Lady of Rohan</t>
  </si>
  <si>
    <t>Rith, Liberated Primeval</t>
  </si>
  <si>
    <t>Cormela, Glamour Thief</t>
  </si>
  <si>
    <t>Gloin, Dwarf Emissary</t>
  </si>
  <si>
    <t>Dan Lewis</t>
  </si>
  <si>
    <r>
      <rPr>
        <b/>
        <u/>
        <sz val="12"/>
        <color rgb="FF000000"/>
        <rFont val="Helvetica Neue"/>
      </rPr>
      <t>Jacob Hauken, Inspector</t>
    </r>
    <r>
      <rPr>
        <b/>
        <u/>
        <sz val="12"/>
        <color rgb="FF000000"/>
        <rFont val="Helvetica Neue"/>
      </rPr>
      <t xml:space="preserve"> / Hauken's Insight</t>
    </r>
  </si>
  <si>
    <t>Saryth, the Viper's Fang</t>
  </si>
  <si>
    <t>Elrond, Master of Healing</t>
  </si>
  <si>
    <t>Rosnakht, Heir to Rohgahh</t>
  </si>
  <si>
    <t>Deekah, Fractal Theorist</t>
  </si>
  <si>
    <t>Jamie McCrimmon</t>
  </si>
  <si>
    <t>Leela, Sevateem Warrior</t>
  </si>
  <si>
    <t>King Darien XLVIII</t>
  </si>
  <si>
    <t>Sharkey, Tyrant of the Shire</t>
  </si>
  <si>
    <t>The Tarrasque</t>
  </si>
  <si>
    <t>Risona, Asari Commander</t>
  </si>
  <si>
    <t>Rootha, Mercurial Artist</t>
  </si>
  <si>
    <t>Falthis, Shadowcat Familiar</t>
  </si>
  <si>
    <t>Donal, Heralf of Wings</t>
  </si>
  <si>
    <t>Firja, Judge of Valor</t>
  </si>
  <si>
    <t>Errant and Giada</t>
  </si>
  <si>
    <t>Lozhan, Dragons' Legacy</t>
  </si>
  <si>
    <t>Rebbec, Architect of Ascension</t>
  </si>
  <si>
    <t>Norika Yamazaki, the Poet</t>
  </si>
  <si>
    <t>Zeriam, Golden Wind</t>
  </si>
  <si>
    <t>Goldbug, Humanity's Ally</t>
  </si>
  <si>
    <t>Alora, Merry Thief</t>
  </si>
  <si>
    <t>Wilson, Refined Grizzly</t>
  </si>
  <si>
    <t>Zask, Skittering Swarmlord</t>
  </si>
  <si>
    <t>Harald, King of Skemfar</t>
  </si>
  <si>
    <t>Yargle and Multani</t>
  </si>
  <si>
    <t>Tanazir Quandrix</t>
  </si>
  <si>
    <t>Carth, the Lion</t>
  </si>
  <si>
    <t>Torsten, Founder of Benalia</t>
  </si>
  <si>
    <t>Merry, Warden of Isengard</t>
  </si>
  <si>
    <t>Icingdeath, Frost Tyrant</t>
  </si>
  <si>
    <t>Orthion, Hero of Lavabrink</t>
  </si>
  <si>
    <t>Juri, Master of the Revue</t>
  </si>
  <si>
    <t>Tura Kennarud, Skyknight</t>
  </si>
  <si>
    <t>Oji, the Exquisite Blade</t>
  </si>
  <si>
    <t>Balmor, Battlemage Captain</t>
  </si>
  <si>
    <t>Plargg, Dean of Chaos</t>
  </si>
  <si>
    <t>Minthara, Merciless Soul</t>
  </si>
  <si>
    <t>Bilbo, Retired Burglar</t>
  </si>
  <si>
    <t>Kangee, Sky Warden</t>
  </si>
  <si>
    <t>Strider, Ranger of the North</t>
  </si>
  <si>
    <t>Astarion, the Decadent</t>
  </si>
  <si>
    <t>Felisa, Fang of Silverquill</t>
  </si>
  <si>
    <t>Glissa, Herald of Predation</t>
  </si>
  <si>
    <t>Bess, Soul Nourisher</t>
  </si>
  <si>
    <t>Beluna Grandsquall</t>
  </si>
  <si>
    <t>Barrin, Tolarian Archmage</t>
  </si>
  <si>
    <t>Kamber, the Plunderer</t>
  </si>
  <si>
    <t>Anara, Wolvid Familiar</t>
  </si>
  <si>
    <t>Kotori, Pilot Prodigy</t>
  </si>
  <si>
    <t>Neyam Shai Murad</t>
  </si>
  <si>
    <t>Galadriel, Gift-Giver</t>
  </si>
  <si>
    <t>Michonne, Ruthless Survivor</t>
  </si>
  <si>
    <t>Gorex, the Tombshell</t>
  </si>
  <si>
    <t>Satsuki, the Living Lore</t>
  </si>
  <si>
    <t>Orcus, Prince of Undeath</t>
  </si>
  <si>
    <t>Jaxis, the Troublemaker</t>
  </si>
  <si>
    <t>Obuun, Mul Daya Ancestor</t>
  </si>
  <si>
    <t>Kaza, Roil Chaser</t>
  </si>
  <si>
    <t>Mazzy, Truesword Paladin</t>
  </si>
  <si>
    <t>Kroxa and Kunoros</t>
  </si>
  <si>
    <t>Thalisse, Reverent Medium</t>
  </si>
  <si>
    <t>Myojin of Towering Might</t>
  </si>
  <si>
    <t>Reyav, Master Smith</t>
  </si>
  <si>
    <t>Imodane, the Pyrohammer</t>
  </si>
  <si>
    <t>Jetfire, Ingenious Scientist</t>
  </si>
  <si>
    <t>Meria, Scholar of Antiquity</t>
  </si>
  <si>
    <t>Barbara Wright</t>
  </si>
  <si>
    <t>Syrix, Carrier of the Flame</t>
  </si>
  <si>
    <t>Zaffai, Thunder Conductor</t>
  </si>
  <si>
    <t>Slurrk, All-Ingesting</t>
  </si>
  <si>
    <t>Clara Oswald</t>
  </si>
  <si>
    <t>Saruman the White</t>
  </si>
  <si>
    <t>Lita, Mechanical Engineer</t>
  </si>
  <si>
    <t>Sarah Jane Smith</t>
  </si>
  <si>
    <t>Jedit Ojanen, Mercenary</t>
  </si>
  <si>
    <t>Oskar, Rubbish Reclaimer</t>
  </si>
  <si>
    <t>Obyra, Dreaming Duelist</t>
  </si>
  <si>
    <t>Acererak, The Arch-Lich</t>
  </si>
  <si>
    <t>Drizzt Do-Urden</t>
  </si>
  <si>
    <t>Isu, the Abominable</t>
  </si>
  <si>
    <t>Leinore, Autumn Sovereign</t>
  </si>
  <si>
    <t>Florian, Voldaren Scion</t>
  </si>
  <si>
    <t>Shadowheart, Dark Justicar</t>
  </si>
  <si>
    <t>Nils, Discipline Enforcer</t>
  </si>
  <si>
    <t>Lobelia, Sackville-Baggins</t>
  </si>
  <si>
    <t>Jirina, Dauntless General</t>
  </si>
  <si>
    <t>Renari, Merchant of Marvels</t>
  </si>
  <si>
    <t>Timothar, Baron of Bats</t>
  </si>
  <si>
    <t>Lucius the Eternal</t>
  </si>
  <si>
    <t>The Council of Four</t>
  </si>
  <si>
    <t>Rohgahh, Kher Keep Overlord</t>
  </si>
  <si>
    <t>Viconia, Drow Apostate</t>
  </si>
  <si>
    <t>Erkenbrand, Lord of Westfold</t>
  </si>
  <si>
    <t>Myrel, Shield of Argive</t>
  </si>
  <si>
    <t>Kogla and Yidaro</t>
  </si>
  <si>
    <t>Jo Grant</t>
  </si>
  <si>
    <t>Monstrosity of the Lake</t>
  </si>
  <si>
    <t>Armix, Filigree Thrasher</t>
  </si>
  <si>
    <t>Haldir, Lorien Lieutenant</t>
  </si>
  <si>
    <t>Elrond, Lord of Rivendell</t>
  </si>
  <si>
    <t>Aron, Benalia's Ruin</t>
  </si>
  <si>
    <t>Goro-Goro, Disciple of Ryusei</t>
  </si>
  <si>
    <t>Yasmin Khan</t>
  </si>
  <si>
    <t>Shagrat, Loot Bearer</t>
  </si>
  <si>
    <t>Rilsa Rael, Kingpin</t>
  </si>
  <si>
    <t>Lord Skitter, Sewer King</t>
  </si>
  <si>
    <t>Slogurk, the Overslime</t>
  </si>
  <si>
    <t>Drana, the Last Bloodchief</t>
  </si>
  <si>
    <t>Rionya, Fire Dancer</t>
  </si>
  <si>
    <t>Skanos Dragonheart</t>
  </si>
  <si>
    <t>Kwain, Itinerant Meddler</t>
  </si>
  <si>
    <t>Baru, Wurmspeaker</t>
  </si>
  <si>
    <t>Glacian, Powerstone Engineer</t>
  </si>
  <si>
    <t>Gor Muldrak, Amphinologist</t>
  </si>
  <si>
    <t>Lathiel, the Bounteous Dawn</t>
  </si>
  <si>
    <t>Witch-King, Bringer of Ruin</t>
  </si>
  <si>
    <t>General Ferrous Rokiric</t>
  </si>
  <si>
    <t>Bell Borca, Spectral Sergeant</t>
  </si>
  <si>
    <t>Dustin, Gadget Genius</t>
  </si>
  <si>
    <t>Rocco, Street Chef</t>
  </si>
  <si>
    <t>Gluntch, the Bestower</t>
  </si>
  <si>
    <t>Kotose, the Silent Spider</t>
  </si>
  <si>
    <t>The Lady of Otaria</t>
  </si>
  <si>
    <t>Anje, Maid of Dishonor</t>
  </si>
  <si>
    <t>Vraan, Thane of Execution</t>
  </si>
  <si>
    <t>Bright-Palm, Soul Awakener</t>
  </si>
  <si>
    <t>Mahadi, Emporium Master</t>
  </si>
  <si>
    <t>Venser, Corpse Puppet</t>
  </si>
  <si>
    <t>Tuya Bearclaw</t>
  </si>
  <si>
    <t>Nadier, Agent of the Duskenel</t>
  </si>
  <si>
    <t>Rosie Cotton of South Lane</t>
  </si>
  <si>
    <t>Laurine, the Diversion</t>
  </si>
  <si>
    <t>Gylwain, Casting Director</t>
  </si>
  <si>
    <t>Bill Fenry, Bree Swindler</t>
  </si>
  <si>
    <t>Galea, Kindler of Hope</t>
  </si>
  <si>
    <t>Farid, Enterprising Salvager</t>
  </si>
  <si>
    <t>Jasmine Boreal of the Seven</t>
  </si>
  <si>
    <t>Gimli, Counter of Kills</t>
  </si>
  <si>
    <t>Ebondeath, Dracolich</t>
  </si>
  <si>
    <t>General Marhault Elsdragon</t>
  </si>
  <si>
    <t>Iymrith, Desert Doom</t>
  </si>
  <si>
    <t>Zareth San, the Trickster</t>
  </si>
  <si>
    <t>Ardoz, Cobbler of War</t>
  </si>
  <si>
    <t>Gadrak, the Crown-Scourge</t>
  </si>
  <si>
    <t>Mishra, Excavation Prodigy</t>
  </si>
  <si>
    <t>Phylath, World Sculptor</t>
  </si>
  <si>
    <t>Lotho, Corrupt Shirrif</t>
  </si>
  <si>
    <t>Kyler, Sigardian Emissary</t>
  </si>
  <si>
    <t>Targ Nar, Demon-Fang Gnoll</t>
  </si>
  <si>
    <t>Bruvac the Grandiloquent</t>
  </si>
  <si>
    <t>Sethron, Hurloon General</t>
  </si>
  <si>
    <t>Radha, Coalition Warlord</t>
  </si>
  <si>
    <t>Storvald, Frost Giant Jarl</t>
  </si>
  <si>
    <t>Radiant, Serra Archangel</t>
  </si>
  <si>
    <t>Elanor Gardner</t>
  </si>
  <si>
    <t>The Raven Man</t>
  </si>
  <si>
    <t>Thrun, Breaker of Silence</t>
  </si>
  <si>
    <t>Inquisitor Eisenhorn</t>
  </si>
  <si>
    <t>Kagha, Shadow Archdruid</t>
  </si>
  <si>
    <t>Vazi, Keen Negotiator</t>
  </si>
  <si>
    <t>Zellix, Sanity Flayer</t>
  </si>
  <si>
    <t>Erestor of the Council</t>
  </si>
  <si>
    <t>Malcolm, Keen-Eyed Navigator</t>
  </si>
  <si>
    <t>Queen Allenal of Ruadach</t>
  </si>
  <si>
    <t>Cadira, Caller of the Small</t>
  </si>
  <si>
    <t>Tegwyll, Duke of Splendor</t>
  </si>
  <si>
    <t>Queza, Augur of Agonies</t>
  </si>
  <si>
    <t>Ioreth of the Healing House</t>
  </si>
  <si>
    <t>Susan Foreman</t>
  </si>
  <si>
    <t>The Peregrine Dynamo</t>
  </si>
  <si>
    <t>Troyan, Gutsy Explorer</t>
  </si>
  <si>
    <t>Inga Rune-Eyes</t>
  </si>
  <si>
    <t>Grazilaxx, Illithid Scholar</t>
  </si>
  <si>
    <t>Ruxa, Patient Professor</t>
  </si>
  <si>
    <t>Denethor, Ruling Steward</t>
  </si>
  <si>
    <t>Goddric, Cloaked Reveler</t>
  </si>
  <si>
    <t>Grakmaw, Skyclave Ravager</t>
  </si>
  <si>
    <t>Old Man Willow</t>
  </si>
  <si>
    <t>Linvala, Shield of Sea Gate</t>
  </si>
  <si>
    <t>Verazol, the Split Current</t>
  </si>
  <si>
    <t>Ich-Tekik, Salvage Splicer</t>
  </si>
  <si>
    <t>Keleth, Sunmane Familiar</t>
  </si>
  <si>
    <t>Dynaheir, Invoker Adept</t>
  </si>
  <si>
    <t>Shalai and Hallar</t>
  </si>
  <si>
    <t>Myojin of Roaring Blades</t>
  </si>
  <si>
    <t>Odric, Blood-Cursed</t>
  </si>
  <si>
    <t>Saint Traft and Rem Karolus</t>
  </si>
  <si>
    <t>Kinzu of the Bleak Coven</t>
  </si>
  <si>
    <t>Orca, Siege Demon</t>
  </si>
  <si>
    <t>Maja, Bretagard Protector</t>
  </si>
  <si>
    <t>Halsin, Emerald Archdruid</t>
  </si>
  <si>
    <t>Vhal, Candlekeep Researcher</t>
  </si>
  <si>
    <t>Grima Wormtongue</t>
  </si>
  <si>
    <t>Moritte of the Frost</t>
  </si>
  <si>
    <t>Ash, Party Crasher</t>
  </si>
  <si>
    <t>Kianne, Dean of Substance</t>
  </si>
  <si>
    <t>Shessra, Death's Whisper</t>
  </si>
  <si>
    <t>Bruenor Battlehammer</t>
  </si>
  <si>
    <t>Quickbeam, Upstart Ent</t>
  </si>
  <si>
    <t>Korlessa, Scale Singer</t>
  </si>
  <si>
    <t>Arwen Undomiel</t>
  </si>
  <si>
    <t>Prince Imrahil, the Fair</t>
  </si>
  <si>
    <t>Safana, Calimport Cutthroat</t>
  </si>
  <si>
    <t>The Balrog, Flame of Udun</t>
  </si>
  <si>
    <t>Old One Eye</t>
  </si>
  <si>
    <t>Rasputin, the Oneriomancer</t>
  </si>
  <si>
    <t>Kalain, Reclusive Painter</t>
  </si>
  <si>
    <t>Katsumasa, the Animator</t>
  </si>
  <si>
    <t>Go-Shintai of Ancient Wars</t>
  </si>
  <si>
    <t>Krydle of Baldur's Gate</t>
  </si>
  <si>
    <t>Johann, Apprentice Sorcerer</t>
  </si>
  <si>
    <t>Tivash, Gloom Summoner</t>
  </si>
  <si>
    <t>Koll the Forgemaster</t>
  </si>
  <si>
    <t>Nadaar, Selfless Paladin</t>
  </si>
  <si>
    <t>Livaan, Cultist of Tiamat</t>
  </si>
  <si>
    <t>Alharu, Solemn Ritualist</t>
  </si>
  <si>
    <t>Old Flitterfang</t>
  </si>
  <si>
    <t>Brinelin, the Moon Kraken</t>
  </si>
  <si>
    <t>Syr Armont, the Redeemer</t>
  </si>
  <si>
    <t>Tobias, Doomed Conquerer</t>
  </si>
  <si>
    <t>The Prismatic Piper</t>
  </si>
  <si>
    <t>Feldon, Ronom Excavator</t>
  </si>
  <si>
    <t>Thrakkus, the Butcher</t>
  </si>
  <si>
    <t>Arni Brokenbrow</t>
  </si>
  <si>
    <t>Trelasarra, Moon Dancer</t>
  </si>
  <si>
    <t>The Mouth of Sauron</t>
  </si>
  <si>
    <t>Halana, Kessig Ranger</t>
  </si>
  <si>
    <t>Siani, Eye of the Storm</t>
  </si>
  <si>
    <t>Neva, Stalked by Nightmares</t>
  </si>
  <si>
    <t>Go-Shintai of Lost Wisdom</t>
  </si>
  <si>
    <t>Go-Shintai of Shared Purpose</t>
  </si>
  <si>
    <t>Rulik Mons, Warren Chief</t>
  </si>
  <si>
    <t>Varis, Silverymoon Ranger</t>
  </si>
  <si>
    <t>Ruby, Daring Tracker</t>
  </si>
  <si>
    <t>Mr. Orfeo, the Boulder</t>
  </si>
  <si>
    <t>Rhuk, Hexgold Nabber</t>
  </si>
  <si>
    <t>Timin, Youthful Geist</t>
  </si>
  <si>
    <t>Averna, the Chaos Bloom</t>
  </si>
  <si>
    <t>Meneldor, Swift Savior</t>
  </si>
  <si>
    <t>Yasharn, Implacable Earth</t>
  </si>
  <si>
    <t>Gorbag of Minas Morgul</t>
  </si>
  <si>
    <t>Lagrella, the Magpie</t>
  </si>
  <si>
    <t>Moira, Urborg Haunt</t>
  </si>
  <si>
    <t>Rem Karolus, Stalwart Slayer</t>
  </si>
  <si>
    <t>Captain Ripley Vance</t>
  </si>
  <si>
    <t>Gwaihir, the Windlord</t>
  </si>
  <si>
    <t>Ayesha Tanaka, Armorer</t>
  </si>
  <si>
    <t>Tatyova, Steward of Tides</t>
  </si>
  <si>
    <t>Ugluk of the White Hand</t>
  </si>
  <si>
    <t>Zabaz, the Glimmerwasp</t>
  </si>
  <si>
    <t>Hama Pashar, Ruin Seeker</t>
  </si>
  <si>
    <t>Saradok, Master of Buckland</t>
  </si>
  <si>
    <t>Esior, Wardwing Familiar</t>
  </si>
  <si>
    <t>Najal, the Storm Runner</t>
  </si>
  <si>
    <t>Jerren, Corrupted Bishop / Ormendahl, the Corrupter</t>
  </si>
  <si>
    <t>Go-Shintai of Hidden Cruelty</t>
  </si>
  <si>
    <t>Dorothea, Vengeful Victim / Dorothea's Retribution</t>
  </si>
  <si>
    <t>Ohabi of Caleria</t>
  </si>
  <si>
    <t>Go-Shintai of Boundless Vigor</t>
  </si>
  <si>
    <t>Catti-brie of Mithrall Hall</t>
  </si>
  <si>
    <t>Reidane, God of the Worthy</t>
  </si>
  <si>
    <t>Alena, Kessig Trapper</t>
  </si>
  <si>
    <t>Tori D'Avenant, Fury Rider</t>
  </si>
  <si>
    <t>Dennick, Pious Apprentice / Dennick, Pious Apparition</t>
  </si>
  <si>
    <t>Gilanra, Caller of Wirewood</t>
  </si>
  <si>
    <t>The Red Terror</t>
  </si>
  <si>
    <t>Mila, Crafty Companion</t>
  </si>
  <si>
    <t>Erinis, Gloom Stalker</t>
  </si>
  <si>
    <t>Rhoda, Geist Avenger</t>
  </si>
  <si>
    <t>Gut, True Soul Zealot</t>
  </si>
  <si>
    <t>Gnostro, Voice of the Crags</t>
  </si>
  <si>
    <t>Zar Ojanen, Scion of Efrava</t>
  </si>
  <si>
    <t>Eomer of the Riddermark</t>
  </si>
  <si>
    <t>Mauhur, Uruk-Hai Captain</t>
  </si>
  <si>
    <t>Numa, Joraga Chieftain</t>
  </si>
  <si>
    <t>Migloz, Maze Crusher</t>
  </si>
  <si>
    <t>Captain Vargus Wrath</t>
  </si>
  <si>
    <t>Zalto, Fire Giant Duke</t>
  </si>
  <si>
    <t>Sigrid, God-Favored</t>
  </si>
  <si>
    <t>Malcator, Purity Overseer</t>
  </si>
  <si>
    <t>Tourach, Dread Cantor</t>
  </si>
  <si>
    <t>Kurbis, Harvest Celebrant</t>
  </si>
  <si>
    <t>Butterbur, Bree Innkeeper</t>
  </si>
  <si>
    <t>Amber Gristle O'Maul</t>
  </si>
  <si>
    <t>Kaervek, the Spiteful</t>
  </si>
  <si>
    <t>Landroval, Horizon Witness</t>
  </si>
  <si>
    <t>Baird, Argivian Recruiter</t>
  </si>
  <si>
    <t>Celeborn, the Wise</t>
  </si>
  <si>
    <t>Hajar, Loyal Bodyguard</t>
  </si>
  <si>
    <t>Glorfindel, Dauntless Rescuer</t>
  </si>
  <si>
    <t>Faceless One</t>
  </si>
  <si>
    <t>Naomi, Pillar of Order</t>
  </si>
  <si>
    <t>Barrowin of Clan Undurr</t>
  </si>
  <si>
    <t>Bortuk Bonerattle</t>
  </si>
  <si>
    <t>Gothmog, Murgul Lieutenant</t>
  </si>
  <si>
    <t>Grishnakh, Brash Instigator</t>
  </si>
  <si>
    <t>Old Rutstein</t>
  </si>
  <si>
    <t>Nael, Avizoa Aeronaut</t>
  </si>
  <si>
    <t>Jadar, Ghoulcaller of Nephalia</t>
  </si>
  <si>
    <t>Real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</si>
</sst>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20"/>
      <color rgb="FF000000"/>
      <name val="Helvetica Neue"/>
    </font>
    <font>
      <b/>
      <sz val="20"/>
      <name val="Arial"/>
    </font>
    <font>
      <b/>
      <u/>
      <sz val="12"/>
      <color rgb="FF000000"/>
      <name val="Helvetica Neue"/>
    </font>
    <font>
      <b/>
      <sz val="10"/>
      <name val="Arial"/>
    </font>
    <font>
      <sz val="10"/>
      <name val="Arial"/>
    </font>
    <font>
      <b/>
      <u/>
      <sz val="12"/>
      <color rgb="FF000000"/>
      <name val="Helvetica Neue"/>
    </font>
    <font>
      <b/>
      <u/>
      <sz val="12"/>
      <color rgb="FF000000"/>
      <name val="&quot;Helvetica Neue&quot;"/>
    </font>
    <font>
      <sz val="10"/>
      <name val="Arial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sz val="12"/>
      <color rgb="FF000000"/>
      <name val="Helvetica Neue"/>
    </font>
    <font>
      <b/>
      <i/>
      <u/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ryfall.com/card/dmu/107/sheoldred-the-apocalypse" TargetMode="External"/><Relationship Id="rId671" Type="http://schemas.openxmlformats.org/officeDocument/2006/relationships/hyperlink" Target="https://scryfall.com/card/woe/220/beluna-grandsquall-seek-thrills" TargetMode="External"/><Relationship Id="rId769" Type="http://schemas.openxmlformats.org/officeDocument/2006/relationships/hyperlink" Target="https://scryfall.com/card/j22/29/ardoz-cobbler-of-war" TargetMode="External"/><Relationship Id="rId21" Type="http://schemas.openxmlformats.org/officeDocument/2006/relationships/hyperlink" Target="https://scryfall.com/card/stx/163/beledros-witherbloom" TargetMode="External"/><Relationship Id="rId324" Type="http://schemas.openxmlformats.org/officeDocument/2006/relationships/hyperlink" Target="https://scryfall.com/card/neo/23/kyodai-soul-of-kamigawa" TargetMode="External"/><Relationship Id="rId531" Type="http://schemas.openxmlformats.org/officeDocument/2006/relationships/hyperlink" Target="https://scryfall.com/card/dmc/23/emperor-mihail-ii" TargetMode="External"/><Relationship Id="rId629" Type="http://schemas.openxmlformats.org/officeDocument/2006/relationships/hyperlink" Target="https://scryfall.com/card/dmc/25/rosnakht-heir-of-rohgahh" TargetMode="External"/><Relationship Id="rId170" Type="http://schemas.openxmlformats.org/officeDocument/2006/relationships/hyperlink" Target="https://scryfall.com/card/dmu/228/zur-eternal-schemer" TargetMode="External"/><Relationship Id="rId836" Type="http://schemas.openxmlformats.org/officeDocument/2006/relationships/hyperlink" Target="https://scryfall.com/card/afr/226/krydle-of-baldurs-gate" TargetMode="External"/><Relationship Id="rId268" Type="http://schemas.openxmlformats.org/officeDocument/2006/relationships/hyperlink" Target="https://scryfall.com/card/bot/13/optimus-prime-hero-optimus-prime-autobot-leader" TargetMode="External"/><Relationship Id="rId475" Type="http://schemas.openxmlformats.org/officeDocument/2006/relationships/hyperlink" Target="https://scryfall.com/card/mom/218/baral-and-kari-zev" TargetMode="External"/><Relationship Id="rId682" Type="http://schemas.openxmlformats.org/officeDocument/2006/relationships/hyperlink" Target="https://scryfall.com/card/snc/112/jaxis-the-troublemaker" TargetMode="External"/><Relationship Id="rId903" Type="http://schemas.openxmlformats.org/officeDocument/2006/relationships/hyperlink" Target="https://scryfall.com/card/cmr/273/captain-vargus-wrath" TargetMode="External"/><Relationship Id="rId32" Type="http://schemas.openxmlformats.org/officeDocument/2006/relationships/hyperlink" Target="https://scryfall.com/card/40k/2/abaddon-the-despoiler" TargetMode="External"/><Relationship Id="rId128" Type="http://schemas.openxmlformats.org/officeDocument/2006/relationships/hyperlink" Target="https://scryfall.com/card/ltc/54/faramir-steward-of-gondor" TargetMode="External"/><Relationship Id="rId335" Type="http://schemas.openxmlformats.org/officeDocument/2006/relationships/hyperlink" Target="https://scryfall.com/card/dmu/213/ratadrabik-of-urborg" TargetMode="External"/><Relationship Id="rId542" Type="http://schemas.openxmlformats.org/officeDocument/2006/relationships/hyperlink" Target="https://scryfall.com/card/40k/79/kh%C3%A2rn-the-betrayer" TargetMode="External"/><Relationship Id="rId181" Type="http://schemas.openxmlformats.org/officeDocument/2006/relationships/hyperlink" Target="https://scryfall.com/card/ltr/209/gimli-mournful-avenger" TargetMode="External"/><Relationship Id="rId402" Type="http://schemas.openxmlformats.org/officeDocument/2006/relationships/hyperlink" Target="https://scryfall.com/card/voc/38/umbris-fear-manifest" TargetMode="External"/><Relationship Id="rId847" Type="http://schemas.openxmlformats.org/officeDocument/2006/relationships/hyperlink" Target="https://scryfall.com/card/cmr/1/the-prismatic-piper" TargetMode="External"/><Relationship Id="rId279" Type="http://schemas.openxmlformats.org/officeDocument/2006/relationships/hyperlink" Target="https://scryfall.com/card/j22/40/kibo-uktabi-prince" TargetMode="External"/><Relationship Id="rId486" Type="http://schemas.openxmlformats.org/officeDocument/2006/relationships/hyperlink" Target="https://scryfall.com/card/khm/142/magda-brazen-outlaw" TargetMode="External"/><Relationship Id="rId693" Type="http://schemas.openxmlformats.org/officeDocument/2006/relationships/hyperlink" Target="https://scryfall.com/card/who/14/barbara-wright" TargetMode="External"/><Relationship Id="rId707" Type="http://schemas.openxmlformats.org/officeDocument/2006/relationships/hyperlink" Target="https://scryfall.com/card/mic/39/leinore-autumn-sovereign" TargetMode="External"/><Relationship Id="rId914" Type="http://schemas.openxmlformats.org/officeDocument/2006/relationships/hyperlink" Target="https://scryfall.com/card/bro/211/hajar-loyal-bodyguard" TargetMode="External"/><Relationship Id="rId43" Type="http://schemas.openxmlformats.org/officeDocument/2006/relationships/hyperlink" Target="https://scryfall.com/card/mom/125/sheoldred-the-true-scriptures" TargetMode="External"/><Relationship Id="rId139" Type="http://schemas.openxmlformats.org/officeDocument/2006/relationships/hyperlink" Target="https://scryfall.com/card/ltr/218/pippin-guard-of-the-citadel" TargetMode="External"/><Relationship Id="rId346" Type="http://schemas.openxmlformats.org/officeDocument/2006/relationships/hyperlink" Target="https://scryfall.com/card/mat/47/sigarda-font-of-blessings" TargetMode="External"/><Relationship Id="rId553" Type="http://schemas.openxmlformats.org/officeDocument/2006/relationships/hyperlink" Target="https://scryfall.com/card/snc/213/raffine-scheming-seer" TargetMode="External"/><Relationship Id="rId760" Type="http://schemas.openxmlformats.org/officeDocument/2006/relationships/hyperlink" Target="https://scryfall.com/card/ltr/42/bill-ferny-bree-swindler" TargetMode="External"/><Relationship Id="rId192" Type="http://schemas.openxmlformats.org/officeDocument/2006/relationships/hyperlink" Target="https://scryfall.com/card/cmm/705/anikthea-hand-of-erebos" TargetMode="External"/><Relationship Id="rId206" Type="http://schemas.openxmlformats.org/officeDocument/2006/relationships/hyperlink" Target="https://scryfall.com/card/ltr/14/faramir-field-commander" TargetMode="External"/><Relationship Id="rId413" Type="http://schemas.openxmlformats.org/officeDocument/2006/relationships/hyperlink" Target="https://scryfall.com/card/ltc/32/gimli-of-the-glittering-caves" TargetMode="External"/><Relationship Id="rId858" Type="http://schemas.openxmlformats.org/officeDocument/2006/relationships/hyperlink" Target="https://scryfall.com/card/dmu/217/rulik-mons-warren-chief" TargetMode="External"/><Relationship Id="rId497" Type="http://schemas.openxmlformats.org/officeDocument/2006/relationships/hyperlink" Target="https://scryfall.com/card/ncc/6/the-beamtown-bullies" TargetMode="External"/><Relationship Id="rId620" Type="http://schemas.openxmlformats.org/officeDocument/2006/relationships/hyperlink" Target="https://scryfall.com/card/40k/3/inquisitor-greyfax" TargetMode="External"/><Relationship Id="rId718" Type="http://schemas.openxmlformats.org/officeDocument/2006/relationships/hyperlink" Target="https://scryfall.com/card/clb/156/viconia-drow-apostate" TargetMode="External"/><Relationship Id="rId357" Type="http://schemas.openxmlformats.org/officeDocument/2006/relationships/hyperlink" Target="https://scryfall.com/card/mh2/151/chatterfang-squirrel-general" TargetMode="External"/><Relationship Id="rId54" Type="http://schemas.openxmlformats.org/officeDocument/2006/relationships/hyperlink" Target="https://scryfall.com/card/neo/123/tatsunari-toad-rider" TargetMode="External"/><Relationship Id="rId217" Type="http://schemas.openxmlformats.org/officeDocument/2006/relationships/hyperlink" Target="https://scryfall.com/card/ltr/292/gollum-scheming-guide" TargetMode="External"/><Relationship Id="rId564" Type="http://schemas.openxmlformats.org/officeDocument/2006/relationships/hyperlink" Target="https://scryfall.com/card/snc/195/jinnie-fay-jetmirs-second" TargetMode="External"/><Relationship Id="rId771" Type="http://schemas.openxmlformats.org/officeDocument/2006/relationships/hyperlink" Target="https://scryfall.com/card/bro/140/mishra-excavation-prodigy" TargetMode="External"/><Relationship Id="rId869" Type="http://schemas.openxmlformats.org/officeDocument/2006/relationships/hyperlink" Target="https://scryfall.com/card/dmc/6/moira-urborg-haunt" TargetMode="External"/><Relationship Id="rId424" Type="http://schemas.openxmlformats.org/officeDocument/2006/relationships/hyperlink" Target="https://scryfall.com/card/ltc/55/farmer-cotton" TargetMode="External"/><Relationship Id="rId631" Type="http://schemas.openxmlformats.org/officeDocument/2006/relationships/hyperlink" Target="https://scryfall.com/card/who/105/jamie-mccrimmon" TargetMode="External"/><Relationship Id="rId729" Type="http://schemas.openxmlformats.org/officeDocument/2006/relationships/hyperlink" Target="https://scryfall.com/card/who/7/yasmin-khan" TargetMode="External"/><Relationship Id="rId270" Type="http://schemas.openxmlformats.org/officeDocument/2006/relationships/hyperlink" Target="https://scryfall.com/card/moc/5/sidar-jabari-of-zhalfir" TargetMode="External"/><Relationship Id="rId65" Type="http://schemas.openxmlformats.org/officeDocument/2006/relationships/hyperlink" Target="https://scryfall.com/card/mic/38/lynde-cheerful-tormenter" TargetMode="External"/><Relationship Id="rId130" Type="http://schemas.openxmlformats.org/officeDocument/2006/relationships/hyperlink" Target="https://scryfall.com/card/c21/5/gyome-master-chef" TargetMode="External"/><Relationship Id="rId368" Type="http://schemas.openxmlformats.org/officeDocument/2006/relationships/hyperlink" Target="https://scryfall.com/card/jmp/12/inniaz-the-gale-force" TargetMode="External"/><Relationship Id="rId575" Type="http://schemas.openxmlformats.org/officeDocument/2006/relationships/hyperlink" Target="https://scryfall.com/card/j22/35/mizzix-replica-rider" TargetMode="External"/><Relationship Id="rId782" Type="http://schemas.openxmlformats.org/officeDocument/2006/relationships/hyperlink" Target="https://scryfall.com/card/dmu/103/the-raven-man" TargetMode="External"/><Relationship Id="rId228" Type="http://schemas.openxmlformats.org/officeDocument/2006/relationships/hyperlink" Target="https://scryfall.com/card/cmr/237/kamahl-heart-of-krosa" TargetMode="External"/><Relationship Id="rId435" Type="http://schemas.openxmlformats.org/officeDocument/2006/relationships/hyperlink" Target="https://scryfall.com/card/ltc/73/treebeard-gracious-host" TargetMode="External"/><Relationship Id="rId642" Type="http://schemas.openxmlformats.org/officeDocument/2006/relationships/hyperlink" Target="https://scryfall.com/card/clb/281/lozhan-dragons-legacy" TargetMode="External"/><Relationship Id="rId281" Type="http://schemas.openxmlformats.org/officeDocument/2006/relationships/hyperlink" Target="https://scryfall.com/card/who/124/the-eighth-doctor" TargetMode="External"/><Relationship Id="rId502" Type="http://schemas.openxmlformats.org/officeDocument/2006/relationships/hyperlink" Target="https://scryfall.com/card/ncc/9/phabine-bosss-confidant" TargetMode="External"/><Relationship Id="rId76" Type="http://schemas.openxmlformats.org/officeDocument/2006/relationships/hyperlink" Target="https://scryfall.com/card/mid/246/tovolar-dire-overlord-tovolar-the-midnight-scourge" TargetMode="External"/><Relationship Id="rId141" Type="http://schemas.openxmlformats.org/officeDocument/2006/relationships/hyperlink" Target="https://scryfall.com/card/vow/132/toxrill-the-corrosive" TargetMode="External"/><Relationship Id="rId379" Type="http://schemas.openxmlformats.org/officeDocument/2006/relationships/hyperlink" Target="https://scryfall.com/card/sld/143/rick-steadfast-leader" TargetMode="External"/><Relationship Id="rId586" Type="http://schemas.openxmlformats.org/officeDocument/2006/relationships/hyperlink" Target="https://scryfall.com/card/khm/200/aegar-the-freezing-flame" TargetMode="External"/><Relationship Id="rId793" Type="http://schemas.openxmlformats.org/officeDocument/2006/relationships/hyperlink" Target="https://scryfall.com/card/snc/212/queza-augur-of-agonies" TargetMode="External"/><Relationship Id="rId807" Type="http://schemas.openxmlformats.org/officeDocument/2006/relationships/hyperlink" Target="https://scryfall.com/card/cmr/233/ich-tekik-salvage-splicer" TargetMode="External"/><Relationship Id="rId7" Type="http://schemas.openxmlformats.org/officeDocument/2006/relationships/hyperlink" Target="https://scryfall.com/card/mom/169/urabrask-the-great-work" TargetMode="External"/><Relationship Id="rId239" Type="http://schemas.openxmlformats.org/officeDocument/2006/relationships/hyperlink" Target="https://scryfall.com/card/bro/217/mishra-tamer-of-mak-fawa" TargetMode="External"/><Relationship Id="rId446" Type="http://schemas.openxmlformats.org/officeDocument/2006/relationships/hyperlink" Target="https://scryfall.com/card/one/209/melira-the-living-cure" TargetMode="External"/><Relationship Id="rId653" Type="http://schemas.openxmlformats.org/officeDocument/2006/relationships/hyperlink" Target="https://scryfall.com/card/mh2/189/carth-the-lion" TargetMode="External"/><Relationship Id="rId292" Type="http://schemas.openxmlformats.org/officeDocument/2006/relationships/hyperlink" Target="https://scryfall.com/card/woe/204/the-goose-mother" TargetMode="External"/><Relationship Id="rId306" Type="http://schemas.openxmlformats.org/officeDocument/2006/relationships/hyperlink" Target="https://scryfall.com/card/afc/49/karazikar-the-eye-tyrant" TargetMode="External"/><Relationship Id="rId860" Type="http://schemas.openxmlformats.org/officeDocument/2006/relationships/hyperlink" Target="https://scryfall.com/card/woe/212/ruby-daring-tracker'" TargetMode="External"/><Relationship Id="rId87" Type="http://schemas.openxmlformats.org/officeDocument/2006/relationships/hyperlink" Target="https://scryfall.com/card/mom/229/inga-and-esika" TargetMode="External"/><Relationship Id="rId513" Type="http://schemas.openxmlformats.org/officeDocument/2006/relationships/hyperlink" Target="https://scryfall.com/card/ltc/51/elrond-of-the-white-council" TargetMode="External"/><Relationship Id="rId597" Type="http://schemas.openxmlformats.org/officeDocument/2006/relationships/hyperlink" Target="https://scryfall.com/card/dmu/146/squee-dubious-monarch" TargetMode="External"/><Relationship Id="rId720" Type="http://schemas.openxmlformats.org/officeDocument/2006/relationships/hyperlink" Target="https://scryfall.com/card/bro/18/myrel-shield-of-argive" TargetMode="External"/><Relationship Id="rId818" Type="http://schemas.openxmlformats.org/officeDocument/2006/relationships/hyperlink" Target="https://scryfall.com/card/clb/102/vhal-candlekeep-researcher" TargetMode="External"/><Relationship Id="rId152" Type="http://schemas.openxmlformats.org/officeDocument/2006/relationships/hyperlink" Target="https://scryfall.com/card/ltc/4/sauron-lord-of-the-rings" TargetMode="External"/><Relationship Id="rId457" Type="http://schemas.openxmlformats.org/officeDocument/2006/relationships/hyperlink" Target="https://scryfall.com/card/j22/13/kenessos-priest-of-thassa" TargetMode="External"/><Relationship Id="rId664" Type="http://schemas.openxmlformats.org/officeDocument/2006/relationships/hyperlink" Target="https://scryfall.com/card/ltr/196/bilbo-retired-burglar" TargetMode="External"/><Relationship Id="rId871" Type="http://schemas.openxmlformats.org/officeDocument/2006/relationships/hyperlink" Target="https://scryfall.com/card/mh2/119/captain-ripley-vance" TargetMode="External"/><Relationship Id="rId14" Type="http://schemas.openxmlformats.org/officeDocument/2006/relationships/hyperlink" Target="https://scryfall.com/card/who/3/the-tenth-doctor" TargetMode="External"/><Relationship Id="rId317" Type="http://schemas.openxmlformats.org/officeDocument/2006/relationships/hyperlink" Target="https://scryfall.com/card/vow/246/runo-stromkirk-krothuss-lord-of-the-deep" TargetMode="External"/><Relationship Id="rId524" Type="http://schemas.openxmlformats.org/officeDocument/2006/relationships/hyperlink" Target="https://scryfall.com/card/znr/220/akiri-fearless-voyager" TargetMode="External"/><Relationship Id="rId731" Type="http://schemas.openxmlformats.org/officeDocument/2006/relationships/hyperlink" Target="https://scryfall.com/card/clb/293/rilsa-rael-kingpin" TargetMode="External"/><Relationship Id="rId98" Type="http://schemas.openxmlformats.org/officeDocument/2006/relationships/hyperlink" Target="https://scryfall.com/card/ltr/206/galadriel-of-lothl%C3%B3rien" TargetMode="External"/><Relationship Id="rId163" Type="http://schemas.openxmlformats.org/officeDocument/2006/relationships/hyperlink" Target="https://scryfall.com/card/dmc/48/xira-the-golden-sting" TargetMode="External"/><Relationship Id="rId370" Type="http://schemas.openxmlformats.org/officeDocument/2006/relationships/hyperlink" Target="https://scryfall.com/card/bro/12/loran-of-the-third-path" TargetMode="External"/><Relationship Id="rId829" Type="http://schemas.openxmlformats.org/officeDocument/2006/relationships/hyperlink" Target="https://scryfall.com/card/clb/143/safana-calimport-cutthroat" TargetMode="External"/><Relationship Id="rId230" Type="http://schemas.openxmlformats.org/officeDocument/2006/relationships/hyperlink" Target="https://scryfall.com/card/afr/88/asmodeus-the-archfiend" TargetMode="External"/><Relationship Id="rId468" Type="http://schemas.openxmlformats.org/officeDocument/2006/relationships/hyperlink" Target="https://scryfall.com/card/ltc/20/denethor-stone-seer" TargetMode="External"/><Relationship Id="rId675" Type="http://schemas.openxmlformats.org/officeDocument/2006/relationships/hyperlink" Target="https://scryfall.com/card/nec/2/kotori-pilot-prodigy" TargetMode="External"/><Relationship Id="rId882" Type="http://schemas.openxmlformats.org/officeDocument/2006/relationships/hyperlink" Target="https://scryfall.com/card/neo/97/go-shintai-of-hidden-cruelty" TargetMode="External"/><Relationship Id="rId25" Type="http://schemas.openxmlformats.org/officeDocument/2006/relationships/hyperlink" Target="https://scryfall.com/card/sld/340/mind-flayer-the-shadow" TargetMode="External"/><Relationship Id="rId328" Type="http://schemas.openxmlformats.org/officeDocument/2006/relationships/hyperlink" Target="https://scryfall.com/card/dmc/43/sivitri-dragon-master" TargetMode="External"/><Relationship Id="rId535" Type="http://schemas.openxmlformats.org/officeDocument/2006/relationships/hyperlink" Target="https://scryfall.com/card/bot/7/arcee-sharpshooter-arcee-acrobatic-coupe" TargetMode="External"/><Relationship Id="rId742" Type="http://schemas.openxmlformats.org/officeDocument/2006/relationships/hyperlink" Target="https://scryfall.com/card/ltr/293/witch-king-bringer-of-ruin" TargetMode="External"/><Relationship Id="rId174" Type="http://schemas.openxmlformats.org/officeDocument/2006/relationships/hyperlink" Target="https://scryfall.com/card/ltr/173/legolas-master-archer" TargetMode="External"/><Relationship Id="rId381" Type="http://schemas.openxmlformats.org/officeDocument/2006/relationships/hyperlink" Target="https://scryfall.com/card/clb/272/duke-ulder-ravengard" TargetMode="External"/><Relationship Id="rId602" Type="http://schemas.openxmlformats.org/officeDocument/2006/relationships/hyperlink" Target="https://scryfall.com/card/dmu/198/elas-il-kor-sadistic-pilgrim" TargetMode="External"/><Relationship Id="rId241" Type="http://schemas.openxmlformats.org/officeDocument/2006/relationships/hyperlink" Target="https://scryfall.com/card/mat/22/nissa-resurgent-animist" TargetMode="External"/><Relationship Id="rId479" Type="http://schemas.openxmlformats.org/officeDocument/2006/relationships/hyperlink" Target="https://scryfall.com/card/who/74/vislor-turlough" TargetMode="External"/><Relationship Id="rId686" Type="http://schemas.openxmlformats.org/officeDocument/2006/relationships/hyperlink" Target="https://scryfall.com/card/mom/245/kroxa-and-kunoros" TargetMode="External"/><Relationship Id="rId893" Type="http://schemas.openxmlformats.org/officeDocument/2006/relationships/hyperlink" Target="https://scryfall.com/card/stx/153/mila-crafty-companion-lukka-wayward-bonder" TargetMode="External"/><Relationship Id="rId907" Type="http://schemas.openxmlformats.org/officeDocument/2006/relationships/hyperlink" Target="https://scryfall.com/card/mh2/102/tourach-dread-cantor" TargetMode="External"/><Relationship Id="rId36" Type="http://schemas.openxmlformats.org/officeDocument/2006/relationships/hyperlink" Target="https://scryfall.com/card/c21/1/breena-the-demagogue" TargetMode="External"/><Relationship Id="rId339" Type="http://schemas.openxmlformats.org/officeDocument/2006/relationships/hyperlink" Target="https://scryfall.com/card/clb/292/raphael-fiendish-savior" TargetMode="External"/><Relationship Id="rId546" Type="http://schemas.openxmlformats.org/officeDocument/2006/relationships/hyperlink" Target="https://scryfall.com/card/cmm/711/rukarumel-biologist" TargetMode="External"/><Relationship Id="rId753" Type="http://schemas.openxmlformats.org/officeDocument/2006/relationships/hyperlink" Target="https://scryfall.com/card/clb/282/mahadi-emporium-master" TargetMode="External"/><Relationship Id="rId101" Type="http://schemas.openxmlformats.org/officeDocument/2006/relationships/hyperlink" Target="https://scryfall.com/card/khm/170/fynn-the-fangbearer" TargetMode="External"/><Relationship Id="rId185" Type="http://schemas.openxmlformats.org/officeDocument/2006/relationships/hyperlink" Target="https://scryfall.com/card/snc/186/falco-spara-pactweaver" TargetMode="External"/><Relationship Id="rId406" Type="http://schemas.openxmlformats.org/officeDocument/2006/relationships/hyperlink" Target="https://scryfall.com/card/one/95/geth-thane-of-contracts" TargetMode="External"/><Relationship Id="rId392" Type="http://schemas.openxmlformats.org/officeDocument/2006/relationships/hyperlink" Target="https://scryfall.com/card/mh2/138/ragavan-nimble-pilferer" TargetMode="External"/><Relationship Id="rId613" Type="http://schemas.openxmlformats.org/officeDocument/2006/relationships/hyperlink" Target="https://scryfall.com/card/one/19/kemba-kha-enduring" TargetMode="External"/><Relationship Id="rId697" Type="http://schemas.openxmlformats.org/officeDocument/2006/relationships/hyperlink" Target="https://scryfall.com/card/who/9/clara-oswald" TargetMode="External"/><Relationship Id="rId820" Type="http://schemas.openxmlformats.org/officeDocument/2006/relationships/hyperlink" Target="https://scryfall.com/card/khm/223/moritte-of-the-frost" TargetMode="External"/><Relationship Id="rId918" Type="http://schemas.openxmlformats.org/officeDocument/2006/relationships/hyperlink" Target="https://scryfall.com/card/afr/218/barrowin-of-clan-undurr" TargetMode="External"/><Relationship Id="rId252" Type="http://schemas.openxmlformats.org/officeDocument/2006/relationships/hyperlink" Target="https://scryfall.com/card/mat/40/niv-mizzet-supreme" TargetMode="External"/><Relationship Id="rId47" Type="http://schemas.openxmlformats.org/officeDocument/2006/relationships/hyperlink" Target="https://scryfall.com/card/stx/230/shadrix-silverquill" TargetMode="External"/><Relationship Id="rId112" Type="http://schemas.openxmlformats.org/officeDocument/2006/relationships/hyperlink" Target="https://scryfall.com/card/sld/432/chun-li-countless-kicks" TargetMode="External"/><Relationship Id="rId557" Type="http://schemas.openxmlformats.org/officeDocument/2006/relationships/hyperlink" Target="https://scryfall.com/card/woc/2/ellivere-of-the-wild-court" TargetMode="External"/><Relationship Id="rId764" Type="http://schemas.openxmlformats.org/officeDocument/2006/relationships/hyperlink" Target="https://scryfall.com/card/ltr/129/gimli-counter-of-kills" TargetMode="External"/><Relationship Id="rId196" Type="http://schemas.openxmlformats.org/officeDocument/2006/relationships/hyperlink" Target="https://scryfall.com/card/clb/186/karlach-fury-of-avernus" TargetMode="External"/><Relationship Id="rId417" Type="http://schemas.openxmlformats.org/officeDocument/2006/relationships/hyperlink" Target="https://scryfall.com/card/ncc/89/mari-the-killing-quill" TargetMode="External"/><Relationship Id="rId624" Type="http://schemas.openxmlformats.org/officeDocument/2006/relationships/hyperlink" Target="https://scryfall.com/card/ltr/132/gl%C3%B3in-dwarf-emissary" TargetMode="External"/><Relationship Id="rId831" Type="http://schemas.openxmlformats.org/officeDocument/2006/relationships/hyperlink" Target="https://scryfall.com/card/40k/96/old-one-eye" TargetMode="External"/><Relationship Id="rId263" Type="http://schemas.openxmlformats.org/officeDocument/2006/relationships/hyperlink" Target="https://scryfall.com/card/40k/5/imotekh-the-stormlord" TargetMode="External"/><Relationship Id="rId470" Type="http://schemas.openxmlformats.org/officeDocument/2006/relationships/hyperlink" Target="https://scryfall.com/card/vow/119/henrika-domnathi-henrika-infernal-seer" TargetMode="External"/><Relationship Id="rId58" Type="http://schemas.openxmlformats.org/officeDocument/2006/relationships/hyperlink" Target="https://scryfall.com/card/sld/433/dhalsim-pliable-pacifist" TargetMode="External"/><Relationship Id="rId123" Type="http://schemas.openxmlformats.org/officeDocument/2006/relationships/hyperlink" Target="https://scryfall.com/card/snc/193/jetmir-nexus-of-revels" TargetMode="External"/><Relationship Id="rId330" Type="http://schemas.openxmlformats.org/officeDocument/2006/relationships/hyperlink" Target="https://scryfall.com/card/dmc/1/dihada-binder-of-wills" TargetMode="External"/><Relationship Id="rId568" Type="http://schemas.openxmlformats.org/officeDocument/2006/relationships/hyperlink" Target="https://scryfall.com/card/clb/176/ganax-astral-hunter" TargetMode="External"/><Relationship Id="rId775" Type="http://schemas.openxmlformats.org/officeDocument/2006/relationships/hyperlink" Target="https://scryfall.com/card/afr/234/targ-nar-demon-fang-gnoll" TargetMode="External"/><Relationship Id="rId428" Type="http://schemas.openxmlformats.org/officeDocument/2006/relationships/hyperlink" Target="https://scryfall.com/card/moc/7/moira-and-teshar" TargetMode="External"/><Relationship Id="rId635" Type="http://schemas.openxmlformats.org/officeDocument/2006/relationships/hyperlink" Target="https://scryfall.com/card/afr/207/the-tarrasque" TargetMode="External"/><Relationship Id="rId842" Type="http://schemas.openxmlformats.org/officeDocument/2006/relationships/hyperlink" Target="https://scryfall.com/card/cmr/4/alharu-solemn-ritualist" TargetMode="External"/><Relationship Id="rId274" Type="http://schemas.openxmlformats.org/officeDocument/2006/relationships/hyperlink" Target="https://scryfall.com/card/cmm/707/sliver-gravemother" TargetMode="External"/><Relationship Id="rId481" Type="http://schemas.openxmlformats.org/officeDocument/2006/relationships/hyperlink" Target="https://scryfall.com/card/40k/65/trazyn-the-infinite" TargetMode="External"/><Relationship Id="rId702" Type="http://schemas.openxmlformats.org/officeDocument/2006/relationships/hyperlink" Target="https://scryfall.com/card/ncc/77/oskar-rubbish-reclaimer" TargetMode="External"/><Relationship Id="rId69" Type="http://schemas.openxmlformats.org/officeDocument/2006/relationships/hyperlink" Target="https://scryfall.com/card/who/130/the-fugitive-doctor" TargetMode="External"/><Relationship Id="rId134" Type="http://schemas.openxmlformats.org/officeDocument/2006/relationships/hyperlink" Target="https://scryfall.com/card/afc/56/wulfgar-of-icewind-dale" TargetMode="External"/><Relationship Id="rId579" Type="http://schemas.openxmlformats.org/officeDocument/2006/relationships/hyperlink" Target="https://scryfall.com/card/clb/655/baeloth-barrityl-entertainer" TargetMode="External"/><Relationship Id="rId786" Type="http://schemas.openxmlformats.org/officeDocument/2006/relationships/hyperlink" Target="https://scryfall.com/card/ncc/92/vazi-keen-negotiator" TargetMode="External"/><Relationship Id="rId341" Type="http://schemas.openxmlformats.org/officeDocument/2006/relationships/hyperlink" Target="https://scryfall.com/card/dmu/216/rona-sheoldreds-faithful" TargetMode="External"/><Relationship Id="rId439" Type="http://schemas.openxmlformats.org/officeDocument/2006/relationships/hyperlink" Target="https://scryfall.com/card/ltr/84/gollum-patient-plotter" TargetMode="External"/><Relationship Id="rId646" Type="http://schemas.openxmlformats.org/officeDocument/2006/relationships/hyperlink" Target="https://scryfall.com/card/bot/11/goldbug-humanitys-ally-goldbug-scrappy-scout" TargetMode="External"/><Relationship Id="rId201" Type="http://schemas.openxmlformats.org/officeDocument/2006/relationships/hyperlink" Target="https://scryfall.com/card/mh2/202/grist-the-hunger-tide" TargetMode="External"/><Relationship Id="rId285" Type="http://schemas.openxmlformats.org/officeDocument/2006/relationships/hyperlink" Target="https://scryfall.com/card/40k/4/the-swarmlord" TargetMode="External"/><Relationship Id="rId506" Type="http://schemas.openxmlformats.org/officeDocument/2006/relationships/hyperlink" Target="https://scryfall.com/card/40k/28/anrakyr-the-traveller" TargetMode="External"/><Relationship Id="rId853" Type="http://schemas.openxmlformats.org/officeDocument/2006/relationships/hyperlink" Target="https://scryfall.com/card/cmr/231/halana-kessig-ranger" TargetMode="External"/><Relationship Id="rId492" Type="http://schemas.openxmlformats.org/officeDocument/2006/relationships/hyperlink" Target="https://scryfall.com/card/mh2/69/svyelun-of-sea-and-sky" TargetMode="External"/><Relationship Id="rId713" Type="http://schemas.openxmlformats.org/officeDocument/2006/relationships/hyperlink" Target="https://scryfall.com/card/clb/90/renari-merchant-of-marvels" TargetMode="External"/><Relationship Id="rId797" Type="http://schemas.openxmlformats.org/officeDocument/2006/relationships/hyperlink" Target="https://scryfall.com/card/woe/217/troyan-gutsy-explorer" TargetMode="External"/><Relationship Id="rId920" Type="http://schemas.openxmlformats.org/officeDocument/2006/relationships/hyperlink" Target="https://scryfall.com/card/ltr/87/gothmog-morgul-lieutenant" TargetMode="External"/><Relationship Id="rId145" Type="http://schemas.openxmlformats.org/officeDocument/2006/relationships/hyperlink" Target="https://scryfall.com/card/neo/134/atsushi-the-blazing-sky" TargetMode="External"/><Relationship Id="rId352" Type="http://schemas.openxmlformats.org/officeDocument/2006/relationships/hyperlink" Target="https://scryfall.com/card/clb/284/miirym-sentinel-wyrm" TargetMode="External"/><Relationship Id="rId212" Type="http://schemas.openxmlformats.org/officeDocument/2006/relationships/hyperlink" Target="https://scryfall.com/card/ltr/166/fangorn-tree-shepherd" TargetMode="External"/><Relationship Id="rId657" Type="http://schemas.openxmlformats.org/officeDocument/2006/relationships/hyperlink" Target="https://scryfall.com/card/mom/334/orthion-hero-of-lavabrink" TargetMode="External"/><Relationship Id="rId864" Type="http://schemas.openxmlformats.org/officeDocument/2006/relationships/hyperlink" Target="https://scryfall.com/card/cmr/269/averna-the-chaos-bloom" TargetMode="External"/><Relationship Id="rId296" Type="http://schemas.openxmlformats.org/officeDocument/2006/relationships/hyperlink" Target="https://scryfall.com/card/sld/430/ken-burning-brawler" TargetMode="External"/><Relationship Id="rId517" Type="http://schemas.openxmlformats.org/officeDocument/2006/relationships/hyperlink" Target="https://scryfall.com/card/khm/216/kardur-doomscourge" TargetMode="External"/><Relationship Id="rId724" Type="http://schemas.openxmlformats.org/officeDocument/2006/relationships/hyperlink" Target="https://scryfall.com/card/cmr/108/armix-filigree-thrasher" TargetMode="External"/><Relationship Id="rId60" Type="http://schemas.openxmlformats.org/officeDocument/2006/relationships/hyperlink" Target="https://scryfall.com/card/sld/347/will-the-wise" TargetMode="External"/><Relationship Id="rId156" Type="http://schemas.openxmlformats.org/officeDocument/2006/relationships/hyperlink" Target="https://scryfall.com/card/j22/8/preston-the-vanisher" TargetMode="External"/><Relationship Id="rId363" Type="http://schemas.openxmlformats.org/officeDocument/2006/relationships/hyperlink" Target="https://scryfall.com/card/mat/18/plargg-and-nassari" TargetMode="External"/><Relationship Id="rId570" Type="http://schemas.openxmlformats.org/officeDocument/2006/relationships/hyperlink" Target="https://scryfall.com/card/who/47/k-9-mark-i" TargetMode="External"/><Relationship Id="rId223" Type="http://schemas.openxmlformats.org/officeDocument/2006/relationships/hyperlink" Target="https://scryfall.com/card/clb/29/laezel-vlaakiths-champion" TargetMode="External"/><Relationship Id="rId430" Type="http://schemas.openxmlformats.org/officeDocument/2006/relationships/hyperlink" Target="https://scryfall.com/card/dmc/42/stangg-echo-warrior" TargetMode="External"/><Relationship Id="rId668" Type="http://schemas.openxmlformats.org/officeDocument/2006/relationships/hyperlink" Target="https://scryfall.com/card/c21/2/felisa-fang-of-silverquill" TargetMode="External"/><Relationship Id="rId875" Type="http://schemas.openxmlformats.org/officeDocument/2006/relationships/hyperlink" Target="https://scryfall.com/card/ltr/235/ugl%C3%BAk-of-the-white-hand" TargetMode="External"/><Relationship Id="rId18" Type="http://schemas.openxmlformats.org/officeDocument/2006/relationships/hyperlink" Target="https://scryfall.com/card/cmr/89/sakashima-of-a-thousand-faces" TargetMode="External"/><Relationship Id="rId528" Type="http://schemas.openxmlformats.org/officeDocument/2006/relationships/hyperlink" Target="https://scryfall.com/card/40k/124/ghyrson-starn-kelermorph" TargetMode="External"/><Relationship Id="rId735" Type="http://schemas.openxmlformats.org/officeDocument/2006/relationships/hyperlink" Target="https://scryfall.com/card/c21/55/rionya-fire-dancer" TargetMode="External"/><Relationship Id="rId167" Type="http://schemas.openxmlformats.org/officeDocument/2006/relationships/hyperlink" Target="https://scryfall.com/card/mat/26/calix-guided-by-fate" TargetMode="External"/><Relationship Id="rId374" Type="http://schemas.openxmlformats.org/officeDocument/2006/relationships/hyperlink" Target="https://scryfall.com/card/stx/151/jadzi-oracle-of-arcavios-journey-to-the-oracle" TargetMode="External"/><Relationship Id="rId581" Type="http://schemas.openxmlformats.org/officeDocument/2006/relationships/hyperlink" Target="https://scryfall.com/card/nec/3/kaima-the-fractured-calm" TargetMode="External"/><Relationship Id="rId71" Type="http://schemas.openxmlformats.org/officeDocument/2006/relationships/hyperlink" Target="https://scryfall.com/card/ltr/222/samwise-gamgee" TargetMode="External"/><Relationship Id="rId234" Type="http://schemas.openxmlformats.org/officeDocument/2006/relationships/hyperlink" Target="https://scryfall.com/card/cmr/239/kodama-of-the-east-tree" TargetMode="External"/><Relationship Id="rId679" Type="http://schemas.openxmlformats.org/officeDocument/2006/relationships/hyperlink" Target="https://scryfall.com/card/mic/20/gorex-the-tombshell" TargetMode="External"/><Relationship Id="rId802" Type="http://schemas.openxmlformats.org/officeDocument/2006/relationships/hyperlink" Target="https://scryfall.com/card/woe/132/goddric-cloaked-reveler" TargetMode="External"/><Relationship Id="rId886" Type="http://schemas.openxmlformats.org/officeDocument/2006/relationships/hyperlink" Target="https://scryfall.com/card/afc/44/catti-brie-of-mithral-hall" TargetMode="External"/><Relationship Id="rId2" Type="http://schemas.openxmlformats.org/officeDocument/2006/relationships/hyperlink" Target="https://scryfall.com/card/cmr/189/krark-the-thumbless" TargetMode="External"/><Relationship Id="rId29" Type="http://schemas.openxmlformats.org/officeDocument/2006/relationships/hyperlink" Target="https://scryfall.com/card/who/164/the-twelfth-doctor" TargetMode="External"/><Relationship Id="rId441" Type="http://schemas.openxmlformats.org/officeDocument/2006/relationships/hyperlink" Target="https://scryfall.com/card/ltr/114/witch-king-of-angmar" TargetMode="External"/><Relationship Id="rId539" Type="http://schemas.openxmlformats.org/officeDocument/2006/relationships/hyperlink" Target="https://scryfall.com/card/cmr/38/prava-of-the-steel-legion" TargetMode="External"/><Relationship Id="rId746" Type="http://schemas.openxmlformats.org/officeDocument/2006/relationships/hyperlink" Target="https://scryfall.com/card/mat/44/rocco-street-chef" TargetMode="External"/><Relationship Id="rId178" Type="http://schemas.openxmlformats.org/officeDocument/2006/relationships/hyperlink" Target="https://scryfall.com/card/cmr/31/livio-oathsworn-sentinel" TargetMode="External"/><Relationship Id="rId301" Type="http://schemas.openxmlformats.org/officeDocument/2006/relationships/hyperlink" Target="https://scryfall.com/card/c21/6/willowdusk-essence-seer" TargetMode="External"/><Relationship Id="rId82" Type="http://schemas.openxmlformats.org/officeDocument/2006/relationships/hyperlink" Target="https://scryfall.com/card/clb/103/volo-itinerant-scholar" TargetMode="External"/><Relationship Id="rId385" Type="http://schemas.openxmlformats.org/officeDocument/2006/relationships/hyperlink" Target="https://scryfall.com/card/sld/344/lucas-the-sharpshooter" TargetMode="External"/><Relationship Id="rId592" Type="http://schemas.openxmlformats.org/officeDocument/2006/relationships/hyperlink" Target="https://scryfall.com/card/nec/34/myojin-of-grim-betrayal" TargetMode="External"/><Relationship Id="rId606" Type="http://schemas.openxmlformats.org/officeDocument/2006/relationships/hyperlink" Target="https://scryfall.com/card/snc/218/rocco-cabaretti-caterer" TargetMode="External"/><Relationship Id="rId813" Type="http://schemas.openxmlformats.org/officeDocument/2006/relationships/hyperlink" Target="https://scryfall.com/card/moc/9/saint-traft-and-rem-karolus" TargetMode="External"/><Relationship Id="rId245" Type="http://schemas.openxmlformats.org/officeDocument/2006/relationships/hyperlink" Target="https://scryfall.com/card/woe/202/eriette-of-the-charmed-apple" TargetMode="External"/><Relationship Id="rId452" Type="http://schemas.openxmlformats.org/officeDocument/2006/relationships/hyperlink" Target="https://scryfall.com/card/mh2/207/piru-the-volatile" TargetMode="External"/><Relationship Id="rId897" Type="http://schemas.openxmlformats.org/officeDocument/2006/relationships/hyperlink" Target="https://scryfall.com/card/cmr/276/gnostro-voice-of-the-crags" TargetMode="External"/><Relationship Id="rId105" Type="http://schemas.openxmlformats.org/officeDocument/2006/relationships/hyperlink" Target="https://scryfall.com/card/ltr/288/sauron-the-lidless-eye" TargetMode="External"/><Relationship Id="rId312" Type="http://schemas.openxmlformats.org/officeDocument/2006/relationships/hyperlink" Target="https://scryfall.com/card/ncc/10/tivit-seller-of-secrets" TargetMode="External"/><Relationship Id="rId757" Type="http://schemas.openxmlformats.org/officeDocument/2006/relationships/hyperlink" Target="https://scryfall.com/card/ltr/27/rosie-cotton-of-south-lane" TargetMode="External"/><Relationship Id="rId93" Type="http://schemas.openxmlformats.org/officeDocument/2006/relationships/hyperlink" Target="https://scryfall.com/card/who/128/the-first-doctor" TargetMode="External"/><Relationship Id="rId189" Type="http://schemas.openxmlformats.org/officeDocument/2006/relationships/hyperlink" Target="https://scryfall.com/card/khm/70/orvar-the-all-form" TargetMode="External"/><Relationship Id="rId396" Type="http://schemas.openxmlformats.org/officeDocument/2006/relationships/hyperlink" Target="https://scryfall.com/card/woc/3/alela-cunning-conqueror" TargetMode="External"/><Relationship Id="rId617" Type="http://schemas.openxmlformats.org/officeDocument/2006/relationships/hyperlink" Target="https://scryfall.com/card/one/206/kethek-crucible-goliath" TargetMode="External"/><Relationship Id="rId824" Type="http://schemas.openxmlformats.org/officeDocument/2006/relationships/hyperlink" Target="https://scryfall.com/card/afr/219/bruenor-battlehammer" TargetMode="External"/><Relationship Id="rId256" Type="http://schemas.openxmlformats.org/officeDocument/2006/relationships/hyperlink" Target="https://scryfall.com/card/dmu/203/jodah-the-unifier" TargetMode="External"/><Relationship Id="rId463" Type="http://schemas.openxmlformats.org/officeDocument/2006/relationships/hyperlink" Target="https://scryfall.com/card/who/51/nyssa-of-traken" TargetMode="External"/><Relationship Id="rId670" Type="http://schemas.openxmlformats.org/officeDocument/2006/relationships/hyperlink" Target="https://scryfall.com/card/ncc/67/bess-soul-nourisher" TargetMode="External"/><Relationship Id="rId116" Type="http://schemas.openxmlformats.org/officeDocument/2006/relationships/hyperlink" Target="https://scryfall.com/card/j22/1/agrus-kos-eternal-soldier" TargetMode="External"/><Relationship Id="rId323" Type="http://schemas.openxmlformats.org/officeDocument/2006/relationships/hyperlink" Target="https://scryfall.com/card/bot/10/flamewar-brash-veteran-flamewar-streetwise-operative" TargetMode="External"/><Relationship Id="rId530" Type="http://schemas.openxmlformats.org/officeDocument/2006/relationships/hyperlink" Target="https://scryfall.com/card/moc/4/kasla-the-broken-halo" TargetMode="External"/><Relationship Id="rId768" Type="http://schemas.openxmlformats.org/officeDocument/2006/relationships/hyperlink" Target="https://scryfall.com/card/znr/242/zareth-san-the-trickster" TargetMode="External"/><Relationship Id="rId20" Type="http://schemas.openxmlformats.org/officeDocument/2006/relationships/hyperlink" Target="https://scryfall.com/card/mh2/197/garth-one-eye" TargetMode="External"/><Relationship Id="rId628" Type="http://schemas.openxmlformats.org/officeDocument/2006/relationships/hyperlink" Target="https://scryfall.com/card/ltr/200/elrond-master-of-healing" TargetMode="External"/><Relationship Id="rId835" Type="http://schemas.openxmlformats.org/officeDocument/2006/relationships/hyperlink" Target="https://scryfall.com/card/neo/144/go-shintai-of-ancient-wars" TargetMode="External"/><Relationship Id="rId267" Type="http://schemas.openxmlformats.org/officeDocument/2006/relationships/hyperlink" Target="https://scryfall.com/card/znr/233/orah-skyclave-hierophant" TargetMode="External"/><Relationship Id="rId474" Type="http://schemas.openxmlformats.org/officeDocument/2006/relationships/hyperlink" Target="https://scryfall.com/card/ltr/75/the-watcher-in-the-water" TargetMode="External"/><Relationship Id="rId127" Type="http://schemas.openxmlformats.org/officeDocument/2006/relationships/hyperlink" Target="https://scryfall.com/card/mh2/186/asmoranomardicadaistinaculdacar" TargetMode="External"/><Relationship Id="rId681" Type="http://schemas.openxmlformats.org/officeDocument/2006/relationships/hyperlink" Target="https://scryfall.com/card/afr/229/orcus-prince-of-undeath" TargetMode="External"/><Relationship Id="rId779" Type="http://schemas.openxmlformats.org/officeDocument/2006/relationships/hyperlink" Target="https://scryfall.com/card/afc/55/storvald-frost-giant-jarl" TargetMode="External"/><Relationship Id="rId902" Type="http://schemas.openxmlformats.org/officeDocument/2006/relationships/hyperlink" Target="https://scryfall.com/card/one/210/migloz-maze-crusher" TargetMode="External"/><Relationship Id="rId31" Type="http://schemas.openxmlformats.org/officeDocument/2006/relationships/hyperlink" Target="https://scryfall.com/card/khm/112/tergrid-god-of-fright-tergrids-lantern" TargetMode="External"/><Relationship Id="rId334" Type="http://schemas.openxmlformats.org/officeDocument/2006/relationships/hyperlink" Target="https://scryfall.com/card/clb/267/bane-lord-of-darkness" TargetMode="External"/><Relationship Id="rId541" Type="http://schemas.openxmlformats.org/officeDocument/2006/relationships/hyperlink" Target="https://scryfall.com/card/afr/223/gretchen-titchwillow" TargetMode="External"/><Relationship Id="rId639" Type="http://schemas.openxmlformats.org/officeDocument/2006/relationships/hyperlink" Target="https://scryfall.com/card/voc/3/donal-herald-of-wings" TargetMode="External"/><Relationship Id="rId180" Type="http://schemas.openxmlformats.org/officeDocument/2006/relationships/hyperlink" Target="https://scryfall.com/card/bro/51/hurkyl-master-wizard" TargetMode="External"/><Relationship Id="rId278" Type="http://schemas.openxmlformats.org/officeDocument/2006/relationships/hyperlink" Target="https://scryfall.com/card/c21/29/octavia-living-thesis" TargetMode="External"/><Relationship Id="rId401" Type="http://schemas.openxmlformats.org/officeDocument/2006/relationships/hyperlink" Target="https://scryfall.com/card/who/27/romana-ii" TargetMode="External"/><Relationship Id="rId846" Type="http://schemas.openxmlformats.org/officeDocument/2006/relationships/hyperlink" Target="https://scryfall.com/card/dmc/45/tobias-doomed-conqueror" TargetMode="External"/><Relationship Id="rId485" Type="http://schemas.openxmlformats.org/officeDocument/2006/relationships/hyperlink" Target="https://scryfall.com/card/ltr/233/th%C3%A9oden-king-of-rohan" TargetMode="External"/><Relationship Id="rId692" Type="http://schemas.openxmlformats.org/officeDocument/2006/relationships/hyperlink" Target="https://scryfall.com/card/dmu/206/meria-scholar-of-antiquity" TargetMode="External"/><Relationship Id="rId706" Type="http://schemas.openxmlformats.org/officeDocument/2006/relationships/hyperlink" Target="https://scryfall.com/card/j22/12/isu-the-abominable" TargetMode="External"/><Relationship Id="rId913" Type="http://schemas.openxmlformats.org/officeDocument/2006/relationships/hyperlink" Target="https://scryfall.com/card/ltr/156/celeborn-the-wise" TargetMode="External"/><Relationship Id="rId42" Type="http://schemas.openxmlformats.org/officeDocument/2006/relationships/hyperlink" Target="https://scryfall.com/card/dmu/220/soul-of-windgrace" TargetMode="External"/><Relationship Id="rId138" Type="http://schemas.openxmlformats.org/officeDocument/2006/relationships/hyperlink" Target="https://scryfall.com/card/stx/192/hofri-ghostforge" TargetMode="External"/><Relationship Id="rId345" Type="http://schemas.openxmlformats.org/officeDocument/2006/relationships/hyperlink" Target="https://scryfall.com/card/cmr/280/imoti-celebrant-of-bounty" TargetMode="External"/><Relationship Id="rId552" Type="http://schemas.openxmlformats.org/officeDocument/2006/relationships/hyperlink" Target="https://scryfall.com/card/ltc/7/sam-loyal-attendant" TargetMode="External"/><Relationship Id="rId191" Type="http://schemas.openxmlformats.org/officeDocument/2006/relationships/hyperlink" Target="https://scryfall.com/card/one/202/glissa-sunslayer" TargetMode="External"/><Relationship Id="rId205" Type="http://schemas.openxmlformats.org/officeDocument/2006/relationships/hyperlink" Target="https://scryfall.com/card/who/5/rose-tyler" TargetMode="External"/><Relationship Id="rId412" Type="http://schemas.openxmlformats.org/officeDocument/2006/relationships/hyperlink" Target="https://scryfall.com/card/cmr/10/ardenn-intrepid-archaeologist" TargetMode="External"/><Relationship Id="rId857" Type="http://schemas.openxmlformats.org/officeDocument/2006/relationships/hyperlink" Target="https://scryfall.com/card/neo/14/go-shintai-of-shared-purpose" TargetMode="External"/><Relationship Id="rId289" Type="http://schemas.openxmlformats.org/officeDocument/2006/relationships/hyperlink" Target="https://scryfall.com/card/stx/178/dina-soul-steeper" TargetMode="External"/><Relationship Id="rId496" Type="http://schemas.openxmlformats.org/officeDocument/2006/relationships/hyperlink" Target="https://scryfall.com/card/who/48/martha-jones" TargetMode="External"/><Relationship Id="rId717" Type="http://schemas.openxmlformats.org/officeDocument/2006/relationships/hyperlink" Target="https://scryfall.com/card/dmc/41/rohgahh-kher-keep-overlord" TargetMode="External"/><Relationship Id="rId924" Type="http://schemas.openxmlformats.org/officeDocument/2006/relationships/hyperlink" Target="https://scryfall.com/card/mid/108/jadar-ghoulcaller-of-nephalia" TargetMode="External"/><Relationship Id="rId53" Type="http://schemas.openxmlformats.org/officeDocument/2006/relationships/hyperlink" Target="https://scryfall.com/card/one/203/jor-kadeen-first-goldwarden" TargetMode="External"/><Relationship Id="rId149" Type="http://schemas.openxmlformats.org/officeDocument/2006/relationships/hyperlink" Target="https://scryfall.com/card/stx/21/mavinda-students-advocate" TargetMode="External"/><Relationship Id="rId356" Type="http://schemas.openxmlformats.org/officeDocument/2006/relationships/hyperlink" Target="https://scryfall.com/card/bbd/1/will-kenrith" TargetMode="External"/><Relationship Id="rId563" Type="http://schemas.openxmlformats.org/officeDocument/2006/relationships/hyperlink" Target="https://scryfall.com/card/nec/33/myojin-of-cryptic-dreams" TargetMode="External"/><Relationship Id="rId770" Type="http://schemas.openxmlformats.org/officeDocument/2006/relationships/hyperlink" Target="https://scryfall.com/card/m21/146/gadrak-the-crown-scourge" TargetMode="External"/><Relationship Id="rId216" Type="http://schemas.openxmlformats.org/officeDocument/2006/relationships/hyperlink" Target="https://scryfall.com/card/jmp/24/muxus-goblin-grandee" TargetMode="External"/><Relationship Id="rId423" Type="http://schemas.openxmlformats.org/officeDocument/2006/relationships/hyperlink" Target="https://scryfall.com/card/stx/160/uvilda-dean-of-perfection-nassari-dean-of-expression" TargetMode="External"/><Relationship Id="rId868" Type="http://schemas.openxmlformats.org/officeDocument/2006/relationships/hyperlink" Target="https://scryfall.com/card/snc/196/lagrella-the-magpie" TargetMode="External"/><Relationship Id="rId630" Type="http://schemas.openxmlformats.org/officeDocument/2006/relationships/hyperlink" Target="https://scryfall.com/card/c21/26/deekah-fractal-theorist" TargetMode="External"/><Relationship Id="rId728" Type="http://schemas.openxmlformats.org/officeDocument/2006/relationships/hyperlink" Target="https://scryfall.com/card/neo/145/goro-goro-disciple-of-ryusei" TargetMode="External"/><Relationship Id="rId64" Type="http://schemas.openxmlformats.org/officeDocument/2006/relationships/hyperlink" Target="https://scryfall.com/card/ltr/18/frodo-saurons-bane" TargetMode="External"/><Relationship Id="rId367" Type="http://schemas.openxmlformats.org/officeDocument/2006/relationships/hyperlink" Target="https://scryfall.com/card/cmr/155/tormod-the-desecrator" TargetMode="External"/><Relationship Id="rId574" Type="http://schemas.openxmlformats.org/officeDocument/2006/relationships/hyperlink" Target="https://scryfall.com/card/bro/237/liberator-urzas-battlethopter" TargetMode="External"/><Relationship Id="rId227" Type="http://schemas.openxmlformats.org/officeDocument/2006/relationships/hyperlink" Target="https://scryfall.com/card/clb/274/elminster" TargetMode="External"/><Relationship Id="rId781" Type="http://schemas.openxmlformats.org/officeDocument/2006/relationships/hyperlink" Target="https://scryfall.com/card/ltr/286/elanor-gardner" TargetMode="External"/><Relationship Id="rId879" Type="http://schemas.openxmlformats.org/officeDocument/2006/relationships/hyperlink" Target="https://scryfall.com/card/cmr/67/esior-wardwing-familiar" TargetMode="External"/><Relationship Id="rId434" Type="http://schemas.openxmlformats.org/officeDocument/2006/relationships/hyperlink" Target="https://scryfall.com/card/bot/8/blaster-combat-dj-blaster-morale-booster" TargetMode="External"/><Relationship Id="rId641" Type="http://schemas.openxmlformats.org/officeDocument/2006/relationships/hyperlink" Target="https://scryfall.com/card/mom/224/errant-and-giada" TargetMode="External"/><Relationship Id="rId739" Type="http://schemas.openxmlformats.org/officeDocument/2006/relationships/hyperlink" Target="https://scryfall.com/card/cmr/72/glacian-powerstone-engineer" TargetMode="External"/><Relationship Id="rId280" Type="http://schemas.openxmlformats.org/officeDocument/2006/relationships/hyperlink" Target="https://scryfall.com/card/dmc/32/hazezon-shaper-of-sand" TargetMode="External"/><Relationship Id="rId501" Type="http://schemas.openxmlformats.org/officeDocument/2006/relationships/hyperlink" Target="https://scryfall.com/card/cmm/708/omarthis-ghostfire-initiate" TargetMode="External"/><Relationship Id="rId75" Type="http://schemas.openxmlformats.org/officeDocument/2006/relationships/hyperlink" Target="https://scryfall.com/card/ltr/230/shelob-child-of-ungoliant" TargetMode="External"/><Relationship Id="rId140" Type="http://schemas.openxmlformats.org/officeDocument/2006/relationships/hyperlink" Target="https://scryfall.com/card/moc/445/goro-goro-and-satoru" TargetMode="External"/><Relationship Id="rId378" Type="http://schemas.openxmlformats.org/officeDocument/2006/relationships/hyperlink" Target="https://scryfall.com/card/khm/181/kolvori-god-of-kinship-the-ringhart-crest" TargetMode="External"/><Relationship Id="rId585" Type="http://schemas.openxmlformats.org/officeDocument/2006/relationships/hyperlink" Target="https://scryfall.com/card/neo/146/heiko-yamazaki-the-general" TargetMode="External"/><Relationship Id="rId792" Type="http://schemas.openxmlformats.org/officeDocument/2006/relationships/hyperlink" Target="https://scryfall.com/card/woc/1/tegwyll-duke-of-splendor" TargetMode="External"/><Relationship Id="rId806" Type="http://schemas.openxmlformats.org/officeDocument/2006/relationships/hyperlink" Target="https://scryfall.com/card/znr/239/verazol-the-split-current" TargetMode="External"/><Relationship Id="rId6" Type="http://schemas.openxmlformats.org/officeDocument/2006/relationships/hyperlink" Target="https://scryfall.com/card/mom/65/jin-gitaxias-the-great-synthesis" TargetMode="External"/><Relationship Id="rId238" Type="http://schemas.openxmlformats.org/officeDocument/2006/relationships/hyperlink" Target="https://scryfall.com/card/bro/222/tawnos-the-toymaker" TargetMode="External"/><Relationship Id="rId445" Type="http://schemas.openxmlformats.org/officeDocument/2006/relationships/hyperlink" Target="https://scryfall.com/card/cmm/704/zhulodok-void-gorger" TargetMode="External"/><Relationship Id="rId652" Type="http://schemas.openxmlformats.org/officeDocument/2006/relationships/hyperlink" Target="https://scryfall.com/card/stx/240/tanazir-quandrix" TargetMode="External"/><Relationship Id="rId291" Type="http://schemas.openxmlformats.org/officeDocument/2006/relationships/hyperlink" Target="https://scryfall.com/card/mat/45/samut-vizier-of-naktamun" TargetMode="External"/><Relationship Id="rId305" Type="http://schemas.openxmlformats.org/officeDocument/2006/relationships/hyperlink" Target="https://scryfall.com/card/znr/150/moraug-fury-of-akoum" TargetMode="External"/><Relationship Id="rId512" Type="http://schemas.openxmlformats.org/officeDocument/2006/relationships/hyperlink" Target="https://scryfall.com/card/40k/10/celestine-the-living-saint" TargetMode="External"/><Relationship Id="rId86" Type="http://schemas.openxmlformats.org/officeDocument/2006/relationships/hyperlink" Target="https://scryfall.com/card/woe/211/rowan-scion-of-war" TargetMode="External"/><Relationship Id="rId151" Type="http://schemas.openxmlformats.org/officeDocument/2006/relationships/hyperlink" Target="https://scryfall.com/card/snc/129/urabrask-heretic-praetor" TargetMode="External"/><Relationship Id="rId389" Type="http://schemas.openxmlformats.org/officeDocument/2006/relationships/hyperlink" Target="https://scryfall.com/card/cmr/71/ghost-of-ramirez-depietro" TargetMode="External"/><Relationship Id="rId596" Type="http://schemas.openxmlformats.org/officeDocument/2006/relationships/hyperlink" Target="https://scryfall.com/card/c21/53/laelia-the-blade-reforged" TargetMode="External"/><Relationship Id="rId817" Type="http://schemas.openxmlformats.org/officeDocument/2006/relationships/hyperlink" Target="https://scryfall.com/card/clb/234/halsin-emerald-archdruid" TargetMode="External"/><Relationship Id="rId249" Type="http://schemas.openxmlformats.org/officeDocument/2006/relationships/hyperlink" Target="https://scryfall.com/card/clb/270/commander-liara-portyr" TargetMode="External"/><Relationship Id="rId456" Type="http://schemas.openxmlformats.org/officeDocument/2006/relationships/hyperlink" Target="https://scryfall.com/card/ncc/86/bennie-bracks-zoologist" TargetMode="External"/><Relationship Id="rId663" Type="http://schemas.openxmlformats.org/officeDocument/2006/relationships/hyperlink" Target="https://scryfall.com/card/clb/286/minthara-merciless-soul" TargetMode="External"/><Relationship Id="rId870" Type="http://schemas.openxmlformats.org/officeDocument/2006/relationships/hyperlink" Target="https://scryfall.com/card/mid/235/rem-karolus-stalwart-slayer" TargetMode="External"/><Relationship Id="rId13" Type="http://schemas.openxmlformats.org/officeDocument/2006/relationships/hyperlink" Target="https://scryfall.com/card/stx/149/extus-oriq-overlord-awaken-the-blood-avatar" TargetMode="External"/><Relationship Id="rId109" Type="http://schemas.openxmlformats.org/officeDocument/2006/relationships/hyperlink" Target="https://scryfall.com/card/clb/278/jon-irenicus-shattered-one" TargetMode="External"/><Relationship Id="rId316" Type="http://schemas.openxmlformats.org/officeDocument/2006/relationships/hyperlink" Target="https://scryfall.com/card/khm/15/halvar-god-of-battle-sword-of-the-realms" TargetMode="External"/><Relationship Id="rId523" Type="http://schemas.openxmlformats.org/officeDocument/2006/relationships/hyperlink" Target="https://scryfall.com/card/clb/648/firkraag-cunning-instigator" TargetMode="External"/><Relationship Id="rId97" Type="http://schemas.openxmlformats.org/officeDocument/2006/relationships/hyperlink" Target="https://scryfall.com/card/ltc/13/gilraen-d%C3%BAnedain-protector" TargetMode="External"/><Relationship Id="rId730" Type="http://schemas.openxmlformats.org/officeDocument/2006/relationships/hyperlink" Target="https://scryfall.com/card/ltr/228/shagrat-loot-bearer" TargetMode="External"/><Relationship Id="rId828" Type="http://schemas.openxmlformats.org/officeDocument/2006/relationships/hyperlink" Target="https://scryfall.com/card/ltr/219/prince-imrahil-the-fair" TargetMode="External"/><Relationship Id="rId162" Type="http://schemas.openxmlformats.org/officeDocument/2006/relationships/hyperlink" Target="https://scryfall.com/card/neo/199/kodama-of-the-west-tree" TargetMode="External"/><Relationship Id="rId467" Type="http://schemas.openxmlformats.org/officeDocument/2006/relationships/hyperlink" Target="https://scryfall.com/card/snc/197/lord-xander-the-collector" TargetMode="External"/><Relationship Id="rId674" Type="http://schemas.openxmlformats.org/officeDocument/2006/relationships/hyperlink" Target="https://scryfall.com/card/cmr/214/anara-wolvid-familiar" TargetMode="External"/><Relationship Id="rId881" Type="http://schemas.openxmlformats.org/officeDocument/2006/relationships/hyperlink" Target="https://scryfall.com/card/mid/109/jerren-corrupted-bishop-ormendahl-the-corrupter" TargetMode="External"/><Relationship Id="rId24" Type="http://schemas.openxmlformats.org/officeDocument/2006/relationships/hyperlink" Target="https://scryfall.com/card/khm/221/koma-cosmos-serpent" TargetMode="External"/><Relationship Id="rId327" Type="http://schemas.openxmlformats.org/officeDocument/2006/relationships/hyperlink" Target="https://scryfall.com/card/bro/84/ashnod-flesh-mechanist" TargetMode="External"/><Relationship Id="rId534" Type="http://schemas.openxmlformats.org/officeDocument/2006/relationships/hyperlink" Target="https://scryfall.com/card/jmp/3/emiel-the-blessed" TargetMode="External"/><Relationship Id="rId741" Type="http://schemas.openxmlformats.org/officeDocument/2006/relationships/hyperlink" Target="https://scryfall.com/card/cmr/285/lathiel-the-bounteous-dawn" TargetMode="External"/><Relationship Id="rId839" Type="http://schemas.openxmlformats.org/officeDocument/2006/relationships/hyperlink" Target="https://scryfall.com/card/khm/220/koll-the-forgemaster" TargetMode="External"/><Relationship Id="rId173" Type="http://schemas.openxmlformats.org/officeDocument/2006/relationships/hyperlink" Target="https://scryfall.com/card/cmr/66/eligeth-crossroads-augur" TargetMode="External"/><Relationship Id="rId380" Type="http://schemas.openxmlformats.org/officeDocument/2006/relationships/hyperlink" Target="https://scryfall.com/card/stx/253/codie-vociferous-codex" TargetMode="External"/><Relationship Id="rId601" Type="http://schemas.openxmlformats.org/officeDocument/2006/relationships/hyperlink" Target="https://scryfall.com/card/clb/653/burakos-party-leader" TargetMode="External"/><Relationship Id="rId240" Type="http://schemas.openxmlformats.org/officeDocument/2006/relationships/hyperlink" Target="https://scryfall.com/card/ltc/52/%C3%A9omer-king-of-rohan" TargetMode="External"/><Relationship Id="rId478" Type="http://schemas.openxmlformats.org/officeDocument/2006/relationships/hyperlink" Target="https://scryfall.com/card/cmr/294/zara-renegade-recruiter" TargetMode="External"/><Relationship Id="rId685" Type="http://schemas.openxmlformats.org/officeDocument/2006/relationships/hyperlink" Target="https://scryfall.com/card/clb/283/mazzy-truesword-paladin" TargetMode="External"/><Relationship Id="rId892" Type="http://schemas.openxmlformats.org/officeDocument/2006/relationships/hyperlink" Target="https://scryfall.com/card/40k/83/the-red-terror" TargetMode="External"/><Relationship Id="rId906" Type="http://schemas.openxmlformats.org/officeDocument/2006/relationships/hyperlink" Target="https://scryfall.com/card/one/208/malcator-purity-overseer" TargetMode="External"/><Relationship Id="rId35" Type="http://schemas.openxmlformats.org/officeDocument/2006/relationships/hyperlink" Target="https://scryfall.com/card/mat/41/ob-nixilis-captive-kingpin" TargetMode="External"/><Relationship Id="rId100" Type="http://schemas.openxmlformats.org/officeDocument/2006/relationships/hyperlink" Target="https://scryfall.com/card/neo/74/the-reality-chip" TargetMode="External"/><Relationship Id="rId338" Type="http://schemas.openxmlformats.org/officeDocument/2006/relationships/hyperlink" Target="https://scryfall.com/card/woe/206/hylda-of-the-icy-crown" TargetMode="External"/><Relationship Id="rId545" Type="http://schemas.openxmlformats.org/officeDocument/2006/relationships/hyperlink" Target="https://scryfall.com/card/cmr/172/dargo-the-shipwrecker" TargetMode="External"/><Relationship Id="rId752" Type="http://schemas.openxmlformats.org/officeDocument/2006/relationships/hyperlink" Target="https://scryfall.com/card/moc/1/bright-palm-soul-awakener" TargetMode="External"/><Relationship Id="rId184" Type="http://schemas.openxmlformats.org/officeDocument/2006/relationships/hyperlink" Target="https://scryfall.com/card/ltr/290/gandalf-white-rider" TargetMode="External"/><Relationship Id="rId391" Type="http://schemas.openxmlformats.org/officeDocument/2006/relationships/hyperlink" Target="https://scryfall.com/card/cmm/710/narci-fable-singer" TargetMode="External"/><Relationship Id="rId405" Type="http://schemas.openxmlformats.org/officeDocument/2006/relationships/hyperlink" Target="https://scryfall.com/card/afr/227/minsc-beloved-ranger" TargetMode="External"/><Relationship Id="rId612" Type="http://schemas.openxmlformats.org/officeDocument/2006/relationships/hyperlink" Target="https://scryfall.com/card/afr/151/inferno-of-the-star-mounts" TargetMode="External"/><Relationship Id="rId251" Type="http://schemas.openxmlformats.org/officeDocument/2006/relationships/hyperlink" Target="https://scryfall.com/card/ltr/193/arwen-mortal-queen" TargetMode="External"/><Relationship Id="rId489" Type="http://schemas.openxmlformats.org/officeDocument/2006/relationships/hyperlink" Target="https://scryfall.com/card/clb/208/wyll-blade-of-frontiers" TargetMode="External"/><Relationship Id="rId696" Type="http://schemas.openxmlformats.org/officeDocument/2006/relationships/hyperlink" Target="https://scryfall.com/card/cmr/256/slurrk-all-ingesting" TargetMode="External"/><Relationship Id="rId917" Type="http://schemas.openxmlformats.org/officeDocument/2006/relationships/hyperlink" Target="https://scryfall.com/card/neo/229/naomi-pillar-of-order" TargetMode="External"/><Relationship Id="rId46" Type="http://schemas.openxmlformats.org/officeDocument/2006/relationships/hyperlink" Target="https://scryfall.com/card/mom/249/omnath-locus-of-all" TargetMode="External"/><Relationship Id="rId349" Type="http://schemas.openxmlformats.org/officeDocument/2006/relationships/hyperlink" Target="https://scryfall.com/card/who/156/the-second-doctor" TargetMode="External"/><Relationship Id="rId556" Type="http://schemas.openxmlformats.org/officeDocument/2006/relationships/hyperlink" Target="https://scryfall.com/card/neo/220/greasefang-okiba-boss" TargetMode="External"/><Relationship Id="rId763" Type="http://schemas.openxmlformats.org/officeDocument/2006/relationships/hyperlink" Target="https://scryfall.com/card/dmc/33/jasmine-boreal-of-the-seven" TargetMode="External"/><Relationship Id="rId111" Type="http://schemas.openxmlformats.org/officeDocument/2006/relationships/hyperlink" Target="https://scryfall.com/card/sld/145/glenn-the-voice-of-calm" TargetMode="External"/><Relationship Id="rId195" Type="http://schemas.openxmlformats.org/officeDocument/2006/relationships/hyperlink" Target="https://scryfall.com/card/stx/245/velomachus-lorehold" TargetMode="External"/><Relationship Id="rId209" Type="http://schemas.openxmlformats.org/officeDocument/2006/relationships/hyperlink" Target="https://scryfall.com/card/afc/2/prosper-tome-bound" TargetMode="External"/><Relationship Id="rId416" Type="http://schemas.openxmlformats.org/officeDocument/2006/relationships/hyperlink" Target="https://scryfall.com/card/dmu/205/lagomos-hand-of-hatred" TargetMode="External"/><Relationship Id="rId623" Type="http://schemas.openxmlformats.org/officeDocument/2006/relationships/hyperlink" Target="https://scryfall.com/card/snc/177/cormela-glamour-thief" TargetMode="External"/><Relationship Id="rId830" Type="http://schemas.openxmlformats.org/officeDocument/2006/relationships/hyperlink" Target="https://scryfall.com/card/ltr/297/the-balrog-flame-of-ud%C3%BBn" TargetMode="External"/><Relationship Id="rId57" Type="http://schemas.openxmlformats.org/officeDocument/2006/relationships/hyperlink" Target="https://scryfall.com/card/sld/144/daryl-hunter-of-walkers" TargetMode="External"/><Relationship Id="rId262" Type="http://schemas.openxmlformats.org/officeDocument/2006/relationships/hyperlink" Target="https://scryfall.com/card/ncc/4/kitt-kanto-mayhem-diva" TargetMode="External"/><Relationship Id="rId567" Type="http://schemas.openxmlformats.org/officeDocument/2006/relationships/hyperlink" Target="https://scryfall.com/card/40k/115/deathleaper-terror-weapon" TargetMode="External"/><Relationship Id="rId122" Type="http://schemas.openxmlformats.org/officeDocument/2006/relationships/hyperlink" Target="https://scryfall.com/card/mat/42/pia-nalaar-consul-of-revival" TargetMode="External"/><Relationship Id="rId774" Type="http://schemas.openxmlformats.org/officeDocument/2006/relationships/hyperlink" Target="https://scryfall.com/card/mic/4/kyler-sigardian-emissary" TargetMode="External"/><Relationship Id="rId427" Type="http://schemas.openxmlformats.org/officeDocument/2006/relationships/hyperlink" Target="https://scryfall.com/card/bot/6/slicer-hired-muscle-slicer-high-speed-antagonist" TargetMode="External"/><Relationship Id="rId634" Type="http://schemas.openxmlformats.org/officeDocument/2006/relationships/hyperlink" Target="https://scryfall.com/card/ltr/229/sharkey-tyrant-of-the-shire" TargetMode="External"/><Relationship Id="rId841" Type="http://schemas.openxmlformats.org/officeDocument/2006/relationships/hyperlink" Target="https://scryfall.com/card/clb/188/livaan-cultist-of-tiamat" TargetMode="External"/><Relationship Id="rId273" Type="http://schemas.openxmlformats.org/officeDocument/2006/relationships/hyperlink" Target="https://scryfall.com/card/cmr/133/miara-thorn-of-the-glade" TargetMode="External"/><Relationship Id="rId480" Type="http://schemas.openxmlformats.org/officeDocument/2006/relationships/hyperlink" Target="https://scryfall.com/card/ltr/205/frodo-baggins" TargetMode="External"/><Relationship Id="rId701" Type="http://schemas.openxmlformats.org/officeDocument/2006/relationships/hyperlink" Target="https://scryfall.com/card/dmc/34/jedit-ojanen-mercenary" TargetMode="External"/><Relationship Id="rId68" Type="http://schemas.openxmlformats.org/officeDocument/2006/relationships/hyperlink" Target="https://scryfall.com/card/ltr/192/aragorn-the-uniter" TargetMode="External"/><Relationship Id="rId133" Type="http://schemas.openxmlformats.org/officeDocument/2006/relationships/hyperlink" Target="https://scryfall.com/card/mom/225/ghalta-and-mavren" TargetMode="External"/><Relationship Id="rId340" Type="http://schemas.openxmlformats.org/officeDocument/2006/relationships/hyperlink" Target="https://scryfall.com/card/ltr/4/boromir-warden-of-the-tower" TargetMode="External"/><Relationship Id="rId578" Type="http://schemas.openxmlformats.org/officeDocument/2006/relationships/hyperlink" Target="https://scryfall.com/card/dmu/209/nemata-primeval-warden" TargetMode="External"/><Relationship Id="rId785" Type="http://schemas.openxmlformats.org/officeDocument/2006/relationships/hyperlink" Target="https://scryfall.com/card/clb/279/kagha-shadow-archdruid" TargetMode="External"/><Relationship Id="rId200" Type="http://schemas.openxmlformats.org/officeDocument/2006/relationships/hyperlink" Target="https://scryfall.com/card/woe/199/agatha-of-the-vile-cauldron" TargetMode="External"/><Relationship Id="rId438" Type="http://schemas.openxmlformats.org/officeDocument/2006/relationships/hyperlink" Target="https://scryfall.com/card/ltr/50/gandalf-friend-of-the-shire" TargetMode="External"/><Relationship Id="rId645" Type="http://schemas.openxmlformats.org/officeDocument/2006/relationships/hyperlink" Target="https://scryfall.com/card/dmc/5/zeriam-golden-wind" TargetMode="External"/><Relationship Id="rId852" Type="http://schemas.openxmlformats.org/officeDocument/2006/relationships/hyperlink" Target="https://scryfall.com/card/ltr/216/the-mouth-of-sauron" TargetMode="External"/><Relationship Id="rId284" Type="http://schemas.openxmlformats.org/officeDocument/2006/relationships/hyperlink" Target="https://scryfall.com/card/onc/28/urtet-remnant-of-memnarch" TargetMode="External"/><Relationship Id="rId491" Type="http://schemas.openxmlformats.org/officeDocument/2006/relationships/hyperlink" Target="https://scryfall.com/card/snc/184/evelyn-the-covetous" TargetMode="External"/><Relationship Id="rId505" Type="http://schemas.openxmlformats.org/officeDocument/2006/relationships/hyperlink" Target="https://scryfall.com/card/j22/9/alandra-sky-dreamer" TargetMode="External"/><Relationship Id="rId712" Type="http://schemas.openxmlformats.org/officeDocument/2006/relationships/hyperlink" Target="https://scryfall.com/card/mat/32/jirina-dauntless-general" TargetMode="External"/><Relationship Id="rId79" Type="http://schemas.openxmlformats.org/officeDocument/2006/relationships/hyperlink" Target="https://scryfall.com/card/sld/429/ryu-world-warrior" TargetMode="External"/><Relationship Id="rId144" Type="http://schemas.openxmlformats.org/officeDocument/2006/relationships/hyperlink" Target="https://scryfall.com/card/cmr/165/breeches-brazen-plunderer" TargetMode="External"/><Relationship Id="rId589" Type="http://schemas.openxmlformats.org/officeDocument/2006/relationships/hyperlink" Target="https://scryfall.com/card/bro/212/harbin-vanguard-aviator" TargetMode="External"/><Relationship Id="rId796" Type="http://schemas.openxmlformats.org/officeDocument/2006/relationships/hyperlink" Target="https://scryfall.com/card/dmc/19/the-peregrine-dynamo" TargetMode="External"/><Relationship Id="rId351" Type="http://schemas.openxmlformats.org/officeDocument/2006/relationships/hyperlink" Target="https://scryfall.com/card/m21/127/vito-thorn-of-the-dusk-rose" TargetMode="External"/><Relationship Id="rId449" Type="http://schemas.openxmlformats.org/officeDocument/2006/relationships/hyperlink" Target="https://scryfall.com/card/bro/185/gwenna-eyes-of-gaea" TargetMode="External"/><Relationship Id="rId656" Type="http://schemas.openxmlformats.org/officeDocument/2006/relationships/hyperlink" Target="https://scryfall.com/card/afr/20/icingdeath-frost-tyrant" TargetMode="External"/><Relationship Id="rId863" Type="http://schemas.openxmlformats.org/officeDocument/2006/relationships/hyperlink" Target="https://scryfall.com/card/voc/16/timin-youthful-geist" TargetMode="External"/><Relationship Id="rId211" Type="http://schemas.openxmlformats.org/officeDocument/2006/relationships/hyperlink" Target="https://scryfall.com/card/brc/25/titania-natures-force" TargetMode="External"/><Relationship Id="rId295" Type="http://schemas.openxmlformats.org/officeDocument/2006/relationships/hyperlink" Target="https://scryfall.com/card/one/214/ria-ivor-bane-of-bladehold" TargetMode="External"/><Relationship Id="rId309" Type="http://schemas.openxmlformats.org/officeDocument/2006/relationships/hyperlink" Target="https://scryfall.com/card/clb/288/neera-wild-mage" TargetMode="External"/><Relationship Id="rId516" Type="http://schemas.openxmlformats.org/officeDocument/2006/relationships/hyperlink" Target="https://scryfall.com/card/cmr/266/amareth-the-lustrous" TargetMode="External"/><Relationship Id="rId48" Type="http://schemas.openxmlformats.org/officeDocument/2006/relationships/hyperlink" Target="https://scryfall.com/card/ltc/29/shelob-dread-weaver" TargetMode="External"/><Relationship Id="rId113" Type="http://schemas.openxmlformats.org/officeDocument/2006/relationships/hyperlink" Target="https://scryfall.com/card/sld/341/chief-jim-hopper" TargetMode="External"/><Relationship Id="rId320" Type="http://schemas.openxmlformats.org/officeDocument/2006/relationships/hyperlink" Target="https://scryfall.com/card/cmr/281/jared-carthalion-true-heir" TargetMode="External"/><Relationship Id="rId558" Type="http://schemas.openxmlformats.org/officeDocument/2006/relationships/hyperlink" Target="https://scryfall.com/card/who/104/graham-obrien" TargetMode="External"/><Relationship Id="rId723" Type="http://schemas.openxmlformats.org/officeDocument/2006/relationships/hyperlink" Target="https://scryfall.com/card/ltc/22/monstrosity-of-the-lake" TargetMode="External"/><Relationship Id="rId765" Type="http://schemas.openxmlformats.org/officeDocument/2006/relationships/hyperlink" Target="https://scryfall.com/card/afr/100/ebondeath-dracolich" TargetMode="External"/><Relationship Id="rId155" Type="http://schemas.openxmlformats.org/officeDocument/2006/relationships/hyperlink" Target="https://scryfall.com/card/who/162/the-third-doctor" TargetMode="External"/><Relationship Id="rId197" Type="http://schemas.openxmlformats.org/officeDocument/2006/relationships/hyperlink" Target="https://scryfall.com/card/ltc/1/%C3%A9owyn-shieldmaiden" TargetMode="External"/><Relationship Id="rId362" Type="http://schemas.openxmlformats.org/officeDocument/2006/relationships/hyperlink" Target="https://scryfall.com/card/40k/8/marneus-calgar" TargetMode="External"/><Relationship Id="rId418" Type="http://schemas.openxmlformats.org/officeDocument/2006/relationships/hyperlink" Target="https://scryfall.com/card/dmu/15/danitha-benalias-hope" TargetMode="External"/><Relationship Id="rId625" Type="http://schemas.openxmlformats.org/officeDocument/2006/relationships/hyperlink" Target="https://scryfall.com/card/who/78/dan-lewis" TargetMode="External"/><Relationship Id="rId832" Type="http://schemas.openxmlformats.org/officeDocument/2006/relationships/hyperlink" Target="https://scryfall.com/card/dmc/40/rasputin-the-oneiromancer" TargetMode="External"/><Relationship Id="rId222" Type="http://schemas.openxmlformats.org/officeDocument/2006/relationships/hyperlink" Target="https://scryfall.com/card/clb/291/raggadragga-goreguts-boss" TargetMode="External"/><Relationship Id="rId264" Type="http://schemas.openxmlformats.org/officeDocument/2006/relationships/hyperlink" Target="https://scryfall.com/card/neo/60/kairi-the-swirling-sky" TargetMode="External"/><Relationship Id="rId471" Type="http://schemas.openxmlformats.org/officeDocument/2006/relationships/hyperlink" Target="https://scryfall.com/card/woe/205/greta-sweettooth-scourge" TargetMode="External"/><Relationship Id="rId667" Type="http://schemas.openxmlformats.org/officeDocument/2006/relationships/hyperlink" Target="https://scryfall.com/card/clb/265/astarion-the-decadent" TargetMode="External"/><Relationship Id="rId874" Type="http://schemas.openxmlformats.org/officeDocument/2006/relationships/hyperlink" Target="https://scryfall.com/card/dmu/222/tatyova-steward-of-tides" TargetMode="External"/><Relationship Id="rId17" Type="http://schemas.openxmlformats.org/officeDocument/2006/relationships/hyperlink" Target="https://scryfall.com/card/one/90/drivnod-carnage-dominus" TargetMode="External"/><Relationship Id="rId59" Type="http://schemas.openxmlformats.org/officeDocument/2006/relationships/hyperlink" Target="https://scryfall.com/card/sld/147/negan-the-cold-blooded" TargetMode="External"/><Relationship Id="rId124" Type="http://schemas.openxmlformats.org/officeDocument/2006/relationships/hyperlink" Target="https://scryfall.com/card/cmr/153/tevesh-szat-doom-of-fools" TargetMode="External"/><Relationship Id="rId527" Type="http://schemas.openxmlformats.org/officeDocument/2006/relationships/hyperlink" Target="https://scryfall.com/card/woe/213/sharae-of-numbing-depths" TargetMode="External"/><Relationship Id="rId569" Type="http://schemas.openxmlformats.org/officeDocument/2006/relationships/hyperlink" Target="https://scryfall.com/card/jmp/27/zurzoth-chaos-rider" TargetMode="External"/><Relationship Id="rId734" Type="http://schemas.openxmlformats.org/officeDocument/2006/relationships/hyperlink" Target="https://scryfall.com/card/znr/98/drana-the-last-bloodchief" TargetMode="External"/><Relationship Id="rId776" Type="http://schemas.openxmlformats.org/officeDocument/2006/relationships/hyperlink" Target="https://scryfall.com/card/jmp/10/bruvac-the-grandiloquent" TargetMode="External"/><Relationship Id="rId70" Type="http://schemas.openxmlformats.org/officeDocument/2006/relationships/hyperlink" Target="https://scryfall.com/card/neo/200/kura-the-boundless-sky" TargetMode="External"/><Relationship Id="rId166" Type="http://schemas.openxmlformats.org/officeDocument/2006/relationships/hyperlink" Target="https://scryfall.com/card/m21/27/mangara-the-diplomat" TargetMode="External"/><Relationship Id="rId331" Type="http://schemas.openxmlformats.org/officeDocument/2006/relationships/hyperlink" Target="https://scryfall.com/card/ltc/3/galadriel-elven-queen" TargetMode="External"/><Relationship Id="rId373" Type="http://schemas.openxmlformats.org/officeDocument/2006/relationships/hyperlink" Target="https://scryfall.com/card/neo/206/shigeki-jukai-visionary" TargetMode="External"/><Relationship Id="rId429" Type="http://schemas.openxmlformats.org/officeDocument/2006/relationships/hyperlink" Target="https://scryfall.com/card/ltc/57/gr%C3%ADma-sarumans-footman" TargetMode="External"/><Relationship Id="rId580" Type="http://schemas.openxmlformats.org/officeDocument/2006/relationships/hyperlink" Target="https://scryfall.com/card/40k/41/mortarion-daemon-primarch" TargetMode="External"/><Relationship Id="rId636" Type="http://schemas.openxmlformats.org/officeDocument/2006/relationships/hyperlink" Target="https://scryfall.com/card/neo/233/risona-asari-commander" TargetMode="External"/><Relationship Id="rId801" Type="http://schemas.openxmlformats.org/officeDocument/2006/relationships/hyperlink" Target="https://scryfall.com/card/ltr/198/denethor-ruling-steward" TargetMode="External"/><Relationship Id="rId1" Type="http://schemas.openxmlformats.org/officeDocument/2006/relationships/hyperlink" Target="https://scryfall.com/card/bro/225/urza-lord-protector" TargetMode="External"/><Relationship Id="rId233" Type="http://schemas.openxmlformats.org/officeDocument/2006/relationships/hyperlink" Target="https://scryfall.com/card/sld/346/mike-the-dungeon-master" TargetMode="External"/><Relationship Id="rId440" Type="http://schemas.openxmlformats.org/officeDocument/2006/relationships/hyperlink" Target="https://scryfall.com/card/sld/434/guile-sonic-soldier" TargetMode="External"/><Relationship Id="rId678" Type="http://schemas.openxmlformats.org/officeDocument/2006/relationships/hyperlink" Target="https://scryfall.com/card/sld/146/michonne-ruthless-survivor" TargetMode="External"/><Relationship Id="rId843" Type="http://schemas.openxmlformats.org/officeDocument/2006/relationships/hyperlink" Target="https://scryfall.com/card/woe/316/old-flitterfang" TargetMode="External"/><Relationship Id="rId885" Type="http://schemas.openxmlformats.org/officeDocument/2006/relationships/hyperlink" Target="https://scryfall.com/card/neo/187/go-shintai-of-boundless-vigor" TargetMode="External"/><Relationship Id="rId28" Type="http://schemas.openxmlformats.org/officeDocument/2006/relationships/hyperlink" Target="https://scryfall.com/card/cmr/267/araumi-of-the-dead-tide" TargetMode="External"/><Relationship Id="rId275" Type="http://schemas.openxmlformats.org/officeDocument/2006/relationships/hyperlink" Target="https://scryfall.com/card/dmu/199/ertai-resurrected" TargetMode="External"/><Relationship Id="rId300" Type="http://schemas.openxmlformats.org/officeDocument/2006/relationships/hyperlink" Target="https://scryfall.com/card/dmc/44/tetsuo-imperial-champion" TargetMode="External"/><Relationship Id="rId482" Type="http://schemas.openxmlformats.org/officeDocument/2006/relationships/hyperlink" Target="https://scryfall.com/card/moc/446/katilda-and-lier" TargetMode="External"/><Relationship Id="rId538" Type="http://schemas.openxmlformats.org/officeDocument/2006/relationships/hyperlink" Target="https://scryfall.com/card/dmc/10/cadric-soul-kindler" TargetMode="External"/><Relationship Id="rId703" Type="http://schemas.openxmlformats.org/officeDocument/2006/relationships/hyperlink" Target="https://scryfall.com/card/woe/210/obyra-dreaming-duelist" TargetMode="External"/><Relationship Id="rId745" Type="http://schemas.openxmlformats.org/officeDocument/2006/relationships/hyperlink" Target="https://scryfall.com/card/sld/342/dustin-gadget-genius" TargetMode="External"/><Relationship Id="rId910" Type="http://schemas.openxmlformats.org/officeDocument/2006/relationships/hyperlink" Target="https://scryfall.com/card/m21/106/kaervek-the-spiteful" TargetMode="External"/><Relationship Id="rId81" Type="http://schemas.openxmlformats.org/officeDocument/2006/relationships/hyperlink" Target="https://scryfall.com/card/neo/82/tameshi-reality-architect" TargetMode="External"/><Relationship Id="rId135" Type="http://schemas.openxmlformats.org/officeDocument/2006/relationships/hyperlink" Target="https://scryfall.com/card/cmr/279/hans-eriksson" TargetMode="External"/><Relationship Id="rId177" Type="http://schemas.openxmlformats.org/officeDocument/2006/relationships/hyperlink" Target="https://scryfall.com/card/ncc/73/jolene-the-plunder-queen" TargetMode="External"/><Relationship Id="rId342" Type="http://schemas.openxmlformats.org/officeDocument/2006/relationships/hyperlink" Target="https://scryfall.com/card/mh2/218/yusri-fortunes-flame" TargetMode="External"/><Relationship Id="rId384" Type="http://schemas.openxmlformats.org/officeDocument/2006/relationships/hyperlink" Target="https://scryfall.com/card/neo/232/raiyuu-storms-edge" TargetMode="External"/><Relationship Id="rId591" Type="http://schemas.openxmlformats.org/officeDocument/2006/relationships/hyperlink" Target="https://scryfall.com/card/clb/37/rasaad-yn-bashir" TargetMode="External"/><Relationship Id="rId605" Type="http://schemas.openxmlformats.org/officeDocument/2006/relationships/hyperlink" Target="https://scryfall.com/card/moc/2/brimaz-blight-of-oreskos" TargetMode="External"/><Relationship Id="rId787" Type="http://schemas.openxmlformats.org/officeDocument/2006/relationships/hyperlink" Target="https://scryfall.com/card/clb/652/zellix-sanity-flayer" TargetMode="External"/><Relationship Id="rId812" Type="http://schemas.openxmlformats.org/officeDocument/2006/relationships/hyperlink" Target="https://scryfall.com/card/vow/243/odric-blood-cursed" TargetMode="External"/><Relationship Id="rId202" Type="http://schemas.openxmlformats.org/officeDocument/2006/relationships/hyperlink" Target="https://scryfall.com/card/clb/277/jan-jansen-chaos-crafter" TargetMode="External"/><Relationship Id="rId244" Type="http://schemas.openxmlformats.org/officeDocument/2006/relationships/hyperlink" Target="https://scryfall.com/card/cmr/293/yurlok-of-scorch-thrash" TargetMode="External"/><Relationship Id="rId647" Type="http://schemas.openxmlformats.org/officeDocument/2006/relationships/hyperlink" Target="https://scryfall.com/card/clb/55/alora-merry-thief" TargetMode="External"/><Relationship Id="rId689" Type="http://schemas.openxmlformats.org/officeDocument/2006/relationships/hyperlink" Target="https://scryfall.com/card/cmr/290/reyav-master-smith" TargetMode="External"/><Relationship Id="rId854" Type="http://schemas.openxmlformats.org/officeDocument/2006/relationships/hyperlink" Target="https://scryfall.com/card/cmr/95/siani-eye-of-the-storm" TargetMode="External"/><Relationship Id="rId896" Type="http://schemas.openxmlformats.org/officeDocument/2006/relationships/hyperlink" Target="https://scryfall.com/card/clb/180/gut-true-soul-zealot" TargetMode="External"/><Relationship Id="rId39" Type="http://schemas.openxmlformats.org/officeDocument/2006/relationships/hyperlink" Target="https://scryfall.com/card/who/159/the-sixth-doctor" TargetMode="External"/><Relationship Id="rId286" Type="http://schemas.openxmlformats.org/officeDocument/2006/relationships/hyperlink" Target="https://scryfall.com/card/woe/252/syr-ginger-the-meal-ender" TargetMode="External"/><Relationship Id="rId451" Type="http://schemas.openxmlformats.org/officeDocument/2006/relationships/hyperlink" Target="https://scryfall.com/card/cmr/362/wyleth-soul-of-steel" TargetMode="External"/><Relationship Id="rId493" Type="http://schemas.openxmlformats.org/officeDocument/2006/relationships/hyperlink" Target="https://scryfall.com/card/afc/16/minn-wily-illusionist" TargetMode="External"/><Relationship Id="rId507" Type="http://schemas.openxmlformats.org/officeDocument/2006/relationships/hyperlink" Target="https://scryfall.com/card/one/213/ovika-enigma-goliath" TargetMode="External"/><Relationship Id="rId549" Type="http://schemas.openxmlformats.org/officeDocument/2006/relationships/hyperlink" Target="https://scryfall.com/card/cmr/149/sengir-the-dark-baron" TargetMode="External"/><Relationship Id="rId714" Type="http://schemas.openxmlformats.org/officeDocument/2006/relationships/hyperlink" Target="https://scryfall.com/card/voc/4/timothar-baron-of-bats" TargetMode="External"/><Relationship Id="rId756" Type="http://schemas.openxmlformats.org/officeDocument/2006/relationships/hyperlink" Target="https://scryfall.com/card/cmr/135/nadier-agent-of-the-duskenel" TargetMode="External"/><Relationship Id="rId921" Type="http://schemas.openxmlformats.org/officeDocument/2006/relationships/hyperlink" Target="https://scryfall.com/card/ltr/134/grishn%C3%A1kh-brash-instigator" TargetMode="External"/><Relationship Id="rId50" Type="http://schemas.openxmlformats.org/officeDocument/2006/relationships/hyperlink" Target="https://scryfall.com/card/ltr/234/tom-bombadil" TargetMode="External"/><Relationship Id="rId104" Type="http://schemas.openxmlformats.org/officeDocument/2006/relationships/hyperlink" Target="https://scryfall.com/card/vow/21/katilda-dawnhart-martyr-katildas-rising-dawn" TargetMode="External"/><Relationship Id="rId146" Type="http://schemas.openxmlformats.org/officeDocument/2006/relationships/hyperlink" Target="https://scryfall.com/card/sld/428/e-honda-sumo-champion" TargetMode="External"/><Relationship Id="rId188" Type="http://schemas.openxmlformats.org/officeDocument/2006/relationships/hyperlink" Target="https://scryfall.com/card/jmp/13/ormos-archive-keeper" TargetMode="External"/><Relationship Id="rId311" Type="http://schemas.openxmlformats.org/officeDocument/2006/relationships/hyperlink" Target="https://scryfall.com/card/onc/25/chiss-goria-forge-tyrant" TargetMode="External"/><Relationship Id="rId353" Type="http://schemas.openxmlformats.org/officeDocument/2006/relationships/hyperlink" Target="https://scryfall.com/card/clb/2/abdel-adrian-gorions-ward" TargetMode="External"/><Relationship Id="rId395" Type="http://schemas.openxmlformats.org/officeDocument/2006/relationships/hyperlink" Target="https://scryfall.com/card/who/26/peri-brown" TargetMode="External"/><Relationship Id="rId409" Type="http://schemas.openxmlformats.org/officeDocument/2006/relationships/hyperlink" Target="https://scryfall.com/card/m21/162/subira-tulzidi-caravanner" TargetMode="External"/><Relationship Id="rId560" Type="http://schemas.openxmlformats.org/officeDocument/2006/relationships/hyperlink" Target="https://scryfall.com/card/ltr/52/goldberry-river-daughter" TargetMode="External"/><Relationship Id="rId798" Type="http://schemas.openxmlformats.org/officeDocument/2006/relationships/hyperlink" Target="https://scryfall.com/card/khm/64/inga-rune-eyes" TargetMode="External"/><Relationship Id="rId92" Type="http://schemas.openxmlformats.org/officeDocument/2006/relationships/hyperlink" Target="https://scryfall.com/card/woe/230/kellan-the-fae-blooded-birthright-boon" TargetMode="External"/><Relationship Id="rId213" Type="http://schemas.openxmlformats.org/officeDocument/2006/relationships/hyperlink" Target="https://scryfall.com/card/ncc/1/anhelo-the-painter" TargetMode="External"/><Relationship Id="rId420" Type="http://schemas.openxmlformats.org/officeDocument/2006/relationships/hyperlink" Target="https://scryfall.com/card/khc/1/lathril-blade-of-the-elves" TargetMode="External"/><Relationship Id="rId616" Type="http://schemas.openxmlformats.org/officeDocument/2006/relationships/hyperlink" Target="https://scryfall.com/card/khc/2/ranar-the-ever-watchful" TargetMode="External"/><Relationship Id="rId658" Type="http://schemas.openxmlformats.org/officeDocument/2006/relationships/hyperlink" Target="https://scryfall.com/card/cmr/282/juri-master-of-the-revue" TargetMode="External"/><Relationship Id="rId823" Type="http://schemas.openxmlformats.org/officeDocument/2006/relationships/hyperlink" Target="https://scryfall.com/card/afr/231/shessra-deaths-whisper" TargetMode="External"/><Relationship Id="rId865" Type="http://schemas.openxmlformats.org/officeDocument/2006/relationships/hyperlink" Target="https://scryfall.com/card/ltr/62/meneldor-swift-savior" TargetMode="External"/><Relationship Id="rId255" Type="http://schemas.openxmlformats.org/officeDocument/2006/relationships/hyperlink" Target="https://scryfall.com/card/nec/37/go-shintai-of-lifes-origin" TargetMode="External"/><Relationship Id="rId297" Type="http://schemas.openxmlformats.org/officeDocument/2006/relationships/hyperlink" Target="https://scryfall.com/card/clb/646/captain-nghathrod" TargetMode="External"/><Relationship Id="rId462" Type="http://schemas.openxmlformats.org/officeDocument/2006/relationships/hyperlink" Target="https://scryfall.com/card/bbd/2/rowan-kenrith" TargetMode="External"/><Relationship Id="rId518" Type="http://schemas.openxmlformats.org/officeDocument/2006/relationships/hyperlink" Target="https://scryfall.com/card/ltc/65/pippin-warden-of-isengard" TargetMode="External"/><Relationship Id="rId725" Type="http://schemas.openxmlformats.org/officeDocument/2006/relationships/hyperlink" Target="https://scryfall.com/card/ltc/39/haldir-l%C3%B3rien-lieutenant" TargetMode="External"/><Relationship Id="rId115" Type="http://schemas.openxmlformats.org/officeDocument/2006/relationships/hyperlink" Target="https://scryfall.com/card/neo/2/ao-the-dawn-sky" TargetMode="External"/><Relationship Id="rId157" Type="http://schemas.openxmlformats.org/officeDocument/2006/relationships/hyperlink" Target="https://scryfall.com/card/brc/4/ashnod-the-uncaring" TargetMode="External"/><Relationship Id="rId322" Type="http://schemas.openxmlformats.org/officeDocument/2006/relationships/hyperlink" Target="https://scryfall.com/card/bot/1/prowl-stoic-strategist-prowl-pursuit-vehicle" TargetMode="External"/><Relationship Id="rId364" Type="http://schemas.openxmlformats.org/officeDocument/2006/relationships/hyperlink" Target="https://scryfall.com/card/afc/50/klauth-unrivaled-ancient" TargetMode="External"/><Relationship Id="rId767" Type="http://schemas.openxmlformats.org/officeDocument/2006/relationships/hyperlink" Target="https://scryfall.com/card/afr/62/iymrith-desert-doom" TargetMode="External"/><Relationship Id="rId61" Type="http://schemas.openxmlformats.org/officeDocument/2006/relationships/hyperlink" Target="https://scryfall.com/card/jmp/17/tinybones-trinket-thief" TargetMode="External"/><Relationship Id="rId199" Type="http://schemas.openxmlformats.org/officeDocument/2006/relationships/hyperlink" Target="https://scryfall.com/card/cmm/706/commodore-guff" TargetMode="External"/><Relationship Id="rId571" Type="http://schemas.openxmlformats.org/officeDocument/2006/relationships/hyperlink" Target="https://scryfall.com/card/clb/649/nalia-dearnise" TargetMode="External"/><Relationship Id="rId627" Type="http://schemas.openxmlformats.org/officeDocument/2006/relationships/hyperlink" Target="https://scryfall.com/card/mid/197/saryth-the-vipers-fang" TargetMode="External"/><Relationship Id="rId669" Type="http://schemas.openxmlformats.org/officeDocument/2006/relationships/hyperlink" Target="https://scryfall.com/card/mom/226/glissa-herald-of-predation" TargetMode="External"/><Relationship Id="rId834" Type="http://schemas.openxmlformats.org/officeDocument/2006/relationships/hyperlink" Target="https://scryfall.com/card/nec/15/katsumasa-the-animator" TargetMode="External"/><Relationship Id="rId876" Type="http://schemas.openxmlformats.org/officeDocument/2006/relationships/hyperlink" Target="https://scryfall.com/card/mh2/243/zabaz-the-glimmerwasp" TargetMode="External"/><Relationship Id="rId19" Type="http://schemas.openxmlformats.org/officeDocument/2006/relationships/hyperlink" Target="https://scryfall.com/card/znr/312/omnath-locus-of-creation" TargetMode="External"/><Relationship Id="rId224" Type="http://schemas.openxmlformats.org/officeDocument/2006/relationships/hyperlink" Target="https://scryfall.com/card/dmu/221/stenn-paranoid-partisan" TargetMode="External"/><Relationship Id="rId266" Type="http://schemas.openxmlformats.org/officeDocument/2006/relationships/hyperlink" Target="https://scryfall.com/card/clb/264/alaundo-the-seer" TargetMode="External"/><Relationship Id="rId431" Type="http://schemas.openxmlformats.org/officeDocument/2006/relationships/hyperlink" Target="https://scryfall.com/card/ncc/71/denry-klin-editor-in-chief" TargetMode="External"/><Relationship Id="rId473" Type="http://schemas.openxmlformats.org/officeDocument/2006/relationships/hyperlink" Target="https://scryfall.com/card/stx/220/quintorius-field-historian" TargetMode="External"/><Relationship Id="rId529" Type="http://schemas.openxmlformats.org/officeDocument/2006/relationships/hyperlink" Target="https://scryfall.com/card/mat/6/tazri-stalwart-survivor" TargetMode="External"/><Relationship Id="rId680" Type="http://schemas.openxmlformats.org/officeDocument/2006/relationships/hyperlink" Target="https://scryfall.com/card/neo/235/satsuki-the-living-lore" TargetMode="External"/><Relationship Id="rId736" Type="http://schemas.openxmlformats.org/officeDocument/2006/relationships/hyperlink" Target="https://scryfall.com/card/clb/255/skanos-dragonheart" TargetMode="External"/><Relationship Id="rId901" Type="http://schemas.openxmlformats.org/officeDocument/2006/relationships/hyperlink" Target="https://scryfall.com/card/cmr/246/numa-joraga-chieftain" TargetMode="External"/><Relationship Id="rId30" Type="http://schemas.openxmlformats.org/officeDocument/2006/relationships/hyperlink" Target="https://scryfall.com/card/mom/137/etali-primal-conqueror-etali-primal-sickness" TargetMode="External"/><Relationship Id="rId126" Type="http://schemas.openxmlformats.org/officeDocument/2006/relationships/hyperlink" Target="https://scryfall.com/card/afc/27/lorcan-warlock-collector" TargetMode="External"/><Relationship Id="rId168" Type="http://schemas.openxmlformats.org/officeDocument/2006/relationships/hyperlink" Target="https://scryfall.com/card/c21/70/yedora-grave-gardener" TargetMode="External"/><Relationship Id="rId333" Type="http://schemas.openxmlformats.org/officeDocument/2006/relationships/hyperlink" Target="https://scryfall.com/card/vow/237/eruth-tormented-prophet" TargetMode="External"/><Relationship Id="rId540" Type="http://schemas.openxmlformats.org/officeDocument/2006/relationships/hyperlink" Target="https://scryfall.com/card/khm/115/varragoth-bloodsky-sire" TargetMode="External"/><Relationship Id="rId778" Type="http://schemas.openxmlformats.org/officeDocument/2006/relationships/hyperlink" Target="https://scryfall.com/card/dmu/211/radha-coalition-warlord" TargetMode="External"/><Relationship Id="rId72" Type="http://schemas.openxmlformats.org/officeDocument/2006/relationships/hyperlink" Target="https://scryfall.com/card/ltr/223/saruman-of-many-colors" TargetMode="External"/><Relationship Id="rId375" Type="http://schemas.openxmlformats.org/officeDocument/2006/relationships/hyperlink" Target="https://scryfall.com/card/clb/144/sarevok-deathbringer" TargetMode="External"/><Relationship Id="rId582" Type="http://schemas.openxmlformats.org/officeDocument/2006/relationships/hyperlink" Target="https://scryfall.com/card/mid/248/vadrik-astral-archmage" TargetMode="External"/><Relationship Id="rId638" Type="http://schemas.openxmlformats.org/officeDocument/2006/relationships/hyperlink" Target="https://scryfall.com/card/cmr/126/falthis-shadowcat-familiar" TargetMode="External"/><Relationship Id="rId803" Type="http://schemas.openxmlformats.org/officeDocument/2006/relationships/hyperlink" Target="https://scryfall.com/card/znr/223/grakmaw-skyclave-ravager" TargetMode="External"/><Relationship Id="rId845" Type="http://schemas.openxmlformats.org/officeDocument/2006/relationships/hyperlink" Target="https://scryfall.com/card/woe/214/syr-armont-the-redeemer" TargetMode="External"/><Relationship Id="rId3" Type="http://schemas.openxmlformats.org/officeDocument/2006/relationships/hyperlink" Target="https://scryfall.com/card/khm/199/vorinclex-monstrous-raider" TargetMode="External"/><Relationship Id="rId235" Type="http://schemas.openxmlformats.org/officeDocument/2006/relationships/hyperlink" Target="https://scryfall.com/card/ltc/8/saruman-the-white-hand" TargetMode="External"/><Relationship Id="rId277" Type="http://schemas.openxmlformats.org/officeDocument/2006/relationships/hyperlink" Target="https://scryfall.com/card/znr/179/ashaya-soul-of-the-wild" TargetMode="External"/><Relationship Id="rId400" Type="http://schemas.openxmlformats.org/officeDocument/2006/relationships/hyperlink" Target="https://scryfall.com/card/vow/239/halana-and-alena-partners" TargetMode="External"/><Relationship Id="rId442" Type="http://schemas.openxmlformats.org/officeDocument/2006/relationships/hyperlink" Target="https://scryfall.com/card/ltr/287/aragorn-and-arwen-wed" TargetMode="External"/><Relationship Id="rId484" Type="http://schemas.openxmlformats.org/officeDocument/2006/relationships/hyperlink" Target="https://scryfall.com/card/brc/5/sanwell-avenger-ace" TargetMode="External"/><Relationship Id="rId705" Type="http://schemas.openxmlformats.org/officeDocument/2006/relationships/hyperlink" Target="https://scryfall.com/card/afr/220/drizzt-dourden" TargetMode="External"/><Relationship Id="rId887" Type="http://schemas.openxmlformats.org/officeDocument/2006/relationships/hyperlink" Target="https://scryfall.com/card/khm/21/reidane-god-of-the-worthy-valkmira-protectors-shield" TargetMode="External"/><Relationship Id="rId137" Type="http://schemas.openxmlformats.org/officeDocument/2006/relationships/hyperlink" Target="https://scryfall.com/card/ltr/195/the-balrog-durins-bane" TargetMode="External"/><Relationship Id="rId302" Type="http://schemas.openxmlformats.org/officeDocument/2006/relationships/hyperlink" Target="https://scryfall.com/card/mom/17/heliod-the-radiant-dawn-heliod-the-warped-eclipse" TargetMode="External"/><Relationship Id="rId344" Type="http://schemas.openxmlformats.org/officeDocument/2006/relationships/hyperlink" Target="https://scryfall.com/card/znr/129/taborax-hopes-demise" TargetMode="External"/><Relationship Id="rId691" Type="http://schemas.openxmlformats.org/officeDocument/2006/relationships/hyperlink" Target="https://scryfall.com/card/bot/3/jetfire-ingenious-scientist-jetfire-air-guardian" TargetMode="External"/><Relationship Id="rId747" Type="http://schemas.openxmlformats.org/officeDocument/2006/relationships/hyperlink" Target="https://scryfall.com/card/clb/275/gluntch-the-bestower" TargetMode="External"/><Relationship Id="rId789" Type="http://schemas.openxmlformats.org/officeDocument/2006/relationships/hyperlink" Target="https://scryfall.com/card/cmr/79/malcolm-keen-eyed-navigator" TargetMode="External"/><Relationship Id="rId912" Type="http://schemas.openxmlformats.org/officeDocument/2006/relationships/hyperlink" Target="https://scryfall.com/card/dmu/195/baird-argivian-recruiter" TargetMode="External"/><Relationship Id="rId41" Type="http://schemas.openxmlformats.org/officeDocument/2006/relationships/hyperlink" Target="https://scryfall.com/card/mom/255/thalia-and-the-gitrog-monster" TargetMode="External"/><Relationship Id="rId83" Type="http://schemas.openxmlformats.org/officeDocument/2006/relationships/hyperlink" Target="https://scryfall.com/card/dmu/212/raff-weatherlight-stalwart" TargetMode="External"/><Relationship Id="rId179" Type="http://schemas.openxmlformats.org/officeDocument/2006/relationships/hyperlink" Target="https://scryfall.com/card/clb/285/minsc-&amp;-boo-timeless-heroes" TargetMode="External"/><Relationship Id="rId386" Type="http://schemas.openxmlformats.org/officeDocument/2006/relationships/hyperlink" Target="https://scryfall.com/card/who/98/ace-fearless-rebel" TargetMode="External"/><Relationship Id="rId551" Type="http://schemas.openxmlformats.org/officeDocument/2006/relationships/hyperlink" Target="https://scryfall.com/card/cmr/265/abomination-of-llanowar" TargetMode="External"/><Relationship Id="rId593" Type="http://schemas.openxmlformats.org/officeDocument/2006/relationships/hyperlink" Target="https://scryfall.com/card/nec/32/yoshimaru-ever-faithful" TargetMode="External"/><Relationship Id="rId607" Type="http://schemas.openxmlformats.org/officeDocument/2006/relationships/hyperlink" Target="https://scryfall.com/card/bro/47/drafna-founder-of-lat-nam" TargetMode="External"/><Relationship Id="rId649" Type="http://schemas.openxmlformats.org/officeDocument/2006/relationships/hyperlink" Target="https://scryfall.com/card/j22/47/zask-skittering-swarmlord" TargetMode="External"/><Relationship Id="rId814" Type="http://schemas.openxmlformats.org/officeDocument/2006/relationships/hyperlink" Target="https://scryfall.com/card/one/406/kinzu-of-the-bleak-coven" TargetMode="External"/><Relationship Id="rId856" Type="http://schemas.openxmlformats.org/officeDocument/2006/relationships/hyperlink" Target="https://scryfall.com/card/neo/55/go-shintai-of-lost-wisdom" TargetMode="External"/><Relationship Id="rId190" Type="http://schemas.openxmlformats.org/officeDocument/2006/relationships/hyperlink" Target="https://scryfall.com/card/clb/16/ellyn-harbreeze-busybody" TargetMode="External"/><Relationship Id="rId204" Type="http://schemas.openxmlformats.org/officeDocument/2006/relationships/hyperlink" Target="https://scryfall.com/card/clb/237/jaheira-friend-of-the-forest" TargetMode="External"/><Relationship Id="rId246" Type="http://schemas.openxmlformats.org/officeDocument/2006/relationships/hyperlink" Target="https://scryfall.com/card/j22/25/rodolf-duskbringer" TargetMode="External"/><Relationship Id="rId288" Type="http://schemas.openxmlformats.org/officeDocument/2006/relationships/hyperlink" Target="https://scryfall.com/card/stx/189/galazeth-prismari" TargetMode="External"/><Relationship Id="rId411" Type="http://schemas.openxmlformats.org/officeDocument/2006/relationships/hyperlink" Target="https://scryfall.com/card/dmu/84/braids-arisen-nightmare" TargetMode="External"/><Relationship Id="rId453" Type="http://schemas.openxmlformats.org/officeDocument/2006/relationships/hyperlink" Target="https://scryfall.com/card/afr/239/xanathar-guild-kingpin" TargetMode="External"/><Relationship Id="rId509" Type="http://schemas.openxmlformats.org/officeDocument/2006/relationships/hyperlink" Target="https://scryfall.com/card/ltc/46/the-balrog-of-moria" TargetMode="External"/><Relationship Id="rId660" Type="http://schemas.openxmlformats.org/officeDocument/2006/relationships/hyperlink" Target="https://scryfall.com/card/clb/290/oji-the-exquisite-blade" TargetMode="External"/><Relationship Id="rId898" Type="http://schemas.openxmlformats.org/officeDocument/2006/relationships/hyperlink" Target="https://scryfall.com/card/dmu/227/zar-ojanen-scion-of-efrava" TargetMode="External"/><Relationship Id="rId106" Type="http://schemas.openxmlformats.org/officeDocument/2006/relationships/hyperlink" Target="https://scryfall.com/card/40k/6/belakor-the-dark-master" TargetMode="External"/><Relationship Id="rId313" Type="http://schemas.openxmlformats.org/officeDocument/2006/relationships/hyperlink" Target="https://scryfall.com/card/moc/6/elenda-and-azor" TargetMode="External"/><Relationship Id="rId495" Type="http://schemas.openxmlformats.org/officeDocument/2006/relationships/hyperlink" Target="https://scryfall.com/card/khm/233/vega-the-watcher" TargetMode="External"/><Relationship Id="rId716" Type="http://schemas.openxmlformats.org/officeDocument/2006/relationships/hyperlink" Target="https://scryfall.com/card/clb/271/the-council-of-four" TargetMode="External"/><Relationship Id="rId758" Type="http://schemas.openxmlformats.org/officeDocument/2006/relationships/hyperlink" Target="https://scryfall.com/card/voc/25/laurine-the-diversion" TargetMode="External"/><Relationship Id="rId923" Type="http://schemas.openxmlformats.org/officeDocument/2006/relationships/hyperlink" Target="https://scryfall.com/card/dmu/207/nael-avizoa-aeronaut" TargetMode="External"/><Relationship Id="rId10" Type="http://schemas.openxmlformats.org/officeDocument/2006/relationships/hyperlink" Target="https://scryfall.com/card/mom/12/elesh-norn-the-argent-etchings" TargetMode="External"/><Relationship Id="rId52" Type="http://schemas.openxmlformats.org/officeDocument/2006/relationships/hyperlink" Target="https://scryfall.com/card/neo/114/nashi-moon-sages-scion" TargetMode="External"/><Relationship Id="rId94" Type="http://schemas.openxmlformats.org/officeDocument/2006/relationships/hyperlink" Target="https://scryfall.com/card/woc/27/brenard-ginger-sculptor" TargetMode="External"/><Relationship Id="rId148" Type="http://schemas.openxmlformats.org/officeDocument/2006/relationships/hyperlink" Target="https://scryfall.com/card/dmu/219/solkanar-the-tainted" TargetMode="External"/><Relationship Id="rId355" Type="http://schemas.openxmlformats.org/officeDocument/2006/relationships/hyperlink" Target="https://scryfall.com/card/mid/230/katilda-dawnhart-prime" TargetMode="External"/><Relationship Id="rId397" Type="http://schemas.openxmlformats.org/officeDocument/2006/relationships/hyperlink" Target="https://scryfall.com/card/j22/19/ashcoat-of-the-shadow-swarm" TargetMode="External"/><Relationship Id="rId520" Type="http://schemas.openxmlformats.org/officeDocument/2006/relationships/hyperlink" Target="https://scryfall.com/card/dmc/46/tor-wauki-the-younger" TargetMode="External"/><Relationship Id="rId562" Type="http://schemas.openxmlformats.org/officeDocument/2006/relationships/hyperlink" Target="https://scryfall.com/card/mom/90/ayara-widow-of-the-realm-ayara-furnace-queen" TargetMode="External"/><Relationship Id="rId618" Type="http://schemas.openxmlformats.org/officeDocument/2006/relationships/hyperlink" Target="https://scryfall.com/card/c21/40/fain-the-broker" TargetMode="External"/><Relationship Id="rId825" Type="http://schemas.openxmlformats.org/officeDocument/2006/relationships/hyperlink" Target="https://scryfall.com/card/ltr/183/quickbeam-upstart-ent" TargetMode="External"/><Relationship Id="rId215" Type="http://schemas.openxmlformats.org/officeDocument/2006/relationships/hyperlink" Target="https://scryfall.com/card/who/167/the-war-doctor" TargetMode="External"/><Relationship Id="rId257" Type="http://schemas.openxmlformats.org/officeDocument/2006/relationships/hyperlink" Target="https://scryfall.com/card/khm/40/alrund-god-of-the-cosmos-hakka-whispering-raven" TargetMode="External"/><Relationship Id="rId422" Type="http://schemas.openxmlformats.org/officeDocument/2006/relationships/hyperlink" Target="https://scryfall.com/card/dmu/201/ivy-gleeful-spellthief" TargetMode="External"/><Relationship Id="rId464" Type="http://schemas.openxmlformats.org/officeDocument/2006/relationships/hyperlink" Target="https://scryfall.com/card/mom/75/rona-herald-of-invasion-rona-tolarian-obliterator" TargetMode="External"/><Relationship Id="rId867" Type="http://schemas.openxmlformats.org/officeDocument/2006/relationships/hyperlink" Target="https://scryfall.com/card/ltr/86/gorbag-of-minas-morgul" TargetMode="External"/><Relationship Id="rId299" Type="http://schemas.openxmlformats.org/officeDocument/2006/relationships/hyperlink" Target="https://scryfall.com/card/dmc/2/jared-carthalion" TargetMode="External"/><Relationship Id="rId727" Type="http://schemas.openxmlformats.org/officeDocument/2006/relationships/hyperlink" Target="https://scryfall.com/card/dmu/193/aron-benalias-ruin" TargetMode="External"/><Relationship Id="rId63" Type="http://schemas.openxmlformats.org/officeDocument/2006/relationships/hyperlink" Target="https://scryfall.com/card/neo/222/hinata-dawn-crowned" TargetMode="External"/><Relationship Id="rId159" Type="http://schemas.openxmlformats.org/officeDocument/2006/relationships/hyperlink" Target="https://scryfall.com/card/woe/218/will-scion-of-peace" TargetMode="External"/><Relationship Id="rId366" Type="http://schemas.openxmlformats.org/officeDocument/2006/relationships/hyperlink" Target="https://scryfall.com/card/mom/252/rankle-and-torbran" TargetMode="External"/><Relationship Id="rId573" Type="http://schemas.openxmlformats.org/officeDocument/2006/relationships/hyperlink" Target="https://scryfall.com/card/znr/241/zagras-thief-of-heartbeats" TargetMode="External"/><Relationship Id="rId780" Type="http://schemas.openxmlformats.org/officeDocument/2006/relationships/hyperlink" Target="https://scryfall.com/card/cmr/40/radiant-serra-archangel" TargetMode="External"/><Relationship Id="rId226" Type="http://schemas.openxmlformats.org/officeDocument/2006/relationships/hyperlink" Target="https://scryfall.com/card/dmc/39/ramses-assassin-lord" TargetMode="External"/><Relationship Id="rId433" Type="http://schemas.openxmlformats.org/officeDocument/2006/relationships/hyperlink" Target="https://scryfall.com/card/clb/289/nine-fingers-keene" TargetMode="External"/><Relationship Id="rId878" Type="http://schemas.openxmlformats.org/officeDocument/2006/relationships/hyperlink" Target="https://scryfall.com/card/ltr/282/saradoc-master-of-buckland" TargetMode="External"/><Relationship Id="rId640" Type="http://schemas.openxmlformats.org/officeDocument/2006/relationships/hyperlink" Target="https://scryfall.com/card/khm/209/firja-judge-of-valor" TargetMode="External"/><Relationship Id="rId738" Type="http://schemas.openxmlformats.org/officeDocument/2006/relationships/hyperlink" Target="https://scryfall.com/card/dmc/26/baru-wurmspeaker" TargetMode="External"/><Relationship Id="rId74" Type="http://schemas.openxmlformats.org/officeDocument/2006/relationships/hyperlink" Target="https://scryfall.com/card/nec/26/kosei-penitent-warlord" TargetMode="External"/><Relationship Id="rId377" Type="http://schemas.openxmlformats.org/officeDocument/2006/relationships/hyperlink" Target="https://scryfall.com/card/ltr/215/merry-esquire-of-rohan" TargetMode="External"/><Relationship Id="rId500" Type="http://schemas.openxmlformats.org/officeDocument/2006/relationships/hyperlink" Target="https://scryfall.com/card/cmr/2/akroma-vision-of-ixidor" TargetMode="External"/><Relationship Id="rId584" Type="http://schemas.openxmlformats.org/officeDocument/2006/relationships/hyperlink" Target="https://scryfall.com/card/znc/1/anowon-the-ruin-thief" TargetMode="External"/><Relationship Id="rId805" Type="http://schemas.openxmlformats.org/officeDocument/2006/relationships/hyperlink" Target="https://scryfall.com/card/znr/226/linvala-shield-of-sea-gate" TargetMode="External"/><Relationship Id="rId5" Type="http://schemas.openxmlformats.org/officeDocument/2006/relationships/hyperlink" Target="https://scryfall.com/card/mom/213/vorinclex-the-grand-evolution" TargetMode="External"/><Relationship Id="rId237" Type="http://schemas.openxmlformats.org/officeDocument/2006/relationships/hyperlink" Target="https://scryfall.com/card/dmu/202/jhoira-ageless-innovator" TargetMode="External"/><Relationship Id="rId791" Type="http://schemas.openxmlformats.org/officeDocument/2006/relationships/hyperlink" Target="https://scryfall.com/card/clb/269/cadira-caller-of-the-small" TargetMode="External"/><Relationship Id="rId889" Type="http://schemas.openxmlformats.org/officeDocument/2006/relationships/hyperlink" Target="https://scryfall.com/card/dmu/223/tori-davenant-fury-rider" TargetMode="External"/><Relationship Id="rId444" Type="http://schemas.openxmlformats.org/officeDocument/2006/relationships/hyperlink" Target="https://scryfall.com/card/ltc/52/%C3%A9omer-king-of-rohan" TargetMode="External"/><Relationship Id="rId651" Type="http://schemas.openxmlformats.org/officeDocument/2006/relationships/hyperlink" Target="https://scryfall.com/card/mom/256/yargle-and-multani" TargetMode="External"/><Relationship Id="rId749" Type="http://schemas.openxmlformats.org/officeDocument/2006/relationships/hyperlink" Target="https://scryfall.com/card/dmc/35/the-lady-of-otaria" TargetMode="External"/><Relationship Id="rId290" Type="http://schemas.openxmlformats.org/officeDocument/2006/relationships/hyperlink" Target="https://scryfall.com/card/onc/3/otharri-suns-glory" TargetMode="External"/><Relationship Id="rId304" Type="http://schemas.openxmlformats.org/officeDocument/2006/relationships/hyperlink" Target="https://scryfall.com/card/ltr/28/samwise-the-stouthearted" TargetMode="External"/><Relationship Id="rId388" Type="http://schemas.openxmlformats.org/officeDocument/2006/relationships/hyperlink" Target="https://scryfall.com/card/mid/234/old-stickfingers" TargetMode="External"/><Relationship Id="rId511" Type="http://schemas.openxmlformats.org/officeDocument/2006/relationships/hyperlink" Target="https://scryfall.com/card/mh2/178/thrasta-tempests-roar" TargetMode="External"/><Relationship Id="rId609" Type="http://schemas.openxmlformats.org/officeDocument/2006/relationships/hyperlink" Target="https://scryfall.com/card/cmr/288/nymris-oonas-trickster" TargetMode="External"/><Relationship Id="rId85" Type="http://schemas.openxmlformats.org/officeDocument/2006/relationships/hyperlink" Target="https://scryfall.com/card/clb/287/myrkul-lord-of-bones" TargetMode="External"/><Relationship Id="rId150" Type="http://schemas.openxmlformats.org/officeDocument/2006/relationships/hyperlink" Target="https://scryfall.com/card/afr/138/delina-wild-mage" TargetMode="External"/><Relationship Id="rId595" Type="http://schemas.openxmlformats.org/officeDocument/2006/relationships/hyperlink" Target="https://scryfall.com/card/khm/92/egon-god-of-death-throne-of-death" TargetMode="External"/><Relationship Id="rId816" Type="http://schemas.openxmlformats.org/officeDocument/2006/relationships/hyperlink" Target="https://scryfall.com/card/khm/222/maja-bretagard-protector" TargetMode="External"/><Relationship Id="rId248" Type="http://schemas.openxmlformats.org/officeDocument/2006/relationships/hyperlink" Target="https://scryfall.com/card/ltr/184/radagast-the-brown" TargetMode="External"/><Relationship Id="rId455" Type="http://schemas.openxmlformats.org/officeDocument/2006/relationships/hyperlink" Target="https://scryfall.com/card/stx/197/killian-ink-duelist" TargetMode="External"/><Relationship Id="rId662" Type="http://schemas.openxmlformats.org/officeDocument/2006/relationships/hyperlink" Target="https://scryfall.com/card/stx/155/plargg-dean-of-chaos-augusta-dean-of-order" TargetMode="External"/><Relationship Id="rId12" Type="http://schemas.openxmlformats.org/officeDocument/2006/relationships/hyperlink" Target="https://scryfall.com/card/bro/95/gix-yawgmoth-praetor" TargetMode="External"/><Relationship Id="rId108" Type="http://schemas.openxmlformats.org/officeDocument/2006/relationships/hyperlink" Target="https://scryfall.com/card/bro/218/queen-kayla-bin-kroog" TargetMode="External"/><Relationship Id="rId315" Type="http://schemas.openxmlformats.org/officeDocument/2006/relationships/hyperlink" Target="https://scryfall.com/card/vow/249/torens-fist-of-the-angels" TargetMode="External"/><Relationship Id="rId522" Type="http://schemas.openxmlformats.org/officeDocument/2006/relationships/hyperlink" Target="https://scryfall.com/card/ltr/177/meriadoc-brandybuck" TargetMode="External"/><Relationship Id="rId96" Type="http://schemas.openxmlformats.org/officeDocument/2006/relationships/hyperlink" Target="https://scryfall.com/card/mat/38/narset-enlightened-exile" TargetMode="External"/><Relationship Id="rId161" Type="http://schemas.openxmlformats.org/officeDocument/2006/relationships/hyperlink" Target="https://scryfall.com/card/ltc/26/gollum-obsessed-stalker" TargetMode="External"/><Relationship Id="rId399" Type="http://schemas.openxmlformats.org/officeDocument/2006/relationships/hyperlink" Target="https://scryfall.com/card/ltc/12/the-gaffer" TargetMode="External"/><Relationship Id="rId827" Type="http://schemas.openxmlformats.org/officeDocument/2006/relationships/hyperlink" Target="https://scryfall.com/card/ltr/194/arwen-und%C3%B3miel" TargetMode="External"/><Relationship Id="rId259" Type="http://schemas.openxmlformats.org/officeDocument/2006/relationships/hyperlink" Target="https://scryfall.com/card/clb/266/baba-lysaga-night-witch" TargetMode="External"/><Relationship Id="rId466" Type="http://schemas.openxmlformats.org/officeDocument/2006/relationships/hyperlink" Target="https://scryfall.com/card/voc/1/millicent-restless-revenant" TargetMode="External"/><Relationship Id="rId673" Type="http://schemas.openxmlformats.org/officeDocument/2006/relationships/hyperlink" Target="https://scryfall.com/card/voc/19/kamber-the-plunderer" TargetMode="External"/><Relationship Id="rId880" Type="http://schemas.openxmlformats.org/officeDocument/2006/relationships/hyperlink" Target="https://scryfall.com/card/dmu/208/najal-the-storm-runner" TargetMode="External"/><Relationship Id="rId23" Type="http://schemas.openxmlformats.org/officeDocument/2006/relationships/hyperlink" Target="https://scryfall.com/card/khm/197/toski-bearer-of-secrets" TargetMode="External"/><Relationship Id="rId119" Type="http://schemas.openxmlformats.org/officeDocument/2006/relationships/hyperlink" Target="https://scryfall.com/card/brc/2/urza-chief-artificer" TargetMode="External"/><Relationship Id="rId326" Type="http://schemas.openxmlformats.org/officeDocument/2006/relationships/hyperlink" Target="https://scryfall.com/card/cmr/286/liesa-shroud-of-dusk" TargetMode="External"/><Relationship Id="rId533" Type="http://schemas.openxmlformats.org/officeDocument/2006/relationships/hyperlink" Target="https://scryfall.com/card/ltr/289/frodo-determined-hero" TargetMode="External"/><Relationship Id="rId740" Type="http://schemas.openxmlformats.org/officeDocument/2006/relationships/hyperlink" Target="https://scryfall.com/card/cmr/277/gor-muldrak-amphinologist" TargetMode="External"/><Relationship Id="rId838" Type="http://schemas.openxmlformats.org/officeDocument/2006/relationships/hyperlink" Target="https://scryfall.com/card/c21/45/tivash-gloom-summoner" TargetMode="External"/><Relationship Id="rId172" Type="http://schemas.openxmlformats.org/officeDocument/2006/relationships/hyperlink" Target="https://scryfall.com/card/m21/191/jolrael-mwonvuli-recluse" TargetMode="External"/><Relationship Id="rId477" Type="http://schemas.openxmlformats.org/officeDocument/2006/relationships/hyperlink" Target="https://scryfall.com/card/ltr/106/sauron-the-necromancer" TargetMode="External"/><Relationship Id="rId600" Type="http://schemas.openxmlformats.org/officeDocument/2006/relationships/hyperlink" Target="https://scryfall.com/card/who/76/bill-potts" TargetMode="External"/><Relationship Id="rId684" Type="http://schemas.openxmlformats.org/officeDocument/2006/relationships/hyperlink" Target="https://scryfall.com/card/znr/225/kaza-roil-chaser" TargetMode="External"/><Relationship Id="rId337" Type="http://schemas.openxmlformats.org/officeDocument/2006/relationships/hyperlink" Target="https://scryfall.com/card/snc/215/rigo-streetwise-mentor" TargetMode="External"/><Relationship Id="rId891" Type="http://schemas.openxmlformats.org/officeDocument/2006/relationships/hyperlink" Target="https://scryfall.com/card/cmr/230/gilanra-caller-of-wirewood" TargetMode="External"/><Relationship Id="rId905" Type="http://schemas.openxmlformats.org/officeDocument/2006/relationships/hyperlink" Target="https://scryfall.com/card/khm/29/sigrid-god-favored" TargetMode="External"/><Relationship Id="rId34" Type="http://schemas.openxmlformats.org/officeDocument/2006/relationships/hyperlink" Target="https://scryfall.com/card/khm/168/esika-god-of-the-tree-the-prismatic-bridge" TargetMode="External"/><Relationship Id="rId544" Type="http://schemas.openxmlformats.org/officeDocument/2006/relationships/hyperlink" Target="https://scryfall.com/card/brc/26/the-archimandrite" TargetMode="External"/><Relationship Id="rId751" Type="http://schemas.openxmlformats.org/officeDocument/2006/relationships/hyperlink" Target="https://scryfall.com/card/one/114/vraan-executioner-thane" TargetMode="External"/><Relationship Id="rId849" Type="http://schemas.openxmlformats.org/officeDocument/2006/relationships/hyperlink" Target="https://scryfall.com/card/clb/295/thrakkus-the-butcher" TargetMode="External"/><Relationship Id="rId183" Type="http://schemas.openxmlformats.org/officeDocument/2006/relationships/hyperlink" Target="https://scryfall.com/card/afr/223/gretchen-titchwillow" TargetMode="External"/><Relationship Id="rId390" Type="http://schemas.openxmlformats.org/officeDocument/2006/relationships/hyperlink" Target="https://scryfall.com/card/cmr/287/nevinyrral-urborg-tyrant" TargetMode="External"/><Relationship Id="rId404" Type="http://schemas.openxmlformats.org/officeDocument/2006/relationships/hyperlink" Target="https://scryfall.com/card/clb/148/sivriss-nightmare-speaker" TargetMode="External"/><Relationship Id="rId611" Type="http://schemas.openxmlformats.org/officeDocument/2006/relationships/hyperlink" Target="https://scryfall.com/card/dmc/27/greensleeves-maro-sorcerer" TargetMode="External"/><Relationship Id="rId250" Type="http://schemas.openxmlformats.org/officeDocument/2006/relationships/hyperlink" Target="https://scryfall.com/card/ltr/191/aragorn-company-leader" TargetMode="External"/><Relationship Id="rId488" Type="http://schemas.openxmlformats.org/officeDocument/2006/relationships/hyperlink" Target="https://scryfall.com/card/mat/29/danitha-new-benalias-light" TargetMode="External"/><Relationship Id="rId695" Type="http://schemas.openxmlformats.org/officeDocument/2006/relationships/hyperlink" Target="https://scryfall.com/card/c21/4/zaffai-thunder-conductor" TargetMode="External"/><Relationship Id="rId709" Type="http://schemas.openxmlformats.org/officeDocument/2006/relationships/hyperlink" Target="https://scryfall.com/card/clb/146/shadowheart-dark-justiciar" TargetMode="External"/><Relationship Id="rId916" Type="http://schemas.openxmlformats.org/officeDocument/2006/relationships/hyperlink" Target="https://scryfall.com/card/clb/1/faceless-one" TargetMode="External"/><Relationship Id="rId45" Type="http://schemas.openxmlformats.org/officeDocument/2006/relationships/hyperlink" Target="https://scryfall.com/card/vow/245/olivia-crimson-bride" TargetMode="External"/><Relationship Id="rId110" Type="http://schemas.openxmlformats.org/officeDocument/2006/relationships/hyperlink" Target="https://scryfall.com/card/khm/179/jorn-god-of-winter-kaldring-the-rimestaff" TargetMode="External"/><Relationship Id="rId348" Type="http://schemas.openxmlformats.org/officeDocument/2006/relationships/hyperlink" Target="https://scryfall.com/card/nec/1/chishiro-the-shattered-blade" TargetMode="External"/><Relationship Id="rId555" Type="http://schemas.openxmlformats.org/officeDocument/2006/relationships/hyperlink" Target="https://scryfall.com/card/ltc/9/beregond-of-the-guard" TargetMode="External"/><Relationship Id="rId762" Type="http://schemas.openxmlformats.org/officeDocument/2006/relationships/hyperlink" Target="https://scryfall.com/card/brc/13/farid-enterprising-salvager" TargetMode="External"/><Relationship Id="rId194" Type="http://schemas.openxmlformats.org/officeDocument/2006/relationships/hyperlink" Target="https://scryfall.com/card/dmc/9/bladewing-deathless-tyrant" TargetMode="External"/><Relationship Id="rId208" Type="http://schemas.openxmlformats.org/officeDocument/2006/relationships/hyperlink" Target="https://scryfall.com/card/neo/99/hidetsugu-devouring-chaos" TargetMode="External"/><Relationship Id="rId415" Type="http://schemas.openxmlformats.org/officeDocument/2006/relationships/hyperlink" Target="https://scryfall.com/card/one/98/karumonix-the-rat-king" TargetMode="External"/><Relationship Id="rId622" Type="http://schemas.openxmlformats.org/officeDocument/2006/relationships/hyperlink" Target="https://scryfall.com/card/dmu/214/rith-liberated-primeval" TargetMode="External"/><Relationship Id="rId261" Type="http://schemas.openxmlformats.org/officeDocument/2006/relationships/hyperlink" Target="https://scryfall.com/card/mom/337/surrak-and-goreclaw" TargetMode="External"/><Relationship Id="rId499" Type="http://schemas.openxmlformats.org/officeDocument/2006/relationships/hyperlink" Target="https://scryfall.com/card/snc/210/ognis-the-dragons-lash" TargetMode="External"/><Relationship Id="rId56" Type="http://schemas.openxmlformats.org/officeDocument/2006/relationships/hyperlink" Target="https://scryfall.com/card/mat/46/sarkhan-soul-aflame" TargetMode="External"/><Relationship Id="rId359" Type="http://schemas.openxmlformats.org/officeDocument/2006/relationships/hyperlink" Target="https://scryfall.com/card/clb/657/durnan-of-the-yawning-portal" TargetMode="External"/><Relationship Id="rId566" Type="http://schemas.openxmlformats.org/officeDocument/2006/relationships/hyperlink" Target="https://scryfall.com/card/khm/224/narfi-betrayer-king" TargetMode="External"/><Relationship Id="rId773" Type="http://schemas.openxmlformats.org/officeDocument/2006/relationships/hyperlink" Target="https://scryfall.com/card/ltr/213/lotho-corrupt-shirriff" TargetMode="External"/><Relationship Id="rId121" Type="http://schemas.openxmlformats.org/officeDocument/2006/relationships/hyperlink" Target="https://scryfall.com/card/who/82/donna-noble" TargetMode="External"/><Relationship Id="rId219" Type="http://schemas.openxmlformats.org/officeDocument/2006/relationships/hyperlink" Target="https://scryfall.com/card/who/2/the-fourth-doctor" TargetMode="External"/><Relationship Id="rId426" Type="http://schemas.openxmlformats.org/officeDocument/2006/relationships/hyperlink" Target="https://scryfall.com/card/clb/276/gorion-wise-mentor" TargetMode="External"/><Relationship Id="rId633" Type="http://schemas.openxmlformats.org/officeDocument/2006/relationships/hyperlink" Target="https://scryfall.com/card/dmu/204/king-darien-xlviii" TargetMode="External"/><Relationship Id="rId840" Type="http://schemas.openxmlformats.org/officeDocument/2006/relationships/hyperlink" Target="https://scryfall.com/card/afr/27/nadaar-selfless-paladin" TargetMode="External"/><Relationship Id="rId67" Type="http://schemas.openxmlformats.org/officeDocument/2006/relationships/hyperlink" Target="https://scryfall.com/card/cmr/289/obeka-brute-chronologist" TargetMode="External"/><Relationship Id="rId272" Type="http://schemas.openxmlformats.org/officeDocument/2006/relationships/hyperlink" Target="https://scryfall.com/card/bot/15/ultra-magnus-tactician-ultra-magnus-armored-carrier" TargetMode="External"/><Relationship Id="rId577" Type="http://schemas.openxmlformats.org/officeDocument/2006/relationships/hyperlink" Target="https://scryfall.com/card/40k/7/magus-lucea-kane" TargetMode="External"/><Relationship Id="rId700" Type="http://schemas.openxmlformats.org/officeDocument/2006/relationships/hyperlink" Target="https://scryfall.com/card/who/6/sarah-jane-smith" TargetMode="External"/><Relationship Id="rId132" Type="http://schemas.openxmlformats.org/officeDocument/2006/relationships/hyperlink" Target="https://scryfall.com/card/j22/30/auntie-blyte-bad-influence" TargetMode="External"/><Relationship Id="rId784" Type="http://schemas.openxmlformats.org/officeDocument/2006/relationships/hyperlink" Target="https://scryfall.com/card/40k/127/inquisitor-eisenhorn" TargetMode="External"/><Relationship Id="rId437" Type="http://schemas.openxmlformats.org/officeDocument/2006/relationships/hyperlink" Target="https://scryfall.com/card/40k/37/illuminor-szeras" TargetMode="External"/><Relationship Id="rId644" Type="http://schemas.openxmlformats.org/officeDocument/2006/relationships/hyperlink" Target="https://scryfall.com/card/neo/31/norika-yamazaki-the-poet" TargetMode="External"/><Relationship Id="rId851" Type="http://schemas.openxmlformats.org/officeDocument/2006/relationships/hyperlink" Target="https://scryfall.com/card/afr/236/trelasarra-moon-dancer" TargetMode="External"/><Relationship Id="rId283" Type="http://schemas.openxmlformats.org/officeDocument/2006/relationships/hyperlink" Target="https://scryfall.com/card/moc/8/rashmi-and-ragavan" TargetMode="External"/><Relationship Id="rId490" Type="http://schemas.openxmlformats.org/officeDocument/2006/relationships/hyperlink" Target="https://scryfall.com/card/bro/69/urza-powerstone-prodigy" TargetMode="External"/><Relationship Id="rId504" Type="http://schemas.openxmlformats.org/officeDocument/2006/relationships/hyperlink" Target="https://scryfall.com/card/ltc/15/gwaihir-greatest-of-the-eagles" TargetMode="External"/><Relationship Id="rId711" Type="http://schemas.openxmlformats.org/officeDocument/2006/relationships/hyperlink" Target="https://scryfall.com/card/ltr/93/lobelia-sackville-baggins" TargetMode="External"/><Relationship Id="rId78" Type="http://schemas.openxmlformats.org/officeDocument/2006/relationships/hyperlink" Target="https://scryfall.com/card/m21/278/rin-and-seri-inseparable" TargetMode="External"/><Relationship Id="rId143" Type="http://schemas.openxmlformats.org/officeDocument/2006/relationships/hyperlink" Target="https://scryfall.com/card/mom/219/borborygmos-and-fblthp" TargetMode="External"/><Relationship Id="rId350" Type="http://schemas.openxmlformats.org/officeDocument/2006/relationships/hyperlink" Target="https://scryfall.com/card/ltr/207/gandalf-the-grey" TargetMode="External"/><Relationship Id="rId588" Type="http://schemas.openxmlformats.org/officeDocument/2006/relationships/hyperlink" Target="https://scryfall.com/card/afr/221/farideh-devils-chosen" TargetMode="External"/><Relationship Id="rId795" Type="http://schemas.openxmlformats.org/officeDocument/2006/relationships/hyperlink" Target="https://scryfall.com/card/who/110/susan-foreman" TargetMode="External"/><Relationship Id="rId809" Type="http://schemas.openxmlformats.org/officeDocument/2006/relationships/hyperlink" Target="https://scryfall.com/card/clb/273/dynaheir-invoker-adept" TargetMode="External"/><Relationship Id="rId9" Type="http://schemas.openxmlformats.org/officeDocument/2006/relationships/hyperlink" Target="https://scryfall.com/card/bot/5/starscream-power-hungry-starscream-seeker-leader" TargetMode="External"/><Relationship Id="rId210" Type="http://schemas.openxmlformats.org/officeDocument/2006/relationships/hyperlink" Target="https://scryfall.com/card/who/75/amy-pond" TargetMode="External"/><Relationship Id="rId448" Type="http://schemas.openxmlformats.org/officeDocument/2006/relationships/hyperlink" Target="https://scryfall.com/card/who/33/adric-mathematical-genius" TargetMode="External"/><Relationship Id="rId655" Type="http://schemas.openxmlformats.org/officeDocument/2006/relationships/hyperlink" Target="https://scryfall.com/card/ltc/61/merry-warden-of-isengard" TargetMode="External"/><Relationship Id="rId862" Type="http://schemas.openxmlformats.org/officeDocument/2006/relationships/hyperlink" Target="https://scryfall.com/card/one/407/rhuk-hexgold-nabber" TargetMode="External"/><Relationship Id="rId294" Type="http://schemas.openxmlformats.org/officeDocument/2006/relationships/hyperlink" Target="https://scryfall.com/card/cmr/270/belbe-corrupted-observer" TargetMode="External"/><Relationship Id="rId308" Type="http://schemas.openxmlformats.org/officeDocument/2006/relationships/hyperlink" Target="https://scryfall.com/card/c21/18/losheel-clockwork-scholar" TargetMode="External"/><Relationship Id="rId515" Type="http://schemas.openxmlformats.org/officeDocument/2006/relationships/hyperlink" Target="https://scryfall.com/card/afr/28/oswald-fiddlebender" TargetMode="External"/><Relationship Id="rId722" Type="http://schemas.openxmlformats.org/officeDocument/2006/relationships/hyperlink" Target="https://scryfall.com/card/who/23/jo-grant" TargetMode="External"/><Relationship Id="rId89" Type="http://schemas.openxmlformats.org/officeDocument/2006/relationships/hyperlink" Target="https://scryfall.com/card/who/4/the-thirteenth-doctor" TargetMode="External"/><Relationship Id="rId154" Type="http://schemas.openxmlformats.org/officeDocument/2006/relationships/hyperlink" Target="https://scryfall.com/card/cmr/197/rograkh-son-of-rohgahh" TargetMode="External"/><Relationship Id="rId361" Type="http://schemas.openxmlformats.org/officeDocument/2006/relationships/hyperlink" Target="https://scryfall.com/card/neo/224/isshin-two-heavens-as-one" TargetMode="External"/><Relationship Id="rId599" Type="http://schemas.openxmlformats.org/officeDocument/2006/relationships/hyperlink" Target="https://scryfall.com/card/mh2/148/aeve-progenitor-ooze" TargetMode="External"/><Relationship Id="rId459" Type="http://schemas.openxmlformats.org/officeDocument/2006/relationships/hyperlink" Target="https://scryfall.com/card/dmc/30/the-ever-changing-dane" TargetMode="External"/><Relationship Id="rId666" Type="http://schemas.openxmlformats.org/officeDocument/2006/relationships/hyperlink" Target="https://scryfall.com/card/ltr/232/strider-ranger-of-the-north" TargetMode="External"/><Relationship Id="rId873" Type="http://schemas.openxmlformats.org/officeDocument/2006/relationships/hyperlink" Target="https://scryfall.com/card/dmc/29/ayesha-tanaka-armorer" TargetMode="External"/><Relationship Id="rId16" Type="http://schemas.openxmlformats.org/officeDocument/2006/relationships/hyperlink" Target="https://scryfall.com/card/ltr/19/gandalf-the-white" TargetMode="External"/><Relationship Id="rId221" Type="http://schemas.openxmlformats.org/officeDocument/2006/relationships/hyperlink" Target="https://scryfall.com/card/vow/236/edgar-charmed-groom-edgar-markovs-coffin" TargetMode="External"/><Relationship Id="rId319" Type="http://schemas.openxmlformats.org/officeDocument/2006/relationships/hyperlink" Target="https://scryfall.com/card/ltr/211/king-of-the-oathbreakers" TargetMode="External"/><Relationship Id="rId526" Type="http://schemas.openxmlformats.org/officeDocument/2006/relationships/hyperlink" Target="https://scryfall.com/card/ltr/212/legolas-counter-of-kills" TargetMode="External"/><Relationship Id="rId733" Type="http://schemas.openxmlformats.org/officeDocument/2006/relationships/hyperlink" Target="https://scryfall.com/card/mid/242/slogurk-the-overslime" TargetMode="External"/><Relationship Id="rId165" Type="http://schemas.openxmlformats.org/officeDocument/2006/relationships/hyperlink" Target="https://scryfall.com/card/ncc/2/henzie-toolbox-torre" TargetMode="External"/><Relationship Id="rId372" Type="http://schemas.openxmlformats.org/officeDocument/2006/relationships/hyperlink" Target="https://scryfall.com/card/bro/224/tocasia-dig-site-mentor" TargetMode="External"/><Relationship Id="rId677" Type="http://schemas.openxmlformats.org/officeDocument/2006/relationships/hyperlink" Target="https://scryfall.com/card/ltr/296/galadriel-gift-giver" TargetMode="External"/><Relationship Id="rId800" Type="http://schemas.openxmlformats.org/officeDocument/2006/relationships/hyperlink" Target="https://scryfall.com/card/c21/66/ruxa-patient-professor" TargetMode="External"/><Relationship Id="rId232" Type="http://schemas.openxmlformats.org/officeDocument/2006/relationships/hyperlink" Target="https://scryfall.com/card/bot/2/ratchet-field-medic-ratchet-rescue-racer" TargetMode="External"/><Relationship Id="rId884" Type="http://schemas.openxmlformats.org/officeDocument/2006/relationships/hyperlink" Target="https://scryfall.com/card/dmc/36/ohabi-caleria" TargetMode="External"/><Relationship Id="rId27" Type="http://schemas.openxmlformats.org/officeDocument/2006/relationships/hyperlink" Target="https://scryfall.com/card/moc/447/slimefoot-and-squee" TargetMode="External"/><Relationship Id="rId537" Type="http://schemas.openxmlformats.org/officeDocument/2006/relationships/hyperlink" Target="https://scryfall.com/card/ncc/7/kros-defense-contractor" TargetMode="External"/><Relationship Id="rId744" Type="http://schemas.openxmlformats.org/officeDocument/2006/relationships/hyperlink" Target="https://scryfall.com/card/cmr/271/bell-borca-spectral-sergeant" TargetMode="External"/><Relationship Id="rId80" Type="http://schemas.openxmlformats.org/officeDocument/2006/relationships/hyperlink" Target="https://scryfall.com/card/sld/343/eleven-the-mage" TargetMode="External"/><Relationship Id="rId176" Type="http://schemas.openxmlformats.org/officeDocument/2006/relationships/hyperlink" Target="https://scryfall.com/card/ltr/202/faramir-prince-of-ithilien" TargetMode="External"/><Relationship Id="rId383" Type="http://schemas.openxmlformats.org/officeDocument/2006/relationships/hyperlink" Target="https://scryfall.com/card/dmc/16/verrak-warped-sengir" TargetMode="External"/><Relationship Id="rId590" Type="http://schemas.openxmlformats.org/officeDocument/2006/relationships/hyperlink" Target="https://scryfall.com/card/sld/345/max-the-daredevil" TargetMode="External"/><Relationship Id="rId604" Type="http://schemas.openxmlformats.org/officeDocument/2006/relationships/hyperlink" Target="https://scryfall.com/card/c21/3/veyran-voice-of-duality" TargetMode="External"/><Relationship Id="rId811" Type="http://schemas.openxmlformats.org/officeDocument/2006/relationships/hyperlink" Target="https://scryfall.com/card/nec/36/myojin-of-roaring-blades" TargetMode="External"/><Relationship Id="rId243" Type="http://schemas.openxmlformats.org/officeDocument/2006/relationships/hyperlink" Target="https://scryfall.com/card/who/125/the-eleventh-doctor" TargetMode="External"/><Relationship Id="rId450" Type="http://schemas.openxmlformats.org/officeDocument/2006/relationships/hyperlink" Target="https://scryfall.com/card/stx/161/valentin-dean-of-the-vein-lisette-dean-of-the-root" TargetMode="External"/><Relationship Id="rId688" Type="http://schemas.openxmlformats.org/officeDocument/2006/relationships/hyperlink" Target="https://scryfall.com/card/nec/38/myojin-of-towering-might" TargetMode="External"/><Relationship Id="rId895" Type="http://schemas.openxmlformats.org/officeDocument/2006/relationships/hyperlink" Target="https://scryfall.com/card/voc/8/rhoda-geist-avenger" TargetMode="External"/><Relationship Id="rId909" Type="http://schemas.openxmlformats.org/officeDocument/2006/relationships/hyperlink" Target="https://scryfall.com/card/clb/159/amber-gristle-omaul" TargetMode="External"/><Relationship Id="rId38" Type="http://schemas.openxmlformats.org/officeDocument/2006/relationships/hyperlink" Target="https://scryfall.com/card/one/196/atraxa-grand-unifier" TargetMode="External"/><Relationship Id="rId103" Type="http://schemas.openxmlformats.org/officeDocument/2006/relationships/hyperlink" Target="https://scryfall.com/card/ltr/231/sm%C3%A9agol-helpful-guide" TargetMode="External"/><Relationship Id="rId310" Type="http://schemas.openxmlformats.org/officeDocument/2006/relationships/hyperlink" Target="https://scryfall.com/card/mom/250/quintorius-loremaster" TargetMode="External"/><Relationship Id="rId548" Type="http://schemas.openxmlformats.org/officeDocument/2006/relationships/hyperlink" Target="https://scryfall.com/card/ltc/6/gandalf-westward-voyager" TargetMode="External"/><Relationship Id="rId755" Type="http://schemas.openxmlformats.org/officeDocument/2006/relationships/hyperlink" Target="https://scryfall.com/card/cmr/292/tuya-bearclaw" TargetMode="External"/><Relationship Id="rId91" Type="http://schemas.openxmlformats.org/officeDocument/2006/relationships/hyperlink" Target="https://scryfall.com/card/one/150/solphim-mayhem-dominus" TargetMode="External"/><Relationship Id="rId187" Type="http://schemas.openxmlformats.org/officeDocument/2006/relationships/hyperlink" Target="https://scryfall.com/card/dmu/194/astor-bearer-of-blades" TargetMode="External"/><Relationship Id="rId394" Type="http://schemas.openxmlformats.org/officeDocument/2006/relationships/hyperlink" Target="https://scryfall.com/card/mat/33/jolrael-voice-of-zhalfir" TargetMode="External"/><Relationship Id="rId408" Type="http://schemas.openxmlformats.org/officeDocument/2006/relationships/hyperlink" Target="https://scryfall.com/card/snc/228/toluz-clever-conductor" TargetMode="External"/><Relationship Id="rId615" Type="http://schemas.openxmlformats.org/officeDocument/2006/relationships/hyperlink" Target="https://scryfall.com/card/cmr/275/ghen-arcanum-weaver" TargetMode="External"/><Relationship Id="rId822" Type="http://schemas.openxmlformats.org/officeDocument/2006/relationships/hyperlink" Target="https://scryfall.com/card/stx/152/kianne-dean-of-substance-imbraham-dean-of-theory" TargetMode="External"/><Relationship Id="rId254" Type="http://schemas.openxmlformats.org/officeDocument/2006/relationships/hyperlink" Target="https://scryfall.com/card/ltr/227/shadowfax-lord-of-horses" TargetMode="External"/><Relationship Id="rId699" Type="http://schemas.openxmlformats.org/officeDocument/2006/relationships/hyperlink" Target="https://scryfall.com/card/j22/6/lita-mechanical-engineer" TargetMode="External"/><Relationship Id="rId49" Type="http://schemas.openxmlformats.org/officeDocument/2006/relationships/hyperlink" Target="https://scryfall.com/card/bot/12/megatron-tyrant-megatron-destructive-force" TargetMode="External"/><Relationship Id="rId114" Type="http://schemas.openxmlformats.org/officeDocument/2006/relationships/hyperlink" Target="https://scryfall.com/card/dmc/38/ramirez-depietro-pillager" TargetMode="External"/><Relationship Id="rId461" Type="http://schemas.openxmlformats.org/officeDocument/2006/relationships/hyperlink" Target="https://scryfall.com/card/woe/216/totentanz-swarm-piper" TargetMode="External"/><Relationship Id="rId559" Type="http://schemas.openxmlformats.org/officeDocument/2006/relationships/hyperlink" Target="https://scryfall.com/card/cmr/274/colfenor-the-last-yew" TargetMode="External"/><Relationship Id="rId766" Type="http://schemas.openxmlformats.org/officeDocument/2006/relationships/hyperlink" Target="https://scryfall.com/card/dmc/31/general-marhault-elsdragon" TargetMode="External"/><Relationship Id="rId198" Type="http://schemas.openxmlformats.org/officeDocument/2006/relationships/hyperlink" Target="https://scryfall.com/card/cmr/131/keskit-the-flesh-sculptor" TargetMode="External"/><Relationship Id="rId321" Type="http://schemas.openxmlformats.org/officeDocument/2006/relationships/hyperlink" Target="https://scryfall.com/card/ncc/8/parnesse-the-subtle-brush" TargetMode="External"/><Relationship Id="rId419" Type="http://schemas.openxmlformats.org/officeDocument/2006/relationships/hyperlink" Target="https://scryfall.com/card/clb/296/zevlor-elturel-exile" TargetMode="External"/><Relationship Id="rId626" Type="http://schemas.openxmlformats.org/officeDocument/2006/relationships/hyperlink" Target="https://scryfall.com/card/vow/65/jacob-hauken-inspector-haukens-insight" TargetMode="External"/><Relationship Id="rId833" Type="http://schemas.openxmlformats.org/officeDocument/2006/relationships/hyperlink" Target="https://scryfall.com/card/afr/225/kalain-reclusive-painter" TargetMode="External"/><Relationship Id="rId265" Type="http://schemas.openxmlformats.org/officeDocument/2006/relationships/hyperlink" Target="https://scryfall.com/card/one/33/skrelv-defector-mite" TargetMode="External"/><Relationship Id="rId472" Type="http://schemas.openxmlformats.org/officeDocument/2006/relationships/hyperlink" Target="https://scryfall.com/card/ltc/50/c%C3%ADrdan-the-shipwright" TargetMode="External"/><Relationship Id="rId900" Type="http://schemas.openxmlformats.org/officeDocument/2006/relationships/hyperlink" Target="https://scryfall.com/card/ltr/214/mauh%C3%BAr-uruk-hai-captain" TargetMode="External"/><Relationship Id="rId125" Type="http://schemas.openxmlformats.org/officeDocument/2006/relationships/hyperlink" Target="https://scryfall.com/card/woe/219/yenna-redtooth-regent" TargetMode="External"/><Relationship Id="rId332" Type="http://schemas.openxmlformats.org/officeDocument/2006/relationships/hyperlink" Target="https://scryfall.com/card/onc/4/vishgraz-the-doomhive" TargetMode="External"/><Relationship Id="rId777" Type="http://schemas.openxmlformats.org/officeDocument/2006/relationships/hyperlink" Target="https://scryfall.com/card/jmp/25/sethron-hurloon-general" TargetMode="External"/><Relationship Id="rId637" Type="http://schemas.openxmlformats.org/officeDocument/2006/relationships/hyperlink" Target="https://scryfall.com/card/stx/227/rootha-mercurial-artist" TargetMode="External"/><Relationship Id="rId844" Type="http://schemas.openxmlformats.org/officeDocument/2006/relationships/hyperlink" Target="https://scryfall.com/card/cmr/60/brinelin-the-moon-kraken" TargetMode="External"/><Relationship Id="rId276" Type="http://schemas.openxmlformats.org/officeDocument/2006/relationships/hyperlink" Target="https://scryfall.com/card/mh2/214/sythis-harvests-hand" TargetMode="External"/><Relationship Id="rId483" Type="http://schemas.openxmlformats.org/officeDocument/2006/relationships/hyperlink" Target="https://scryfall.com/card/j22/44/runadi-behemoth-caller" TargetMode="External"/><Relationship Id="rId690" Type="http://schemas.openxmlformats.org/officeDocument/2006/relationships/hyperlink" Target="https://scryfall.com/card/woe/137/imodane-the-pyrohammer" TargetMode="External"/><Relationship Id="rId704" Type="http://schemas.openxmlformats.org/officeDocument/2006/relationships/hyperlink" Target="https://scryfall.com/card/afr/87/acererak-the-archlich" TargetMode="External"/><Relationship Id="rId911" Type="http://schemas.openxmlformats.org/officeDocument/2006/relationships/hyperlink" Target="https://scryfall.com/card/ltr/21/landroval-horizon-witness" TargetMode="External"/><Relationship Id="rId40" Type="http://schemas.openxmlformats.org/officeDocument/2006/relationships/hyperlink" Target="https://scryfall.com/card/mom/257/zimone-and-dina" TargetMode="External"/><Relationship Id="rId136" Type="http://schemas.openxmlformats.org/officeDocument/2006/relationships/hyperlink" Target="https://scryfall.com/card/ltr/181/peregrin-took" TargetMode="External"/><Relationship Id="rId343" Type="http://schemas.openxmlformats.org/officeDocument/2006/relationships/hyperlink" Target="https://scryfall.com/card/mat/49/karn-legacy-reforged" TargetMode="External"/><Relationship Id="rId550" Type="http://schemas.openxmlformats.org/officeDocument/2006/relationships/hyperlink" Target="https://scryfall.com/card/dmc/4/shanid-sleepers-scourge" TargetMode="External"/><Relationship Id="rId788" Type="http://schemas.openxmlformats.org/officeDocument/2006/relationships/hyperlink" Target="https://scryfall.com/card/ltc/53/erestor-of-the-council" TargetMode="External"/><Relationship Id="rId203" Type="http://schemas.openxmlformats.org/officeDocument/2006/relationships/hyperlink" Target="https://scryfall.com/card/one/201/ezuri-stalker-of-spheres" TargetMode="External"/><Relationship Id="rId648" Type="http://schemas.openxmlformats.org/officeDocument/2006/relationships/hyperlink" Target="https://scryfall.com/card/clb/261/wilson-refined-grizzly" TargetMode="External"/><Relationship Id="rId855" Type="http://schemas.openxmlformats.org/officeDocument/2006/relationships/hyperlink" Target="https://scryfall.com/card/woe/209/neva-stalked-by-nightmares" TargetMode="External"/><Relationship Id="rId287" Type="http://schemas.openxmlformats.org/officeDocument/2006/relationships/hyperlink" Target="https://scryfall.com/card/ltc/27/lobelia-defender-of-bag-end" TargetMode="External"/><Relationship Id="rId410" Type="http://schemas.openxmlformats.org/officeDocument/2006/relationships/hyperlink" Target="https://scryfall.com/card/who/94/ryan-sinclair" TargetMode="External"/><Relationship Id="rId494" Type="http://schemas.openxmlformats.org/officeDocument/2006/relationships/hyperlink" Target="https://scryfall.com/card/m21/222/niambi-esteemed-speaker" TargetMode="External"/><Relationship Id="rId508" Type="http://schemas.openxmlformats.org/officeDocument/2006/relationships/hyperlink" Target="https://scryfall.com/card/who/50/nardole-resourceful-cyborg" TargetMode="External"/><Relationship Id="rId715" Type="http://schemas.openxmlformats.org/officeDocument/2006/relationships/hyperlink" Target="https://scryfall.com/card/40k/130/lucius-the-eternal" TargetMode="External"/><Relationship Id="rId922" Type="http://schemas.openxmlformats.org/officeDocument/2006/relationships/hyperlink" Target="https://scryfall.com/card/vow/244/old-rutstein" TargetMode="External"/><Relationship Id="rId147" Type="http://schemas.openxmlformats.org/officeDocument/2006/relationships/hyperlink" Target="https://scryfall.com/card/bot/14/soundwave-sonic-spy-soundwave-superior-captain" TargetMode="External"/><Relationship Id="rId354" Type="http://schemas.openxmlformats.org/officeDocument/2006/relationships/hyperlink" Target="https://scryfall.com/card/mat/16/arni-metalbrow" TargetMode="External"/><Relationship Id="rId799" Type="http://schemas.openxmlformats.org/officeDocument/2006/relationships/hyperlink" Target="https://scryfall.com/card/afr/60/grazilaxx-illithid-scholar" TargetMode="External"/><Relationship Id="rId51" Type="http://schemas.openxmlformats.org/officeDocument/2006/relationships/hyperlink" Target="https://scryfall.com/card/snc/14/giada-font-of-hope" TargetMode="External"/><Relationship Id="rId561" Type="http://schemas.openxmlformats.org/officeDocument/2006/relationships/hyperlink" Target="https://scryfall.com/card/dmu/225/uurg-spawn-of-turg" TargetMode="External"/><Relationship Id="rId659" Type="http://schemas.openxmlformats.org/officeDocument/2006/relationships/hyperlink" Target="https://scryfall.com/card/dmu/224/tura-kenner%C3%BCd-skyknight" TargetMode="External"/><Relationship Id="rId866" Type="http://schemas.openxmlformats.org/officeDocument/2006/relationships/hyperlink" Target="https://scryfall.com/card/znr/240/yasharn-implacable-earth" TargetMode="External"/><Relationship Id="rId214" Type="http://schemas.openxmlformats.org/officeDocument/2006/relationships/hyperlink" Target="https://scryfall.com/card/znr/44/tazri-beacon-of-unity" TargetMode="External"/><Relationship Id="rId298" Type="http://schemas.openxmlformats.org/officeDocument/2006/relationships/hyperlink" Target="https://scryfall.com/card/cmr/186/jeska-thrice-reborn" TargetMode="External"/><Relationship Id="rId421" Type="http://schemas.openxmlformats.org/officeDocument/2006/relationships/hyperlink" Target="https://scryfall.com/card/ltc/35/arwen-weaver-of-hope" TargetMode="External"/><Relationship Id="rId519" Type="http://schemas.openxmlformats.org/officeDocument/2006/relationships/hyperlink" Target="https://scryfall.com/card/mat/36/nahiri-forged-in-fury" TargetMode="External"/><Relationship Id="rId158" Type="http://schemas.openxmlformats.org/officeDocument/2006/relationships/hyperlink" Target="https://scryfall.com/card/bro/226/urza-prince-of-kroog" TargetMode="External"/><Relationship Id="rId726" Type="http://schemas.openxmlformats.org/officeDocument/2006/relationships/hyperlink" Target="https://scryfall.com/card/ltr/49/elrond-lord-of-rivendell" TargetMode="External"/><Relationship Id="rId62" Type="http://schemas.openxmlformats.org/officeDocument/2006/relationships/hyperlink" Target="https://scryfall.com/card/bro/193/titania-voice-of-gaea" TargetMode="External"/><Relationship Id="rId365" Type="http://schemas.openxmlformats.org/officeDocument/2006/relationships/hyperlink" Target="https://scryfall.com/card/znr/49/charix-the-raging-isle" TargetMode="External"/><Relationship Id="rId572" Type="http://schemas.openxmlformats.org/officeDocument/2006/relationships/hyperlink" Target="https://scryfall.com/card/m21/224/radha-heart-of-keld" TargetMode="External"/><Relationship Id="rId225" Type="http://schemas.openxmlformats.org/officeDocument/2006/relationships/hyperlink" Target="https://scryfall.com/card/who/148/the-ninth-doctor" TargetMode="External"/><Relationship Id="rId432" Type="http://schemas.openxmlformats.org/officeDocument/2006/relationships/hyperlink" Target="https://scryfall.com/card/nec/4/shorikai-genesis-engine" TargetMode="External"/><Relationship Id="rId877" Type="http://schemas.openxmlformats.org/officeDocument/2006/relationships/hyperlink" Target="https://scryfall.com/card/afr/224/hama-pashar-ruin-seeker" TargetMode="External"/><Relationship Id="rId737" Type="http://schemas.openxmlformats.org/officeDocument/2006/relationships/hyperlink" Target="https://scryfall.com/card/cmr/284/kwain-itinerant-meddler" TargetMode="External"/><Relationship Id="rId73" Type="http://schemas.openxmlformats.org/officeDocument/2006/relationships/hyperlink" Target="https://scryfall.com/card/ltr/224/sauron-the-dark-lord" TargetMode="External"/><Relationship Id="rId169" Type="http://schemas.openxmlformats.org/officeDocument/2006/relationships/hyperlink" Target="https://scryfall.com/card/neo/25/light-paws-emperors-voice" TargetMode="External"/><Relationship Id="rId376" Type="http://schemas.openxmlformats.org/officeDocument/2006/relationships/hyperlink" Target="https://scryfall.com/card/ncc/3/kamiz-obscura-oculus" TargetMode="External"/><Relationship Id="rId583" Type="http://schemas.openxmlformats.org/officeDocument/2006/relationships/hyperlink" Target="https://scryfall.com/card/mid/240/sigarda-champion-of-light" TargetMode="External"/><Relationship Id="rId790" Type="http://schemas.openxmlformats.org/officeDocument/2006/relationships/hyperlink" Target="https://scryfall.com/card/dmu/210/queen-allenal-of-ruadach" TargetMode="External"/><Relationship Id="rId804" Type="http://schemas.openxmlformats.org/officeDocument/2006/relationships/hyperlink" Target="https://scryfall.com/card/ltr/217/old-man-willow" TargetMode="External"/><Relationship Id="rId4" Type="http://schemas.openxmlformats.org/officeDocument/2006/relationships/hyperlink" Target="https://scryfall.com/card/khm/114/valki-god-of-lies-tibalt-cosmic-impostor" TargetMode="External"/><Relationship Id="rId236" Type="http://schemas.openxmlformats.org/officeDocument/2006/relationships/hyperlink" Target="https://scryfall.com/card/neo/102/junji-the-midnight-sky" TargetMode="External"/><Relationship Id="rId443" Type="http://schemas.openxmlformats.org/officeDocument/2006/relationships/hyperlink" Target="https://scryfall.com/card/40k/131/magnus-the-red" TargetMode="External"/><Relationship Id="rId650" Type="http://schemas.openxmlformats.org/officeDocument/2006/relationships/hyperlink" Target="https://scryfall.com/card/khm/212/harald-king-of-skemfar" TargetMode="External"/><Relationship Id="rId888" Type="http://schemas.openxmlformats.org/officeDocument/2006/relationships/hyperlink" Target="https://scryfall.com/card/cmr/160/alena-kessig-trapper" TargetMode="External"/><Relationship Id="rId303" Type="http://schemas.openxmlformats.org/officeDocument/2006/relationships/hyperlink" Target="https://scryfall.com/card/khm/228/sarulf-realm-eater" TargetMode="External"/><Relationship Id="rId748" Type="http://schemas.openxmlformats.org/officeDocument/2006/relationships/hyperlink" Target="https://scryfall.com/card/neo/228/kotose-the-silent-spider" TargetMode="External"/><Relationship Id="rId84" Type="http://schemas.openxmlformats.org/officeDocument/2006/relationships/hyperlink" Target="https://scryfall.com/card/sld/435/zangief-the-red-cyclone" TargetMode="External"/><Relationship Id="rId387" Type="http://schemas.openxmlformats.org/officeDocument/2006/relationships/hyperlink" Target="https://scryfall.com/card/cmr/365/aesi-tyrant-of-gyre-strait" TargetMode="External"/><Relationship Id="rId510" Type="http://schemas.openxmlformats.org/officeDocument/2006/relationships/hyperlink" Target="https://scryfall.com/card/afc/53/nihiloor" TargetMode="External"/><Relationship Id="rId594" Type="http://schemas.openxmlformats.org/officeDocument/2006/relationships/hyperlink" Target="https://scryfall.com/card/cmm/709/leori-sparktouched-hunter" TargetMode="External"/><Relationship Id="rId608" Type="http://schemas.openxmlformats.org/officeDocument/2006/relationships/hyperlink" Target="https://scryfall.com/card/40k/1/szarekh-the-silent-king" TargetMode="External"/><Relationship Id="rId815" Type="http://schemas.openxmlformats.org/officeDocument/2006/relationships/hyperlink" Target="https://scryfall.com/card/dmc/37/orca-siege-demon" TargetMode="External"/><Relationship Id="rId247" Type="http://schemas.openxmlformats.org/officeDocument/2006/relationships/hyperlink" Target="https://scryfall.com/card/c21/10/esix-fractal-bloom" TargetMode="External"/><Relationship Id="rId899" Type="http://schemas.openxmlformats.org/officeDocument/2006/relationships/hyperlink" Target="https://scryfall.com/card/ltr/121/%C3%A9omer-of-the-riddermark" TargetMode="External"/><Relationship Id="rId107" Type="http://schemas.openxmlformats.org/officeDocument/2006/relationships/hyperlink" Target="https://scryfall.com/card/who/158/the-seventh-doctor" TargetMode="External"/><Relationship Id="rId454" Type="http://schemas.openxmlformats.org/officeDocument/2006/relationships/hyperlink" Target="https://scryfall.com/card/mic/3/eloise-nephalia-sleuth" TargetMode="External"/><Relationship Id="rId661" Type="http://schemas.openxmlformats.org/officeDocument/2006/relationships/hyperlink" Target="https://scryfall.com/card/dmu/196/balmor-battlemage-captain" TargetMode="External"/><Relationship Id="rId759" Type="http://schemas.openxmlformats.org/officeDocument/2006/relationships/hyperlink" Target="https://scryfall.com/card/woc/4/gylwain-casting-director" TargetMode="External"/><Relationship Id="rId11" Type="http://schemas.openxmlformats.org/officeDocument/2006/relationships/hyperlink" Target="https://scryfall.com/card/one/23/mondrak-glory-dominus" TargetMode="External"/><Relationship Id="rId314" Type="http://schemas.openxmlformats.org/officeDocument/2006/relationships/hyperlink" Target="https://scryfall.com/card/ltr/201/%C3%A9owyn-fearless-knight" TargetMode="External"/><Relationship Id="rId398" Type="http://schemas.openxmlformats.org/officeDocument/2006/relationships/hyperlink" Target="https://scryfall.com/card/vow/238/grolnok-the-omnivore" TargetMode="External"/><Relationship Id="rId521" Type="http://schemas.openxmlformats.org/officeDocument/2006/relationships/hyperlink" Target="https://scryfall.com/card/cmr/188/kediss-emberclaw-familiar" TargetMode="External"/><Relationship Id="rId619" Type="http://schemas.openxmlformats.org/officeDocument/2006/relationships/hyperlink" Target="https://scryfall.com/card/mid/1/adeline-resplendent-cathar" TargetMode="External"/><Relationship Id="rId95" Type="http://schemas.openxmlformats.org/officeDocument/2006/relationships/hyperlink" Target="https://scryfall.com/card/ltc/2/frodo-adventurous-hobbit" TargetMode="External"/><Relationship Id="rId160" Type="http://schemas.openxmlformats.org/officeDocument/2006/relationships/hyperlink" Target="https://scryfall.com/card/snc/231/ziatora-the-incinerator" TargetMode="External"/><Relationship Id="rId826" Type="http://schemas.openxmlformats.org/officeDocument/2006/relationships/hyperlink" Target="https://scryfall.com/card/clb/280/korlessa-scale-singer" TargetMode="External"/><Relationship Id="rId258" Type="http://schemas.openxmlformats.org/officeDocument/2006/relationships/hyperlink" Target="https://scryfall.com/card/afr/197/old-gnawbone" TargetMode="External"/><Relationship Id="rId465" Type="http://schemas.openxmlformats.org/officeDocument/2006/relationships/hyperlink" Target="https://scryfall.com/card/mid/233/ludevic-necrogenius-olag-ludevics-hubris" TargetMode="External"/><Relationship Id="rId672" Type="http://schemas.openxmlformats.org/officeDocument/2006/relationships/hyperlink" Target="https://scryfall.com/card/m21/45/barrin-tolarian-archmage" TargetMode="External"/><Relationship Id="rId22" Type="http://schemas.openxmlformats.org/officeDocument/2006/relationships/hyperlink" Target="https://scryfall.com/card/ltc/5/aragorn-king-of-gondor" TargetMode="External"/><Relationship Id="rId118" Type="http://schemas.openxmlformats.org/officeDocument/2006/relationships/hyperlink" Target="https://scryfall.com/card/neo/59/jin-gitaxias-progress-tyrant" TargetMode="External"/><Relationship Id="rId325" Type="http://schemas.openxmlformats.org/officeDocument/2006/relationships/hyperlink" Target="https://scryfall.com/card/cmr/204/toggo-goblin-weaponsmith" TargetMode="External"/><Relationship Id="rId532" Type="http://schemas.openxmlformats.org/officeDocument/2006/relationships/hyperlink" Target="https://scryfall.com/card/jmp/30/neyith-of-the-dire-hunt" TargetMode="External"/><Relationship Id="rId171" Type="http://schemas.openxmlformats.org/officeDocument/2006/relationships/hyperlink" Target="https://scryfall.com/card/cmr/272/blim-comedic-genius" TargetMode="External"/><Relationship Id="rId837" Type="http://schemas.openxmlformats.org/officeDocument/2006/relationships/hyperlink" Target="https://scryfall.com/card/woe/207/johann-apprentice-sorcerer" TargetMode="External"/><Relationship Id="rId269" Type="http://schemas.openxmlformats.org/officeDocument/2006/relationships/hyperlink" Target="https://scryfall.com/card/clb/294/tasha-the-witch-queen" TargetMode="External"/><Relationship Id="rId476" Type="http://schemas.openxmlformats.org/officeDocument/2006/relationships/hyperlink" Target="https://scryfall.com/card/c21/7/alibou-ancient-witness" TargetMode="External"/><Relationship Id="rId683" Type="http://schemas.openxmlformats.org/officeDocument/2006/relationships/hyperlink" Target="https://scryfall.com/card/znc/2/obuun-mul-daya-ancestor" TargetMode="External"/><Relationship Id="rId890" Type="http://schemas.openxmlformats.org/officeDocument/2006/relationships/hyperlink" Target="https://scryfall.com/card/mid/217/dennick-pious-apprentice-dennick-pious-apparition" TargetMode="External"/><Relationship Id="rId904" Type="http://schemas.openxmlformats.org/officeDocument/2006/relationships/hyperlink" Target="https://scryfall.com/card/afr/171/zalto-fire-giant-duke" TargetMode="External"/><Relationship Id="rId33" Type="http://schemas.openxmlformats.org/officeDocument/2006/relationships/hyperlink" Target="https://scryfall.com/card/khm/154/toralf-god-of-fury-toralfs-hammer" TargetMode="External"/><Relationship Id="rId129" Type="http://schemas.openxmlformats.org/officeDocument/2006/relationships/hyperlink" Target="https://scryfall.com/card/mat/39/nashi-moons-legacy" TargetMode="External"/><Relationship Id="rId336" Type="http://schemas.openxmlformats.org/officeDocument/2006/relationships/hyperlink" Target="https://scryfall.com/card/dmu/218/shanna-purifying-blade" TargetMode="External"/><Relationship Id="rId543" Type="http://schemas.openxmlformats.org/officeDocument/2006/relationships/hyperlink" Target="https://scryfall.com/card/snc/41/errant-street-artist" TargetMode="External"/><Relationship Id="rId182" Type="http://schemas.openxmlformats.org/officeDocument/2006/relationships/hyperlink" Target="https://scryfall.com/card/mom/258/zurgo-and-ojutai" TargetMode="External"/><Relationship Id="rId403" Type="http://schemas.openxmlformats.org/officeDocument/2006/relationships/hyperlink" Target="https://scryfall.com/card/vow/61/geralf-visionary-stitcher" TargetMode="External"/><Relationship Id="rId750" Type="http://schemas.openxmlformats.org/officeDocument/2006/relationships/hyperlink" Target="https://scryfall.com/card/vow/231/anje-maid-of-dishonor" TargetMode="External"/><Relationship Id="rId848" Type="http://schemas.openxmlformats.org/officeDocument/2006/relationships/hyperlink" Target="https://scryfall.com/card/bro/135/feldon-ronom-excavator" TargetMode="External"/><Relationship Id="rId487" Type="http://schemas.openxmlformats.org/officeDocument/2006/relationships/hyperlink" Target="https://scryfall.com/card/khm/230/svella-ice-shaper" TargetMode="External"/><Relationship Id="rId610" Type="http://schemas.openxmlformats.org/officeDocument/2006/relationships/hyperlink" Target="https://scryfall.com/card/mid/59/lier-disciple-of-the-drowned" TargetMode="External"/><Relationship Id="rId694" Type="http://schemas.openxmlformats.org/officeDocument/2006/relationships/hyperlink" Target="https://scryfall.com/card/ncc/80/syrix-carrier-of-the-flame" TargetMode="External"/><Relationship Id="rId708" Type="http://schemas.openxmlformats.org/officeDocument/2006/relationships/hyperlink" Target="https://scryfall.com/card/mid/223/florian-voldaren-scion" TargetMode="External"/><Relationship Id="rId915" Type="http://schemas.openxmlformats.org/officeDocument/2006/relationships/hyperlink" Target="https://scryfall.com/card/ltr/171/glorfindel-dauntless-rescuer" TargetMode="External"/><Relationship Id="rId347" Type="http://schemas.openxmlformats.org/officeDocument/2006/relationships/hyperlink" Target="https://scryfall.com/card/mom/222/drana-and-linvala" TargetMode="External"/><Relationship Id="rId44" Type="http://schemas.openxmlformats.org/officeDocument/2006/relationships/hyperlink" Target="https://scryfall.com/card/neo/234/satoru-umezawa" TargetMode="External"/><Relationship Id="rId554" Type="http://schemas.openxmlformats.org/officeDocument/2006/relationships/hyperlink" Target="https://scryfall.com/card/dmc/3/jenson-carthalion-druid-exile" TargetMode="External"/><Relationship Id="rId761" Type="http://schemas.openxmlformats.org/officeDocument/2006/relationships/hyperlink" Target="https://scryfall.com/card/afc/1/galea-kindler-of-hope" TargetMode="External"/><Relationship Id="rId859" Type="http://schemas.openxmlformats.org/officeDocument/2006/relationships/hyperlink" Target="https://scryfall.com/card/afr/209/varis-silverymoon-ranger" TargetMode="External"/><Relationship Id="rId193" Type="http://schemas.openxmlformats.org/officeDocument/2006/relationships/hyperlink" Target="https://scryfall.com/card/one/149/slobad-iron-goblin" TargetMode="External"/><Relationship Id="rId207" Type="http://schemas.openxmlformats.org/officeDocument/2006/relationships/hyperlink" Target="https://scryfall.com/card/brc/3/tawnos-solemn-survivor" TargetMode="External"/><Relationship Id="rId414" Type="http://schemas.openxmlformats.org/officeDocument/2006/relationships/hyperlink" Target="https://scryfall.com/card/afc/3/sefris-of-the-hidden-ways" TargetMode="External"/><Relationship Id="rId498" Type="http://schemas.openxmlformats.org/officeDocument/2006/relationships/hyperlink" Target="https://scryfall.com/card/onc/1/ixhel-scion-of-atraxa" TargetMode="External"/><Relationship Id="rId621" Type="http://schemas.openxmlformats.org/officeDocument/2006/relationships/hyperlink" Target="https://scryfall.com/card/ltr/10/%C3%A9owyn-lady-of-rohan" TargetMode="External"/><Relationship Id="rId260" Type="http://schemas.openxmlformats.org/officeDocument/2006/relationships/hyperlink" Target="https://scryfall.com/card/mic/2/wilhelt-the-rotcleaver" TargetMode="External"/><Relationship Id="rId719" Type="http://schemas.openxmlformats.org/officeDocument/2006/relationships/hyperlink" Target="https://scryfall.com/card/ltr/123/erkenbrand-lord-of-westfold" TargetMode="External"/><Relationship Id="rId55" Type="http://schemas.openxmlformats.org/officeDocument/2006/relationships/hyperlink" Target="https://scryfall.com/card/c21/8/osgir-the-reconstructor" TargetMode="External"/><Relationship Id="rId120" Type="http://schemas.openxmlformats.org/officeDocument/2006/relationships/hyperlink" Target="https://scryfall.com/card/brc/1/mishra-eminent-one" TargetMode="External"/><Relationship Id="rId358" Type="http://schemas.openxmlformats.org/officeDocument/2006/relationships/hyperlink" Target="https://scryfall.com/card/mom/221/djeru-and-hazoret" TargetMode="External"/><Relationship Id="rId565" Type="http://schemas.openxmlformats.org/officeDocument/2006/relationships/hyperlink" Target="https://scryfall.com/card/40k/106/belisarius-cawl" TargetMode="External"/><Relationship Id="rId772" Type="http://schemas.openxmlformats.org/officeDocument/2006/relationships/hyperlink" Target="https://scryfall.com/card/znr/234/phylath-world-sculptor" TargetMode="External"/><Relationship Id="rId218" Type="http://schemas.openxmlformats.org/officeDocument/2006/relationships/hyperlink" Target="https://scryfall.com/card/clb/268/bhaal-lord-of-murder" TargetMode="External"/><Relationship Id="rId425" Type="http://schemas.openxmlformats.org/officeDocument/2006/relationships/hyperlink" Target="https://scryfall.com/card/bot/4/blitzwing-cruel-tormentor-blitzwing-adaptive-assailant" TargetMode="External"/><Relationship Id="rId632" Type="http://schemas.openxmlformats.org/officeDocument/2006/relationships/hyperlink" Target="https://scryfall.com/card/who/107/leela-sevateem-warrior" TargetMode="External"/><Relationship Id="rId271" Type="http://schemas.openxmlformats.org/officeDocument/2006/relationships/hyperlink" Target="https://scryfall.com/card/clb/72/gale-waterdeep-prodigy" TargetMode="External"/><Relationship Id="rId66" Type="http://schemas.openxmlformats.org/officeDocument/2006/relationships/hyperlink" Target="https://scryfall.com/card/afr/235/tiamat" TargetMode="External"/><Relationship Id="rId131" Type="http://schemas.openxmlformats.org/officeDocument/2006/relationships/hyperlink" Target="https://scryfall.com/card/mid/232/liesa-forgotten-archangel" TargetMode="External"/><Relationship Id="rId369" Type="http://schemas.openxmlformats.org/officeDocument/2006/relationships/hyperlink" Target="https://scryfall.com/card/clb/77/imoen-mystic-trickster" TargetMode="External"/><Relationship Id="rId576" Type="http://schemas.openxmlformats.org/officeDocument/2006/relationships/hyperlink" Target="https://scryfall.com/card/who/28/tegan-jovanka" TargetMode="External"/><Relationship Id="rId783" Type="http://schemas.openxmlformats.org/officeDocument/2006/relationships/hyperlink" Target="https://scryfall.com/card/one/186/thrun-breaker-of-silence" TargetMode="External"/><Relationship Id="rId229" Type="http://schemas.openxmlformats.org/officeDocument/2006/relationships/hyperlink" Target="https://scryfall.com/card/mat/35/kiora-sovereign-of-the-deep" TargetMode="External"/><Relationship Id="rId436" Type="http://schemas.openxmlformats.org/officeDocument/2006/relationships/hyperlink" Target="https://scryfall.com/card/ltr/3/bill-the-pony" TargetMode="External"/><Relationship Id="rId643" Type="http://schemas.openxmlformats.org/officeDocument/2006/relationships/hyperlink" Target="https://scryfall.com/card/cmr/42/rebbec-architect-of-ascension" TargetMode="External"/><Relationship Id="rId850" Type="http://schemas.openxmlformats.org/officeDocument/2006/relationships/hyperlink" Target="https://scryfall.com/card/khm/120/arni-brokenbrow" TargetMode="External"/><Relationship Id="rId77" Type="http://schemas.openxmlformats.org/officeDocument/2006/relationships/hyperlink" Target="https://scryfall.com/card/bot/9/cyclonus-the-saboteur-cyclonus-cybertronian-fighter" TargetMode="External"/><Relationship Id="rId282" Type="http://schemas.openxmlformats.org/officeDocument/2006/relationships/hyperlink" Target="https://scryfall.com/card/woc/26/korvold-gleeful-glutton" TargetMode="External"/><Relationship Id="rId503" Type="http://schemas.openxmlformats.org/officeDocument/2006/relationships/hyperlink" Target="https://scryfall.com/card/who/22/ian-chesterton" TargetMode="External"/><Relationship Id="rId587" Type="http://schemas.openxmlformats.org/officeDocument/2006/relationships/hyperlink" Target="https://scryfall.com/card/moc/3/gimbal-gremlin-prodigy" TargetMode="External"/><Relationship Id="rId710" Type="http://schemas.openxmlformats.org/officeDocument/2006/relationships/hyperlink" Target="https://scryfall.com/card/c21/20/nils-discipline-enforcer" TargetMode="External"/><Relationship Id="rId808" Type="http://schemas.openxmlformats.org/officeDocument/2006/relationships/hyperlink" Target="https://scryfall.com/card/cmr/28/keleth-sunmane-familiar" TargetMode="External"/><Relationship Id="rId8" Type="http://schemas.openxmlformats.org/officeDocument/2006/relationships/hyperlink" Target="https://scryfall.com/card/bro/216/mishra-claimed-by-gix" TargetMode="External"/><Relationship Id="rId142" Type="http://schemas.openxmlformats.org/officeDocument/2006/relationships/hyperlink" Target="https://scryfall.com/card/who/127/the-fifth-doctor" TargetMode="External"/><Relationship Id="rId447" Type="http://schemas.openxmlformats.org/officeDocument/2006/relationships/hyperlink" Target="https://scryfall.com/card/cmr/278/hamza-guardian-of-arashin" TargetMode="External"/><Relationship Id="rId794" Type="http://schemas.openxmlformats.org/officeDocument/2006/relationships/hyperlink" Target="https://scryfall.com/card/ltr/56/ioreth-of-the-healing-house" TargetMode="External"/><Relationship Id="rId654" Type="http://schemas.openxmlformats.org/officeDocument/2006/relationships/hyperlink" Target="https://scryfall.com/card/dmc/47/torsten-founder-of-benalia" TargetMode="External"/><Relationship Id="rId861" Type="http://schemas.openxmlformats.org/officeDocument/2006/relationships/hyperlink" Target="https://scryfall.com/card/snc/204/mr-orfeo-the-boulder" TargetMode="External"/><Relationship Id="rId293" Type="http://schemas.openxmlformats.org/officeDocument/2006/relationships/hyperlink" Target="https://scryfall.com/card/ltc/66/radagast-wizard-of-wilds" TargetMode="External"/><Relationship Id="rId307" Type="http://schemas.openxmlformats.org/officeDocument/2006/relationships/hyperlink" Target="https://scryfall.com/card/one/229/graaz-unstoppable-juggernaut" TargetMode="External"/><Relationship Id="rId514" Type="http://schemas.openxmlformats.org/officeDocument/2006/relationships/hyperlink" Target="https://scryfall.com/card/mom/228/hidetsugu-and-kairi" TargetMode="External"/><Relationship Id="rId721" Type="http://schemas.openxmlformats.org/officeDocument/2006/relationships/hyperlink" Target="https://scryfall.com/card/mom/244/kogla-and-yidaro" TargetMode="External"/><Relationship Id="rId88" Type="http://schemas.openxmlformats.org/officeDocument/2006/relationships/hyperlink" Target="https://scryfall.com/card/one/195/zopandrel-hunger-dominus" TargetMode="External"/><Relationship Id="rId153" Type="http://schemas.openxmlformats.org/officeDocument/2006/relationships/hyperlink" Target="https://scryfall.com/card/onc/2/neyali-suns-vanguard" TargetMode="External"/><Relationship Id="rId360" Type="http://schemas.openxmlformats.org/officeDocument/2006/relationships/hyperlink" Target="https://scryfall.com/card/voc/2/strefan-maurer-progenitor" TargetMode="External"/><Relationship Id="rId598" Type="http://schemas.openxmlformats.org/officeDocument/2006/relationships/hyperlink" Target="https://scryfall.com/card/40k/112/commissar-severina-raine" TargetMode="External"/><Relationship Id="rId819" Type="http://schemas.openxmlformats.org/officeDocument/2006/relationships/hyperlink" Target="https://scryfall.com/card/ltr/88/gr%C3%ADma-wormtongue" TargetMode="External"/><Relationship Id="rId220" Type="http://schemas.openxmlformats.org/officeDocument/2006/relationships/hyperlink" Target="https://scryfall.com/card/mat/48/tyvar-the-bellicose" TargetMode="External"/><Relationship Id="rId458" Type="http://schemas.openxmlformats.org/officeDocument/2006/relationships/hyperlink" Target="https://scryfall.com/card/ncc/5/perrie-the-pulverizer" TargetMode="External"/><Relationship Id="rId665" Type="http://schemas.openxmlformats.org/officeDocument/2006/relationships/hyperlink" Target="https://scryfall.com/card/cmr/283/kangee-sky-warden" TargetMode="External"/><Relationship Id="rId872" Type="http://schemas.openxmlformats.org/officeDocument/2006/relationships/hyperlink" Target="https://scryfall.com/card/ltr/210/gwaihir-the-windlord" TargetMode="External"/><Relationship Id="rId15" Type="http://schemas.openxmlformats.org/officeDocument/2006/relationships/hyperlink" Target="https://scryfall.com/card/ltc/48/bilbo-birthday-celebrant" TargetMode="External"/><Relationship Id="rId318" Type="http://schemas.openxmlformats.org/officeDocument/2006/relationships/hyperlink" Target="https://scryfall.com/card/khm/50/cosima-god-of-the-voyage-the-omenkeel" TargetMode="External"/><Relationship Id="rId525" Type="http://schemas.openxmlformats.org/officeDocument/2006/relationships/hyperlink" Target="https://scryfall.com/card/bro/13/loran-disciple-of-history" TargetMode="External"/><Relationship Id="rId732" Type="http://schemas.openxmlformats.org/officeDocument/2006/relationships/hyperlink" Target="https://scryfall.com/card/woe/97/lord-skitter-sewer-king" TargetMode="External"/><Relationship Id="rId99" Type="http://schemas.openxmlformats.org/officeDocument/2006/relationships/hyperlink" Target="https://scryfall.com/card/mid/103/gisa-glorious-resurrector" TargetMode="External"/><Relationship Id="rId164" Type="http://schemas.openxmlformats.org/officeDocument/2006/relationships/hyperlink" Target="https://scryfall.com/card/ltc/60/lord-of-the-nazg%C3%BBl" TargetMode="External"/><Relationship Id="rId371" Type="http://schemas.openxmlformats.org/officeDocument/2006/relationships/hyperlink" Target="https://scryfall.com/card/jmp/15/kels-fight-fixer" TargetMode="External"/><Relationship Id="rId469" Type="http://schemas.openxmlformats.org/officeDocument/2006/relationships/hyperlink" Target="https://scryfall.com/card/stx/158/shaile-dean-of-radiance-embrose-dean-of-shadow" TargetMode="External"/><Relationship Id="rId676" Type="http://schemas.openxmlformats.org/officeDocument/2006/relationships/hyperlink" Target="https://scryfall.com/card/40k/135/neyam-shai-murad" TargetMode="External"/><Relationship Id="rId883" Type="http://schemas.openxmlformats.org/officeDocument/2006/relationships/hyperlink" Target="https://scryfall.com/card/vow/235/dorothea-vengeful-victim-dorotheas-retribution" TargetMode="External"/><Relationship Id="rId26" Type="http://schemas.openxmlformats.org/officeDocument/2006/relationships/hyperlink" Target="https://scryfall.com/card/one/10/elesh-norn-mother-of-machines" TargetMode="External"/><Relationship Id="rId231" Type="http://schemas.openxmlformats.org/officeDocument/2006/relationships/hyperlink" Target="https://scryfall.com/card/stx/148/blex-vexing-pest-search-for-blex" TargetMode="External"/><Relationship Id="rId329" Type="http://schemas.openxmlformats.org/officeDocument/2006/relationships/hyperlink" Target="https://scryfall.com/card/clb/647/faldorn-dread-wolf-herald" TargetMode="External"/><Relationship Id="rId536" Type="http://schemas.openxmlformats.org/officeDocument/2006/relationships/hyperlink" Target="https://scryfall.com/card/mom/200/polukranos-reborn-polukranos-engine-of-ruin" TargetMode="External"/><Relationship Id="rId175" Type="http://schemas.openxmlformats.org/officeDocument/2006/relationships/hyperlink" Target="https://scryfall.com/card/c21/9/adrix-and-nev-twincasters" TargetMode="External"/><Relationship Id="rId743" Type="http://schemas.openxmlformats.org/officeDocument/2006/relationships/hyperlink" Target="https://scryfall.com/card/mh2/198/general-ferrous-rokiric" TargetMode="External"/><Relationship Id="rId382" Type="http://schemas.openxmlformats.org/officeDocument/2006/relationships/hyperlink" Target="https://scryfall.com/card/afc/4/vrondiss-rage-of-ancients" TargetMode="External"/><Relationship Id="rId603" Type="http://schemas.openxmlformats.org/officeDocument/2006/relationships/hyperlink" Target="https://scryfall.com/card/ltc/40/legolas-greenleaf" TargetMode="External"/><Relationship Id="rId687" Type="http://schemas.openxmlformats.org/officeDocument/2006/relationships/hyperlink" Target="https://scryfall.com/card/cmr/291/thalisse-reverent-medium" TargetMode="External"/><Relationship Id="rId810" Type="http://schemas.openxmlformats.org/officeDocument/2006/relationships/hyperlink" Target="https://scryfall.com/card/moc/10/shalai-and-hallar" TargetMode="External"/><Relationship Id="rId908" Type="http://schemas.openxmlformats.org/officeDocument/2006/relationships/hyperlink" Target="https://scryfall.com/card/ltr/197/butterbur-bree-innkeeper" TargetMode="External"/><Relationship Id="rId242" Type="http://schemas.openxmlformats.org/officeDocument/2006/relationships/hyperlink" Target="https://scryfall.com/card/dmu/226/vohar-vodalian-desecrator" TargetMode="External"/><Relationship Id="rId894" Type="http://schemas.openxmlformats.org/officeDocument/2006/relationships/hyperlink" Target="https://scryfall.com/card/clb/230/erinis-gloom-stalker" TargetMode="External"/><Relationship Id="rId37" Type="http://schemas.openxmlformats.org/officeDocument/2006/relationships/hyperlink" Target="https://scryfall.com/card/sld/431/blanka-ferocious-friend" TargetMode="External"/><Relationship Id="rId102" Type="http://schemas.openxmlformats.org/officeDocument/2006/relationships/hyperlink" Target="https://scryfall.com/card/cmr/268/archelos-lagoon-mystic" TargetMode="External"/><Relationship Id="rId547" Type="http://schemas.openxmlformats.org/officeDocument/2006/relationships/hyperlink" Target="https://scryfall.com/card/nec/31/myojin-of-blooming-dawn" TargetMode="External"/><Relationship Id="rId754" Type="http://schemas.openxmlformats.org/officeDocument/2006/relationships/hyperlink" Target="https://scryfall.com/card/one/219/venser-corpse-puppet" TargetMode="External"/><Relationship Id="rId90" Type="http://schemas.openxmlformats.org/officeDocument/2006/relationships/hyperlink" Target="https://scryfall.com/card/one/71/tekuthal-inquiry-dominus" TargetMode="External"/><Relationship Id="rId186" Type="http://schemas.openxmlformats.org/officeDocument/2006/relationships/hyperlink" Target="https://scryfall.com/card/one/75/unctus-grand-metatect" TargetMode="External"/><Relationship Id="rId393" Type="http://schemas.openxmlformats.org/officeDocument/2006/relationships/hyperlink" Target="https://scryfall.com/card/clb/32/lulu-loyal-hollyphant" TargetMode="External"/><Relationship Id="rId407" Type="http://schemas.openxmlformats.org/officeDocument/2006/relationships/hyperlink" Target="https://scryfall.com/card/dmu/200/garna-bloodfist-of-keld" TargetMode="External"/><Relationship Id="rId614" Type="http://schemas.openxmlformats.org/officeDocument/2006/relationships/hyperlink" Target="https://scryfall.com/card/ltc/49/boromir-gondors-hope" TargetMode="External"/><Relationship Id="rId821" Type="http://schemas.openxmlformats.org/officeDocument/2006/relationships/hyperlink" Target="https://scryfall.com/card/woe/201/ash-party-crasher" TargetMode="External"/><Relationship Id="rId253" Type="http://schemas.openxmlformats.org/officeDocument/2006/relationships/hyperlink" Target="https://scryfall.com/card/khm/123/birgi-god-of-storytelling-harnfel-horn-of-bounty" TargetMode="External"/><Relationship Id="rId460" Type="http://schemas.openxmlformats.org/officeDocument/2006/relationships/hyperlink" Target="https://scryfall.com/card/stx/250/zimone-quandrix-prodigy" TargetMode="External"/><Relationship Id="rId698" Type="http://schemas.openxmlformats.org/officeDocument/2006/relationships/hyperlink" Target="https://scryfall.com/card/ltr/67/saruman-the-white" TargetMode="External"/><Relationship Id="rId919" Type="http://schemas.openxmlformats.org/officeDocument/2006/relationships/hyperlink" Target="https://scryfall.com/card/dmu/197/bortuk-bonerat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86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ColWidth="12.5703125" defaultRowHeight="15.75" customHeight="1"/>
  <cols>
    <col min="1" max="1" width="29.42578125" customWidth="1"/>
    <col min="3" max="3" width="15.42578125" customWidth="1"/>
    <col min="4" max="4" width="15.5703125" customWidth="1"/>
    <col min="5" max="5" width="14.28515625" customWidth="1"/>
    <col min="6" max="6" width="15.42578125" customWidth="1"/>
    <col min="7" max="7" width="36.85546875" customWidth="1"/>
  </cols>
  <sheetData>
    <row r="1" spans="1:26" ht="3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934</v>
      </c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tr">
        <f>HYPERLINK("https://scryfall.com/card/dom/199/muldrotha-the-gravetide","Muldrotha, the Gravetide")</f>
        <v>Muldrotha, the Gravetide</v>
      </c>
      <c r="B2" s="5">
        <v>12</v>
      </c>
      <c r="C2" s="6">
        <v>8</v>
      </c>
      <c r="D2" s="6">
        <v>10</v>
      </c>
      <c r="E2" s="6">
        <v>10</v>
      </c>
      <c r="F2" s="6">
        <v>28</v>
      </c>
      <c r="G2" s="6">
        <v>1</v>
      </c>
      <c r="H2" s="7"/>
    </row>
    <row r="3" spans="1:26">
      <c r="A3" s="4" t="str">
        <f>HYPERLINK("https://scryfall.com/card/bbd/62/najeela-the-blade-blossom","Najeela, the Blade-Blossom")</f>
        <v>Najeela, the Blade-Blossom</v>
      </c>
      <c r="B3" s="5">
        <v>24</v>
      </c>
      <c r="C3" s="6">
        <v>9</v>
      </c>
      <c r="D3" s="6">
        <v>10</v>
      </c>
      <c r="E3" s="6">
        <v>9</v>
      </c>
      <c r="F3" s="6">
        <v>28</v>
      </c>
      <c r="G3" s="6">
        <v>2</v>
      </c>
      <c r="H3" s="7"/>
    </row>
    <row r="4" spans="1:26">
      <c r="A4" s="4" t="str">
        <f>HYPERLINK("https://scryfall.com/card/soi/245/the-gitrog-monster","The Gitrog Monster")</f>
        <v>The Gitrog Monster</v>
      </c>
      <c r="B4" s="5">
        <v>2</v>
      </c>
      <c r="C4" s="6">
        <v>9</v>
      </c>
      <c r="D4" s="6">
        <v>9</v>
      </c>
      <c r="E4" s="6">
        <v>9</v>
      </c>
      <c r="F4" s="6">
        <v>27</v>
      </c>
      <c r="G4" s="6">
        <v>3</v>
      </c>
      <c r="H4" s="7"/>
    </row>
    <row r="5" spans="1:26">
      <c r="A5" s="4" t="str">
        <f>HYPERLINK("https://scryfall.com/card/mh1/116/yawgmoth-thran-physician","Yawgmoth, Thran Physician")</f>
        <v>Yawgmoth, Thran Physician</v>
      </c>
      <c r="B5" s="5">
        <v>6</v>
      </c>
      <c r="C5" s="6">
        <v>8</v>
      </c>
      <c r="D5" s="6">
        <v>9</v>
      </c>
      <c r="E5" s="6">
        <v>10</v>
      </c>
      <c r="F5" s="6">
        <v>27</v>
      </c>
      <c r="G5" s="6">
        <v>4</v>
      </c>
      <c r="H5" s="7"/>
    </row>
    <row r="6" spans="1:26">
      <c r="A6" s="4" t="str">
        <f>HYPERLINK("https://scryfall.com/card/iko/380/nethroi-apex-of-death","Nethroi, Apex of Death")</f>
        <v>Nethroi, Apex of Death</v>
      </c>
      <c r="B6" s="5">
        <v>18</v>
      </c>
      <c r="C6" s="6">
        <v>7</v>
      </c>
      <c r="D6" s="6">
        <v>10</v>
      </c>
      <c r="E6" s="6">
        <v>10</v>
      </c>
      <c r="F6" s="6">
        <v>27</v>
      </c>
      <c r="G6" s="6">
        <v>5</v>
      </c>
      <c r="H6" s="7"/>
    </row>
    <row r="7" spans="1:26">
      <c r="A7" s="4" t="str">
        <f>HYPERLINK("https://scryfall.com/card/c16/29/breya-etherium-shaper","Breya, Etherium Shaper")</f>
        <v>Breya, Etherium Shaper</v>
      </c>
      <c r="B7" s="5">
        <v>22</v>
      </c>
      <c r="C7" s="6">
        <v>9</v>
      </c>
      <c r="D7" s="6">
        <v>9</v>
      </c>
      <c r="E7" s="6">
        <v>9</v>
      </c>
      <c r="F7" s="6">
        <v>27</v>
      </c>
      <c r="G7" s="6">
        <v>6</v>
      </c>
      <c r="H7" s="7"/>
    </row>
    <row r="8" spans="1:26" ht="18.75" customHeight="1">
      <c r="A8" s="4" t="str">
        <f>HYPERLINK("https://scryfall.com/card/c16/49/vial-smasher-the-fierce","Vial Smasher the Fierce")</f>
        <v>Vial Smasher the Fierce</v>
      </c>
      <c r="B8" s="5">
        <v>137</v>
      </c>
      <c r="C8" s="6">
        <v>10</v>
      </c>
      <c r="D8" s="6">
        <v>10</v>
      </c>
      <c r="E8" s="6">
        <v>7</v>
      </c>
      <c r="F8" s="6">
        <v>27</v>
      </c>
      <c r="G8" s="6">
        <v>7</v>
      </c>
      <c r="H8" s="7"/>
    </row>
    <row r="9" spans="1:26" ht="18.75" customHeight="1">
      <c r="A9" s="4" t="s">
        <v>6</v>
      </c>
      <c r="B9" s="5">
        <v>1</v>
      </c>
      <c r="C9" s="6">
        <v>10</v>
      </c>
      <c r="D9" s="6">
        <v>6</v>
      </c>
      <c r="E9" s="6">
        <v>10</v>
      </c>
      <c r="F9" s="6">
        <v>26</v>
      </c>
      <c r="G9" s="6">
        <v>8</v>
      </c>
      <c r="H9" s="7"/>
    </row>
    <row r="10" spans="1:26" ht="18.75" customHeight="1">
      <c r="A10" s="4" t="s">
        <v>7</v>
      </c>
      <c r="B10" s="5">
        <v>3</v>
      </c>
      <c r="C10" s="6">
        <v>7</v>
      </c>
      <c r="D10" s="6">
        <v>10</v>
      </c>
      <c r="E10" s="6">
        <v>9</v>
      </c>
      <c r="F10" s="6">
        <v>26</v>
      </c>
      <c r="G10" s="6">
        <v>9</v>
      </c>
      <c r="H10" s="7"/>
    </row>
    <row r="11" spans="1:26" ht="18.75" customHeight="1">
      <c r="A11" s="4" t="s">
        <v>8</v>
      </c>
      <c r="B11" s="5">
        <v>4</v>
      </c>
      <c r="C11" s="6">
        <v>7</v>
      </c>
      <c r="D11" s="6">
        <v>9</v>
      </c>
      <c r="E11" s="6">
        <v>10</v>
      </c>
      <c r="F11" s="6">
        <v>26</v>
      </c>
      <c r="G11" s="6">
        <v>10</v>
      </c>
      <c r="H11" s="7"/>
    </row>
    <row r="12" spans="1:26">
      <c r="A12" s="4" t="str">
        <f>HYPERLINK("https://scryfall.com/card/hou/145/the-scarab-god","The Scarab God")</f>
        <v>The Scarab God</v>
      </c>
      <c r="B12" s="5">
        <v>7</v>
      </c>
      <c r="C12" s="6">
        <v>7</v>
      </c>
      <c r="D12" s="6">
        <v>10</v>
      </c>
      <c r="E12" s="6">
        <v>9</v>
      </c>
      <c r="F12" s="6">
        <v>26</v>
      </c>
      <c r="G12" s="6">
        <v>11</v>
      </c>
      <c r="H12" s="7"/>
    </row>
    <row r="13" spans="1:26">
      <c r="A13" s="4" t="str">
        <f>HYPERLINK("https://scryfall.com/card/c17/177/marchesa-the-black-rose","Marchesa, the Black Rose")</f>
        <v>Marchesa, the Black Rose</v>
      </c>
      <c r="B13" s="5">
        <v>13</v>
      </c>
      <c r="C13" s="6">
        <v>7</v>
      </c>
      <c r="D13" s="6">
        <v>10</v>
      </c>
      <c r="E13" s="6">
        <v>9</v>
      </c>
      <c r="F13" s="6">
        <v>26</v>
      </c>
      <c r="G13" s="6">
        <v>12</v>
      </c>
      <c r="H13" s="7"/>
    </row>
    <row r="14" spans="1:26">
      <c r="A14" s="4" t="str">
        <f>HYPERLINK("https://scryfall.com/card/cm2/10/atraxa-praetors-voice","Atraxa, Praetors' Voice")</f>
        <v>Atraxa, Praetors' Voice</v>
      </c>
      <c r="B14" s="5">
        <v>14</v>
      </c>
      <c r="C14" s="6">
        <v>7</v>
      </c>
      <c r="D14" s="6">
        <v>9</v>
      </c>
      <c r="E14" s="6">
        <v>10</v>
      </c>
      <c r="F14" s="6">
        <v>26</v>
      </c>
      <c r="G14" s="6">
        <v>13</v>
      </c>
      <c r="H14" s="7"/>
    </row>
    <row r="15" spans="1:26">
      <c r="A15" s="4" t="str">
        <f>HYPERLINK("https://scryfall.com/card/c18/37/aminatou-the-fateshifter","Aminatou, the Fateshifter")</f>
        <v>Aminatou, the Fateshifter</v>
      </c>
      <c r="B15" s="5">
        <v>15</v>
      </c>
      <c r="C15" s="6">
        <v>6</v>
      </c>
      <c r="D15" s="6">
        <v>10</v>
      </c>
      <c r="E15" s="6">
        <v>10</v>
      </c>
      <c r="F15" s="6">
        <v>26</v>
      </c>
      <c r="G15" s="6">
        <v>14</v>
      </c>
      <c r="H15" s="7"/>
    </row>
    <row r="16" spans="1:26">
      <c r="A16" s="4" t="str">
        <f>HYPERLINK("https://scryfall.com/card/jou/152/kruphix-god-of-horizons","Kruphix, God of Horizons")</f>
        <v>Kruphix, God of Horizons</v>
      </c>
      <c r="B16" s="5">
        <v>17</v>
      </c>
      <c r="C16" s="6">
        <v>6</v>
      </c>
      <c r="D16" s="6">
        <v>10</v>
      </c>
      <c r="E16" s="6">
        <v>10</v>
      </c>
      <c r="F16" s="6">
        <v>26</v>
      </c>
      <c r="G16" s="6">
        <v>15</v>
      </c>
      <c r="H16" s="7"/>
    </row>
    <row r="17" spans="1:8">
      <c r="A17" s="4" t="s">
        <v>24</v>
      </c>
      <c r="B17" s="5">
        <v>35</v>
      </c>
      <c r="C17" s="6">
        <v>7</v>
      </c>
      <c r="D17" s="6">
        <v>10</v>
      </c>
      <c r="E17" s="6">
        <v>9</v>
      </c>
      <c r="F17" s="6">
        <v>26</v>
      </c>
      <c r="G17" s="6">
        <v>16</v>
      </c>
      <c r="H17" s="7"/>
    </row>
    <row r="18" spans="1:8">
      <c r="A18" s="4" t="s">
        <v>33</v>
      </c>
      <c r="B18" s="5">
        <v>52</v>
      </c>
      <c r="C18" s="6">
        <v>7</v>
      </c>
      <c r="D18" s="6">
        <v>10</v>
      </c>
      <c r="E18" s="6">
        <v>9</v>
      </c>
      <c r="F18" s="6">
        <v>26</v>
      </c>
      <c r="G18" s="6">
        <v>17</v>
      </c>
      <c r="H18" s="7"/>
    </row>
    <row r="19" spans="1:8">
      <c r="A19" s="4" t="str">
        <f>HYPERLINK("https://scryfall.com/card/a25/196/animar-soul-of-elements","Animar, Soul of Elements")</f>
        <v>Animar, Soul of Elements</v>
      </c>
      <c r="B19" s="5">
        <v>54</v>
      </c>
      <c r="C19" s="6">
        <v>9</v>
      </c>
      <c r="D19" s="6">
        <v>8</v>
      </c>
      <c r="E19" s="6">
        <v>9</v>
      </c>
      <c r="F19" s="6">
        <v>26</v>
      </c>
      <c r="G19" s="6">
        <v>18</v>
      </c>
      <c r="H19" s="7"/>
    </row>
    <row r="20" spans="1:8" ht="17.25" customHeight="1">
      <c r="A20" s="4" t="str">
        <f>HYPERLINK("https://scryfall.com/card/a25/214/prossh-skyraider-of-kher","Prossh, Skyraider of Kher")</f>
        <v>Prossh, Skyraider of Kher</v>
      </c>
      <c r="B20" s="5">
        <v>80</v>
      </c>
      <c r="C20" s="6">
        <v>9</v>
      </c>
      <c r="D20" s="6">
        <v>8</v>
      </c>
      <c r="E20" s="6">
        <v>9</v>
      </c>
      <c r="F20" s="6">
        <v>26</v>
      </c>
      <c r="G20" s="6">
        <v>19</v>
      </c>
      <c r="H20" s="7"/>
    </row>
    <row r="21" spans="1:8" ht="17.25" customHeight="1">
      <c r="A21" s="4" t="str">
        <f>HYPERLINK("https://scryfall.com/card/eld/326/chulane-teller-of-tales","Chulane, Teller of Tales")</f>
        <v>Chulane, Teller of Tales</v>
      </c>
      <c r="B21" s="5">
        <v>89</v>
      </c>
      <c r="C21" s="6">
        <v>10</v>
      </c>
      <c r="D21" s="6">
        <v>6</v>
      </c>
      <c r="E21" s="6">
        <v>10</v>
      </c>
      <c r="F21" s="6">
        <v>26</v>
      </c>
      <c r="G21" s="6">
        <v>20</v>
      </c>
      <c r="H21" s="7"/>
    </row>
    <row r="22" spans="1:8" ht="17.25" customHeight="1">
      <c r="A22" s="4" t="s">
        <v>56</v>
      </c>
      <c r="B22" s="5">
        <v>90</v>
      </c>
      <c r="C22" s="6">
        <v>7</v>
      </c>
      <c r="D22" s="6">
        <v>10</v>
      </c>
      <c r="E22" s="6">
        <v>9</v>
      </c>
      <c r="F22" s="6">
        <v>26</v>
      </c>
      <c r="G22" s="6">
        <v>21</v>
      </c>
      <c r="H22" s="7"/>
    </row>
    <row r="23" spans="1:8">
      <c r="A23" s="4" t="str">
        <f>HYPERLINK("https://scryfall.com/card/cma/186/meren-of-clan-nel-toth","Meren of Clan Nel Toth")</f>
        <v>Meren of Clan Nel Toth</v>
      </c>
      <c r="B23" s="5">
        <v>124</v>
      </c>
      <c r="C23" s="6">
        <v>8</v>
      </c>
      <c r="D23" s="6">
        <v>9</v>
      </c>
      <c r="E23" s="6">
        <v>9</v>
      </c>
      <c r="F23" s="6">
        <v>26</v>
      </c>
      <c r="G23" s="6">
        <v>22</v>
      </c>
      <c r="H23" s="7"/>
    </row>
    <row r="24" spans="1:8">
      <c r="A24" s="4" t="str">
        <f>HYPERLINK("https://scryfall.com/card/c16/48/tymna-the-weaver","Tymna the Weaver")</f>
        <v>Tymna the Weaver</v>
      </c>
      <c r="B24" s="5">
        <v>131</v>
      </c>
      <c r="C24" s="6">
        <v>10</v>
      </c>
      <c r="D24" s="6">
        <v>8</v>
      </c>
      <c r="E24" s="6">
        <v>8</v>
      </c>
      <c r="F24" s="6">
        <v>26</v>
      </c>
      <c r="G24" s="6">
        <v>23</v>
      </c>
      <c r="H24" s="7"/>
    </row>
    <row r="25" spans="1:8">
      <c r="A25" s="4" t="str">
        <f>HYPERLINK("https://scryfall.com/card/cn2/70/selvala-heart-of-the-wilds","Selvala, Heart of the Wilds")</f>
        <v>Selvala, Heart of the Wilds</v>
      </c>
      <c r="B25" s="5">
        <v>168</v>
      </c>
      <c r="C25" s="6">
        <v>9</v>
      </c>
      <c r="D25" s="6">
        <v>9</v>
      </c>
      <c r="E25" s="6">
        <v>8</v>
      </c>
      <c r="F25" s="6">
        <v>26</v>
      </c>
      <c r="G25" s="6">
        <v>24</v>
      </c>
      <c r="H25" s="7"/>
    </row>
    <row r="26" spans="1:8">
      <c r="A26" s="4" t="str">
        <f>HYPERLINK("https://scryfall.com/card/iko/226/lurrus-of-the-dream-den","Lurrus of the Dream-Den")</f>
        <v>Lurrus of the Dream-Den</v>
      </c>
      <c r="B26" s="5">
        <v>172</v>
      </c>
      <c r="C26" s="6">
        <v>8</v>
      </c>
      <c r="D26" s="6">
        <v>9</v>
      </c>
      <c r="E26" s="6">
        <v>9</v>
      </c>
      <c r="F26" s="6">
        <v>26</v>
      </c>
      <c r="G26" s="6">
        <v>25</v>
      </c>
      <c r="H26" s="7"/>
    </row>
    <row r="27" spans="1:8">
      <c r="A27" s="4" t="str">
        <f>HYPERLINK("https://scryfall.com/card/eld/43/emry-lurker-of-the-loch","Emry, Lurker of the Loch")</f>
        <v>Emry, Lurker of the Loch</v>
      </c>
      <c r="B27" s="5">
        <v>258</v>
      </c>
      <c r="C27" s="6">
        <v>9</v>
      </c>
      <c r="D27" s="6">
        <v>7</v>
      </c>
      <c r="E27" s="6">
        <v>10</v>
      </c>
      <c r="F27" s="6">
        <v>26</v>
      </c>
      <c r="G27" s="6">
        <v>26</v>
      </c>
      <c r="H27" s="7"/>
    </row>
    <row r="28" spans="1:8">
      <c r="A28" s="4" t="str">
        <f>HYPERLINK("https://scryfall.com/card/iko/232/yorion-sky-nomad","Yorion, Sky Nomad")</f>
        <v>Yorion, Sky Nomad</v>
      </c>
      <c r="B28" s="5">
        <v>267</v>
      </c>
      <c r="C28" s="6">
        <v>6</v>
      </c>
      <c r="D28" s="6">
        <v>10</v>
      </c>
      <c r="E28" s="6">
        <v>10</v>
      </c>
      <c r="F28" s="6">
        <v>26</v>
      </c>
      <c r="G28" s="6">
        <v>27</v>
      </c>
      <c r="H28" s="7"/>
    </row>
    <row r="29" spans="1:8">
      <c r="A29" s="4" t="s">
        <v>167</v>
      </c>
      <c r="B29" s="5">
        <v>293</v>
      </c>
      <c r="C29" s="6">
        <v>8</v>
      </c>
      <c r="D29" s="6">
        <v>9</v>
      </c>
      <c r="E29" s="6">
        <v>9</v>
      </c>
      <c r="F29" s="6">
        <v>26</v>
      </c>
      <c r="G29" s="6">
        <v>28</v>
      </c>
      <c r="H29" s="7"/>
    </row>
    <row r="30" spans="1:8">
      <c r="A30" s="4" t="s">
        <v>183</v>
      </c>
      <c r="B30" s="5">
        <v>326</v>
      </c>
      <c r="C30" s="6">
        <v>7</v>
      </c>
      <c r="D30" s="6">
        <v>9</v>
      </c>
      <c r="E30" s="6">
        <v>10</v>
      </c>
      <c r="F30" s="6">
        <v>26</v>
      </c>
      <c r="G30" s="6">
        <v>29</v>
      </c>
      <c r="H30" s="7"/>
    </row>
    <row r="31" spans="1:8">
      <c r="A31" s="4" t="s">
        <v>9</v>
      </c>
      <c r="B31" s="5">
        <v>5</v>
      </c>
      <c r="C31" s="6">
        <v>7</v>
      </c>
      <c r="D31" s="6">
        <v>8</v>
      </c>
      <c r="E31" s="6">
        <v>10</v>
      </c>
      <c r="F31" s="6">
        <v>25</v>
      </c>
      <c r="G31" s="6">
        <v>30</v>
      </c>
      <c r="H31" s="7"/>
    </row>
    <row r="32" spans="1:8">
      <c r="A32" s="10" t="s">
        <v>19</v>
      </c>
      <c r="B32" s="5">
        <v>27</v>
      </c>
      <c r="C32" s="11">
        <v>7</v>
      </c>
      <c r="D32" s="11">
        <v>8</v>
      </c>
      <c r="E32" s="11">
        <v>10</v>
      </c>
      <c r="F32" s="11">
        <v>25</v>
      </c>
      <c r="G32" s="6">
        <v>31</v>
      </c>
      <c r="H32" s="7"/>
    </row>
    <row r="33" spans="1:8">
      <c r="A33" s="4" t="s">
        <v>21</v>
      </c>
      <c r="B33" s="5">
        <v>29</v>
      </c>
      <c r="C33" s="6">
        <v>7</v>
      </c>
      <c r="D33" s="6">
        <v>8</v>
      </c>
      <c r="E33" s="6">
        <v>10</v>
      </c>
      <c r="F33" s="6">
        <v>25</v>
      </c>
      <c r="G33" s="6">
        <v>32</v>
      </c>
      <c r="H33" s="7"/>
    </row>
    <row r="34" spans="1:8">
      <c r="A34" s="4" t="str">
        <f>HYPERLINK("https://scryfall.com/card/c19/41/gerrard-weatherlight-hero","Gerrard, Weatherlight Hero")</f>
        <v>Gerrard, Weatherlight Hero</v>
      </c>
      <c r="B34" s="5">
        <v>40</v>
      </c>
      <c r="C34" s="6">
        <v>7</v>
      </c>
      <c r="D34" s="6">
        <v>8</v>
      </c>
      <c r="E34" s="6">
        <v>10</v>
      </c>
      <c r="F34" s="6">
        <v>25</v>
      </c>
      <c r="G34" s="6">
        <v>33</v>
      </c>
      <c r="H34" s="7"/>
    </row>
    <row r="35" spans="1:8">
      <c r="A35" s="4" t="s">
        <v>32</v>
      </c>
      <c r="B35" s="5">
        <v>51</v>
      </c>
      <c r="C35" s="6">
        <v>6</v>
      </c>
      <c r="D35" s="6">
        <v>9</v>
      </c>
      <c r="E35" s="6">
        <v>10</v>
      </c>
      <c r="F35" s="6">
        <v>25</v>
      </c>
      <c r="G35" s="6">
        <v>34</v>
      </c>
      <c r="H35" s="7"/>
    </row>
    <row r="36" spans="1:8">
      <c r="A36" s="4" t="s">
        <v>38</v>
      </c>
      <c r="B36" s="5">
        <v>62</v>
      </c>
      <c r="C36" s="6">
        <v>7</v>
      </c>
      <c r="D36" s="6">
        <v>8</v>
      </c>
      <c r="E36" s="6">
        <v>10</v>
      </c>
      <c r="F36" s="6">
        <v>25</v>
      </c>
      <c r="G36" s="6">
        <v>35</v>
      </c>
      <c r="H36" s="7"/>
    </row>
    <row r="37" spans="1:8">
      <c r="A37" s="4" t="s">
        <v>40</v>
      </c>
      <c r="B37" s="5">
        <v>64</v>
      </c>
      <c r="C37" s="6">
        <v>8</v>
      </c>
      <c r="D37" s="6">
        <v>7</v>
      </c>
      <c r="E37" s="6">
        <v>10</v>
      </c>
      <c r="F37" s="6">
        <v>25</v>
      </c>
      <c r="G37" s="6">
        <v>36</v>
      </c>
      <c r="H37" s="7"/>
    </row>
    <row r="38" spans="1:8">
      <c r="A38" s="4" t="s">
        <v>41</v>
      </c>
      <c r="B38" s="5">
        <v>65</v>
      </c>
      <c r="C38" s="6">
        <v>6</v>
      </c>
      <c r="D38" s="6">
        <v>10</v>
      </c>
      <c r="E38" s="6">
        <v>9</v>
      </c>
      <c r="F38" s="6">
        <v>25</v>
      </c>
      <c r="G38" s="6">
        <v>37</v>
      </c>
      <c r="H38" s="7"/>
    </row>
    <row r="39" spans="1:8">
      <c r="A39" s="4" t="s">
        <v>45</v>
      </c>
      <c r="B39" s="5">
        <v>70</v>
      </c>
      <c r="C39" s="6">
        <v>10</v>
      </c>
      <c r="D39" s="6">
        <v>6</v>
      </c>
      <c r="E39" s="6">
        <v>9</v>
      </c>
      <c r="F39" s="6">
        <v>25</v>
      </c>
      <c r="G39" s="6">
        <v>38</v>
      </c>
      <c r="H39" s="7"/>
    </row>
    <row r="40" spans="1:8">
      <c r="A40" s="4" t="s">
        <v>50</v>
      </c>
      <c r="B40" s="5">
        <v>77</v>
      </c>
      <c r="C40" s="6">
        <v>5</v>
      </c>
      <c r="D40" s="6">
        <v>10</v>
      </c>
      <c r="E40" s="6">
        <v>10</v>
      </c>
      <c r="F40" s="6">
        <v>25</v>
      </c>
      <c r="G40" s="6">
        <v>39</v>
      </c>
      <c r="H40" s="7"/>
    </row>
    <row r="41" spans="1:8">
      <c r="A41" s="4" t="s">
        <v>52</v>
      </c>
      <c r="B41" s="5">
        <v>79</v>
      </c>
      <c r="C41" s="6">
        <v>6</v>
      </c>
      <c r="D41" s="6">
        <v>10</v>
      </c>
      <c r="E41" s="6">
        <v>9</v>
      </c>
      <c r="F41" s="6">
        <v>25</v>
      </c>
      <c r="G41" s="6">
        <v>40</v>
      </c>
      <c r="H41" s="7"/>
    </row>
    <row r="42" spans="1:8">
      <c r="A42" s="4" t="s">
        <v>58</v>
      </c>
      <c r="B42" s="5">
        <v>93</v>
      </c>
      <c r="C42" s="6">
        <v>5</v>
      </c>
      <c r="D42" s="6">
        <v>10</v>
      </c>
      <c r="E42" s="6">
        <v>10</v>
      </c>
      <c r="F42" s="6">
        <v>25</v>
      </c>
      <c r="G42" s="6">
        <v>41</v>
      </c>
      <c r="H42" s="7"/>
    </row>
    <row r="43" spans="1:8">
      <c r="A43" s="4" t="s">
        <v>68</v>
      </c>
      <c r="B43" s="5">
        <v>110</v>
      </c>
      <c r="C43" s="6">
        <v>9</v>
      </c>
      <c r="D43" s="6">
        <v>6</v>
      </c>
      <c r="E43" s="6">
        <v>10</v>
      </c>
      <c r="F43" s="6">
        <v>25</v>
      </c>
      <c r="G43" s="6">
        <v>42</v>
      </c>
      <c r="H43" s="7"/>
    </row>
    <row r="44" spans="1:8">
      <c r="A44" s="4" t="s">
        <v>86</v>
      </c>
      <c r="B44" s="5">
        <v>148</v>
      </c>
      <c r="C44" s="6">
        <v>5</v>
      </c>
      <c r="D44" s="6">
        <v>10</v>
      </c>
      <c r="E44" s="6">
        <v>10</v>
      </c>
      <c r="F44" s="6">
        <v>25</v>
      </c>
      <c r="G44" s="6">
        <v>43</v>
      </c>
      <c r="H44" s="7"/>
    </row>
    <row r="45" spans="1:8">
      <c r="A45" s="4" t="s">
        <v>88</v>
      </c>
      <c r="B45" s="5">
        <v>150</v>
      </c>
      <c r="C45" s="6">
        <v>6</v>
      </c>
      <c r="D45" s="6">
        <v>10</v>
      </c>
      <c r="E45" s="6">
        <v>9</v>
      </c>
      <c r="F45" s="6">
        <v>25</v>
      </c>
      <c r="G45" s="6">
        <v>44</v>
      </c>
      <c r="H45" s="7"/>
    </row>
    <row r="46" spans="1:8">
      <c r="A46" s="4" t="s">
        <v>91</v>
      </c>
      <c r="B46" s="5">
        <v>154</v>
      </c>
      <c r="C46" s="6">
        <v>7</v>
      </c>
      <c r="D46" s="6">
        <v>9</v>
      </c>
      <c r="E46" s="6">
        <v>9</v>
      </c>
      <c r="F46" s="6">
        <v>25</v>
      </c>
      <c r="G46" s="6">
        <v>45</v>
      </c>
      <c r="H46" s="7"/>
    </row>
    <row r="47" spans="1:8">
      <c r="A47" s="4" t="str">
        <f>HYPERLINK("https://scryfall.com/card/uma/117/tasigur-the-golden-fang","Tasigur, the Golden Fang")</f>
        <v>Tasigur, the Golden Fang</v>
      </c>
      <c r="B47" s="5">
        <v>162</v>
      </c>
      <c r="C47" s="6">
        <v>10</v>
      </c>
      <c r="D47" s="6">
        <v>8</v>
      </c>
      <c r="E47" s="6">
        <v>7</v>
      </c>
      <c r="F47" s="6">
        <v>25</v>
      </c>
      <c r="G47" s="6">
        <v>46</v>
      </c>
      <c r="H47" s="7"/>
    </row>
    <row r="48" spans="1:8">
      <c r="A48" s="4" t="str">
        <f>HYPERLINK("https://scryfall.com/card/m20/220/yarok-the-desecrated","Yarok, the Desecrated")</f>
        <v>Yarok, the Desecrated</v>
      </c>
      <c r="B48" s="5">
        <v>167</v>
      </c>
      <c r="C48" s="6">
        <v>7</v>
      </c>
      <c r="D48" s="6">
        <v>9</v>
      </c>
      <c r="E48" s="6">
        <v>9</v>
      </c>
      <c r="F48" s="6">
        <v>25</v>
      </c>
      <c r="G48" s="6">
        <v>47</v>
      </c>
      <c r="H48" s="7"/>
    </row>
    <row r="49" spans="1:8">
      <c r="A49" s="4" t="s">
        <v>102</v>
      </c>
      <c r="B49" s="5">
        <v>170</v>
      </c>
      <c r="C49" s="6">
        <v>7</v>
      </c>
      <c r="D49" s="6">
        <v>9</v>
      </c>
      <c r="E49" s="6">
        <v>9</v>
      </c>
      <c r="F49" s="6">
        <v>25</v>
      </c>
      <c r="G49" s="6">
        <v>48</v>
      </c>
      <c r="H49" s="7"/>
    </row>
    <row r="50" spans="1:8">
      <c r="A50" s="4" t="str">
        <f>HYPERLINK("https://scryfall.com/card/dom/198/jodah-archmage-eternal","Jodah, Archmage Eternal")</f>
        <v>Jodah, Archmage Eternal</v>
      </c>
      <c r="B50" s="5">
        <v>189</v>
      </c>
      <c r="C50" s="6">
        <v>6</v>
      </c>
      <c r="D50" s="6">
        <v>10</v>
      </c>
      <c r="E50" s="6">
        <v>9</v>
      </c>
      <c r="F50" s="6">
        <v>25</v>
      </c>
      <c r="G50" s="6">
        <v>49</v>
      </c>
      <c r="H50" s="7"/>
    </row>
    <row r="51" spans="1:8">
      <c r="A51" s="4" t="s">
        <v>128</v>
      </c>
      <c r="B51" s="5">
        <v>219</v>
      </c>
      <c r="C51" s="6">
        <v>8</v>
      </c>
      <c r="D51" s="6">
        <v>7</v>
      </c>
      <c r="E51" s="6">
        <v>10</v>
      </c>
      <c r="F51" s="6">
        <v>25</v>
      </c>
      <c r="G51" s="6">
        <v>50</v>
      </c>
      <c r="H51" s="7"/>
    </row>
    <row r="52" spans="1:8">
      <c r="A52" s="4" t="s">
        <v>173</v>
      </c>
      <c r="B52" s="5">
        <v>308</v>
      </c>
      <c r="C52" s="6">
        <v>5</v>
      </c>
      <c r="D52" s="6">
        <v>10</v>
      </c>
      <c r="E52" s="6">
        <v>10</v>
      </c>
      <c r="F52" s="6">
        <v>25</v>
      </c>
      <c r="G52" s="6">
        <v>51</v>
      </c>
      <c r="H52" s="7"/>
    </row>
    <row r="53" spans="1:8">
      <c r="A53" s="4" t="s">
        <v>191</v>
      </c>
      <c r="B53" s="5">
        <v>343</v>
      </c>
      <c r="C53" s="6">
        <v>7</v>
      </c>
      <c r="D53" s="6">
        <v>9</v>
      </c>
      <c r="E53" s="6">
        <v>9</v>
      </c>
      <c r="F53" s="6">
        <v>25</v>
      </c>
      <c r="G53" s="6">
        <v>52</v>
      </c>
      <c r="H53" s="7"/>
    </row>
    <row r="54" spans="1:8">
      <c r="A54" s="4" t="s">
        <v>198</v>
      </c>
      <c r="B54" s="5">
        <v>354</v>
      </c>
      <c r="C54" s="6">
        <v>6</v>
      </c>
      <c r="D54" s="6">
        <v>10</v>
      </c>
      <c r="E54" s="6">
        <v>9</v>
      </c>
      <c r="F54" s="6">
        <v>25</v>
      </c>
      <c r="G54" s="6">
        <v>53</v>
      </c>
      <c r="H54" s="7"/>
    </row>
    <row r="55" spans="1:8">
      <c r="A55" s="4" t="s">
        <v>202</v>
      </c>
      <c r="B55" s="5">
        <v>360</v>
      </c>
      <c r="C55" s="6">
        <v>7</v>
      </c>
      <c r="D55" s="6">
        <v>9</v>
      </c>
      <c r="E55" s="6">
        <v>9</v>
      </c>
      <c r="F55" s="6">
        <v>25</v>
      </c>
      <c r="G55" s="6">
        <v>54</v>
      </c>
      <c r="H55" s="7"/>
    </row>
    <row r="56" spans="1:8">
      <c r="A56" s="4" t="str">
        <f>HYPERLINK("https://scryfall.com/card/cma/190/roon-of-the-hidden-realm","Roon of the Hidden Realm")</f>
        <v>Roon of the Hidden Realm</v>
      </c>
      <c r="B56" s="5">
        <v>366</v>
      </c>
      <c r="C56" s="6">
        <v>6</v>
      </c>
      <c r="D56" s="6">
        <v>10</v>
      </c>
      <c r="E56" s="6">
        <v>9</v>
      </c>
      <c r="F56" s="6">
        <v>25</v>
      </c>
      <c r="G56" s="6">
        <v>55</v>
      </c>
      <c r="H56" s="7"/>
    </row>
    <row r="57" spans="1:8">
      <c r="A57" s="4" t="str">
        <f>HYPERLINK("https://scryfall.com/card/c19/43/greven-predator-captain","Greven, Predator Captain")</f>
        <v>Greven, Predator Captain</v>
      </c>
      <c r="B57" s="5">
        <v>400</v>
      </c>
      <c r="C57" s="6">
        <v>7</v>
      </c>
      <c r="D57" s="6">
        <v>8</v>
      </c>
      <c r="E57" s="6">
        <v>10</v>
      </c>
      <c r="F57" s="6">
        <v>25</v>
      </c>
      <c r="G57" s="6">
        <v>56</v>
      </c>
      <c r="H57" s="7"/>
    </row>
    <row r="58" spans="1:8">
      <c r="A58" s="4" t="s">
        <v>10</v>
      </c>
      <c r="B58" s="5">
        <v>8</v>
      </c>
      <c r="C58" s="6">
        <v>4</v>
      </c>
      <c r="D58" s="6">
        <v>10</v>
      </c>
      <c r="E58" s="6">
        <v>10</v>
      </c>
      <c r="F58" s="6">
        <v>24</v>
      </c>
      <c r="G58" s="6">
        <v>57</v>
      </c>
      <c r="H58" s="7"/>
    </row>
    <row r="59" spans="1:8">
      <c r="A59" s="4" t="s">
        <v>11</v>
      </c>
      <c r="B59" s="5">
        <v>9</v>
      </c>
      <c r="C59" s="6">
        <v>5</v>
      </c>
      <c r="D59" s="6">
        <v>9</v>
      </c>
      <c r="E59" s="6">
        <v>10</v>
      </c>
      <c r="F59" s="6">
        <v>24</v>
      </c>
      <c r="G59" s="6">
        <v>58</v>
      </c>
      <c r="H59" s="7"/>
    </row>
    <row r="60" spans="1:8">
      <c r="A60" s="4" t="s">
        <v>12</v>
      </c>
      <c r="B60" s="5">
        <v>10</v>
      </c>
      <c r="C60" s="6">
        <v>7</v>
      </c>
      <c r="D60" s="6">
        <v>7</v>
      </c>
      <c r="E60" s="6">
        <v>10</v>
      </c>
      <c r="F60" s="6">
        <v>24</v>
      </c>
      <c r="G60" s="6">
        <v>59</v>
      </c>
      <c r="H60" s="7"/>
    </row>
    <row r="61" spans="1:8">
      <c r="A61" s="8" t="s">
        <v>13</v>
      </c>
      <c r="B61" s="5">
        <v>11</v>
      </c>
      <c r="C61" s="9">
        <v>5</v>
      </c>
      <c r="D61" s="9">
        <v>10</v>
      </c>
      <c r="E61" s="9">
        <v>9</v>
      </c>
      <c r="F61" s="9">
        <v>24</v>
      </c>
      <c r="G61" s="6">
        <v>60</v>
      </c>
      <c r="H61" s="7"/>
    </row>
    <row r="62" spans="1:8">
      <c r="A62" s="4" t="s">
        <v>14</v>
      </c>
      <c r="B62" s="5">
        <v>16</v>
      </c>
      <c r="C62" s="6">
        <v>6</v>
      </c>
      <c r="D62" s="6">
        <v>10</v>
      </c>
      <c r="E62" s="6">
        <v>8</v>
      </c>
      <c r="F62" s="6">
        <v>24</v>
      </c>
      <c r="G62" s="6">
        <v>61</v>
      </c>
      <c r="H62" s="7"/>
    </row>
    <row r="63" spans="1:8">
      <c r="A63" s="4" t="s">
        <v>16</v>
      </c>
      <c r="B63" s="5">
        <v>21</v>
      </c>
      <c r="C63" s="6">
        <v>5</v>
      </c>
      <c r="D63" s="6">
        <v>9</v>
      </c>
      <c r="E63" s="6">
        <v>10</v>
      </c>
      <c r="F63" s="6">
        <v>24</v>
      </c>
      <c r="G63" s="6">
        <v>62</v>
      </c>
      <c r="H63" s="7"/>
    </row>
    <row r="64" spans="1:8">
      <c r="A64" s="4" t="s">
        <v>18</v>
      </c>
      <c r="B64" s="5">
        <v>26</v>
      </c>
      <c r="C64" s="6">
        <v>7</v>
      </c>
      <c r="D64" s="6">
        <v>8</v>
      </c>
      <c r="E64" s="6">
        <v>9</v>
      </c>
      <c r="F64" s="6">
        <v>24</v>
      </c>
      <c r="G64" s="6">
        <v>63</v>
      </c>
      <c r="H64" s="7"/>
    </row>
    <row r="65" spans="1:8">
      <c r="A65" s="4" t="str">
        <f>HYPERLINK("https://scryfall.com/card/uma/106/mikaeus-the-unhallowed","Mikaeus, the Unhallowed")</f>
        <v>Mikaeus, the Unhallowed</v>
      </c>
      <c r="B65" s="5">
        <v>31</v>
      </c>
      <c r="C65" s="6">
        <v>7</v>
      </c>
      <c r="D65" s="6">
        <v>8</v>
      </c>
      <c r="E65" s="6">
        <v>9</v>
      </c>
      <c r="F65" s="6">
        <v>24</v>
      </c>
      <c r="G65" s="6">
        <v>64</v>
      </c>
      <c r="H65" s="7"/>
    </row>
    <row r="66" spans="1:8">
      <c r="A66" s="4" t="str">
        <f>HYPERLINK("https://scryfall.com/card/c17/36/edgar-markov","Edgar Markov")</f>
        <v>Edgar Markov</v>
      </c>
      <c r="B66" s="5">
        <v>32</v>
      </c>
      <c r="C66" s="6">
        <v>8</v>
      </c>
      <c r="D66" s="6">
        <v>8</v>
      </c>
      <c r="E66" s="6">
        <v>8</v>
      </c>
      <c r="F66" s="6">
        <v>24</v>
      </c>
      <c r="G66" s="6">
        <v>65</v>
      </c>
      <c r="H66" s="7"/>
    </row>
    <row r="67" spans="1:8">
      <c r="A67" s="4" t="s">
        <v>22</v>
      </c>
      <c r="B67" s="5">
        <v>33</v>
      </c>
      <c r="C67" s="6">
        <v>8</v>
      </c>
      <c r="D67" s="6">
        <v>6</v>
      </c>
      <c r="E67" s="6">
        <v>10</v>
      </c>
      <c r="F67" s="6">
        <v>24</v>
      </c>
      <c r="G67" s="6">
        <v>66</v>
      </c>
      <c r="H67" s="7"/>
    </row>
    <row r="68" spans="1:8">
      <c r="A68" s="4" t="s">
        <v>23</v>
      </c>
      <c r="B68" s="5">
        <v>34</v>
      </c>
      <c r="C68" s="6">
        <v>6</v>
      </c>
      <c r="D68" s="6">
        <v>10</v>
      </c>
      <c r="E68" s="6">
        <v>8</v>
      </c>
      <c r="F68" s="6">
        <v>24</v>
      </c>
      <c r="G68" s="6">
        <v>67</v>
      </c>
      <c r="H68" s="7"/>
    </row>
    <row r="69" spans="1:8">
      <c r="A69" s="4" t="s">
        <v>26</v>
      </c>
      <c r="B69" s="5">
        <v>37</v>
      </c>
      <c r="C69" s="6">
        <v>6</v>
      </c>
      <c r="D69" s="6">
        <v>9</v>
      </c>
      <c r="E69" s="6">
        <v>9</v>
      </c>
      <c r="F69" s="6">
        <v>24</v>
      </c>
      <c r="G69" s="6">
        <v>68</v>
      </c>
      <c r="H69" s="7"/>
    </row>
    <row r="70" spans="1:8">
      <c r="A70" s="4" t="str">
        <f>HYPERLINK("https://scryfall.com/card/rix/45/nezahal-primal-tide","Nezahal, Primal Tide")</f>
        <v>Nezahal, Primal Tide</v>
      </c>
      <c r="B70" s="5">
        <v>39</v>
      </c>
      <c r="C70" s="6">
        <v>7</v>
      </c>
      <c r="D70" s="6">
        <v>7</v>
      </c>
      <c r="E70" s="6">
        <v>10</v>
      </c>
      <c r="F70" s="6">
        <v>24</v>
      </c>
      <c r="G70" s="6">
        <v>69</v>
      </c>
      <c r="H70" s="7"/>
    </row>
    <row r="71" spans="1:8">
      <c r="A71" s="4" t="s">
        <v>28</v>
      </c>
      <c r="B71" s="5">
        <v>42</v>
      </c>
      <c r="C71" s="6">
        <v>6</v>
      </c>
      <c r="D71" s="6">
        <v>9</v>
      </c>
      <c r="E71" s="6">
        <v>9</v>
      </c>
      <c r="F71" s="6">
        <v>24</v>
      </c>
      <c r="G71" s="6">
        <v>70</v>
      </c>
      <c r="H71" s="7"/>
    </row>
    <row r="72" spans="1:8">
      <c r="A72" s="4" t="str">
        <f>HYPERLINK("https://scryfall.com/card/gk2/52/rakdos-lord-of-riots","Rakdos, Lord of Riots")</f>
        <v>Rakdos, Lord of Riots</v>
      </c>
      <c r="B72" s="5">
        <v>43</v>
      </c>
      <c r="C72" s="6">
        <v>5</v>
      </c>
      <c r="D72" s="6">
        <v>10</v>
      </c>
      <c r="E72" s="6">
        <v>9</v>
      </c>
      <c r="F72" s="6">
        <v>24</v>
      </c>
      <c r="G72" s="6">
        <v>71</v>
      </c>
      <c r="H72" s="7"/>
    </row>
    <row r="73" spans="1:8">
      <c r="A73" s="4" t="s">
        <v>29</v>
      </c>
      <c r="B73" s="5">
        <v>44</v>
      </c>
      <c r="C73" s="6">
        <v>7</v>
      </c>
      <c r="D73" s="6">
        <v>7</v>
      </c>
      <c r="E73" s="6">
        <v>10</v>
      </c>
      <c r="F73" s="6">
        <v>24</v>
      </c>
      <c r="G73" s="6">
        <v>72</v>
      </c>
      <c r="H73" s="7"/>
    </row>
    <row r="74" spans="1:8">
      <c r="A74" s="4" t="str">
        <f>HYPERLINK("https://scryfall.com/card/c18/39/brudiclad-telchor-engineer","Brudiclad, Telchor Engineer")</f>
        <v>Brudiclad, Telchor Engineer</v>
      </c>
      <c r="B74" s="5">
        <v>50</v>
      </c>
      <c r="C74" s="6">
        <v>6</v>
      </c>
      <c r="D74" s="6">
        <v>10</v>
      </c>
      <c r="E74" s="6">
        <v>8</v>
      </c>
      <c r="F74" s="6">
        <v>24</v>
      </c>
      <c r="G74" s="6">
        <v>73</v>
      </c>
      <c r="H74" s="7"/>
    </row>
    <row r="75" spans="1:8">
      <c r="A75" s="4" t="str">
        <f>HYPERLINK("https://scryfall.com/card/rix/100/etali-primal-storm","Etali, Primal Storm")</f>
        <v>Etali, Primal Storm</v>
      </c>
      <c r="B75" s="5">
        <v>56</v>
      </c>
      <c r="C75" s="6">
        <v>5</v>
      </c>
      <c r="D75" s="6">
        <v>9</v>
      </c>
      <c r="E75" s="6">
        <v>10</v>
      </c>
      <c r="F75" s="6">
        <v>24</v>
      </c>
      <c r="G75" s="6">
        <v>74</v>
      </c>
      <c r="H75" s="7"/>
    </row>
    <row r="76" spans="1:8">
      <c r="A76" s="4" t="s">
        <v>49</v>
      </c>
      <c r="B76" s="5">
        <v>76</v>
      </c>
      <c r="C76" s="6">
        <v>7</v>
      </c>
      <c r="D76" s="6">
        <v>7</v>
      </c>
      <c r="E76" s="6">
        <v>10</v>
      </c>
      <c r="F76" s="6">
        <v>24</v>
      </c>
      <c r="G76" s="6">
        <v>75</v>
      </c>
      <c r="H76" s="7"/>
    </row>
    <row r="77" spans="1:8">
      <c r="A77" s="4" t="str">
        <f>HYPERLINK("https://scryfall.com/card/c19/51/volrath-the-shapestealer","Volrath, the Shapestealer")</f>
        <v>Volrath, the Shapestealer</v>
      </c>
      <c r="B77" s="5">
        <v>86</v>
      </c>
      <c r="C77" s="6">
        <v>5</v>
      </c>
      <c r="D77" s="6">
        <v>10</v>
      </c>
      <c r="E77" s="6">
        <v>9</v>
      </c>
      <c r="F77" s="6">
        <v>24</v>
      </c>
      <c r="G77" s="6">
        <v>76</v>
      </c>
      <c r="H77" s="7"/>
    </row>
    <row r="78" spans="1:8">
      <c r="A78" s="4" t="str">
        <f>HYPERLINK("https://scryfall.com/card/thb/18/heliod-sun-crowned","Heliod, Sun-Crowned")</f>
        <v>Heliod, Sun-Crowned</v>
      </c>
      <c r="B78" s="5">
        <v>92</v>
      </c>
      <c r="C78" s="6">
        <v>5</v>
      </c>
      <c r="D78" s="6">
        <v>9</v>
      </c>
      <c r="E78" s="6">
        <v>10</v>
      </c>
      <c r="F78" s="6">
        <v>24</v>
      </c>
      <c r="G78" s="6">
        <v>77</v>
      </c>
      <c r="H78" s="7"/>
    </row>
    <row r="79" spans="1:8">
      <c r="A79" s="4" t="s">
        <v>59</v>
      </c>
      <c r="B79" s="5">
        <v>94</v>
      </c>
      <c r="C79" s="6">
        <v>4</v>
      </c>
      <c r="D79" s="6">
        <v>10</v>
      </c>
      <c r="E79" s="6">
        <v>10</v>
      </c>
      <c r="F79" s="6">
        <v>24</v>
      </c>
      <c r="G79" s="6">
        <v>78</v>
      </c>
      <c r="H79" s="7"/>
    </row>
    <row r="80" spans="1:8">
      <c r="A80" s="4" t="str">
        <f>HYPERLINK("https://scryfall.com/card/iko/383/vadrok-apex-of-thunder","Vadrok, Apex of Thunder")</f>
        <v>Vadrok, Apex of Thunder</v>
      </c>
      <c r="B80" s="5">
        <v>100</v>
      </c>
      <c r="C80" s="6">
        <v>5</v>
      </c>
      <c r="D80" s="6">
        <v>9</v>
      </c>
      <c r="E80" s="6">
        <v>10</v>
      </c>
      <c r="F80" s="6">
        <v>24</v>
      </c>
      <c r="G80" s="6">
        <v>79</v>
      </c>
      <c r="H80" s="7"/>
    </row>
    <row r="81" spans="1:8">
      <c r="A81" s="4" t="s">
        <v>66</v>
      </c>
      <c r="B81" s="5">
        <v>103</v>
      </c>
      <c r="C81" s="6">
        <v>8</v>
      </c>
      <c r="D81" s="6">
        <v>6</v>
      </c>
      <c r="E81" s="6">
        <v>10</v>
      </c>
      <c r="F81" s="6">
        <v>24</v>
      </c>
      <c r="G81" s="6">
        <v>80</v>
      </c>
      <c r="H81" s="7"/>
    </row>
    <row r="82" spans="1:8">
      <c r="A82" s="4" t="str">
        <f>HYPERLINK("https://scryfall.com/card/jou/146/athreos-god-of-passage","Athreos, God of Passage")</f>
        <v>Athreos, God of Passage</v>
      </c>
      <c r="B82" s="5">
        <v>105</v>
      </c>
      <c r="C82" s="6">
        <v>6</v>
      </c>
      <c r="D82" s="6">
        <v>8</v>
      </c>
      <c r="E82" s="6">
        <v>10</v>
      </c>
      <c r="F82" s="6">
        <v>24</v>
      </c>
      <c r="G82" s="6">
        <v>81</v>
      </c>
      <c r="H82" s="7"/>
    </row>
    <row r="83" spans="1:8">
      <c r="A83" s="4" t="s">
        <v>71</v>
      </c>
      <c r="B83" s="5">
        <v>113</v>
      </c>
      <c r="C83" s="6">
        <v>5</v>
      </c>
      <c r="D83" s="6">
        <v>10</v>
      </c>
      <c r="E83" s="6">
        <v>9</v>
      </c>
      <c r="F83" s="6">
        <v>24</v>
      </c>
      <c r="G83" s="6">
        <v>82</v>
      </c>
      <c r="H83" s="7"/>
    </row>
    <row r="84" spans="1:8">
      <c r="A84" s="4" t="s">
        <v>75</v>
      </c>
      <c r="B84" s="5">
        <v>118</v>
      </c>
      <c r="C84" s="6">
        <v>5</v>
      </c>
      <c r="D84" s="6">
        <v>9</v>
      </c>
      <c r="E84" s="6">
        <v>10</v>
      </c>
      <c r="F84" s="6">
        <v>24</v>
      </c>
      <c r="G84" s="6">
        <v>83</v>
      </c>
      <c r="H84" s="7"/>
    </row>
    <row r="85" spans="1:8">
      <c r="A85" s="4" t="str">
        <f>HYPERLINK("https://scryfall.com/card/dom/197/jhoira-weatherlight-captain","Jhoira, Weatherlight Captain")</f>
        <v>Jhoira, Weatherlight Captain</v>
      </c>
      <c r="B85" s="5">
        <v>127</v>
      </c>
      <c r="C85" s="6">
        <v>9</v>
      </c>
      <c r="D85" s="6">
        <v>9</v>
      </c>
      <c r="E85" s="6">
        <v>6</v>
      </c>
      <c r="F85" s="6">
        <v>24</v>
      </c>
      <c r="G85" s="6">
        <v>84</v>
      </c>
      <c r="H85" s="7"/>
    </row>
    <row r="86" spans="1:8">
      <c r="A86" s="4" t="str">
        <f>HYPERLINK("https://scryfall.com/card/thb/93/erebos-bleak-hearted","Erebos, Bleak-Hearted")</f>
        <v>Erebos, Bleak-Hearted</v>
      </c>
      <c r="B86" s="5">
        <v>133</v>
      </c>
      <c r="C86" s="6">
        <v>6</v>
      </c>
      <c r="D86" s="6">
        <v>8</v>
      </c>
      <c r="E86" s="6">
        <v>10</v>
      </c>
      <c r="F86" s="6">
        <v>24</v>
      </c>
      <c r="G86" s="6">
        <v>85</v>
      </c>
      <c r="H86" s="7"/>
    </row>
    <row r="87" spans="1:8">
      <c r="A87" s="4" t="str">
        <f>HYPERLINK("https://scryfall.com/card/c16/41/saskia-the-unyielding","Saskia the Unyielding")</f>
        <v>Saskia the Unyielding</v>
      </c>
      <c r="B87" s="5">
        <v>134</v>
      </c>
      <c r="C87" s="6">
        <v>6</v>
      </c>
      <c r="D87" s="6">
        <v>10</v>
      </c>
      <c r="E87" s="6">
        <v>8</v>
      </c>
      <c r="F87" s="6">
        <v>24</v>
      </c>
      <c r="G87" s="6">
        <v>86</v>
      </c>
      <c r="H87" s="7"/>
    </row>
    <row r="88" spans="1:8">
      <c r="A88" s="4" t="s">
        <v>81</v>
      </c>
      <c r="B88" s="5">
        <v>138</v>
      </c>
      <c r="C88" s="6">
        <v>5</v>
      </c>
      <c r="D88" s="6">
        <v>10</v>
      </c>
      <c r="E88" s="6">
        <v>9</v>
      </c>
      <c r="F88" s="6">
        <v>24</v>
      </c>
      <c r="G88" s="6">
        <v>87</v>
      </c>
      <c r="H88" s="7"/>
    </row>
    <row r="89" spans="1:8">
      <c r="A89" s="4" t="str">
        <f>HYPERLINK("https://scryfall.com/card/c16/221/sharuum-the-hegemon","Sharuum the Hegemon")</f>
        <v>Sharuum the Hegemon</v>
      </c>
      <c r="B89" s="5">
        <v>143</v>
      </c>
      <c r="C89" s="6">
        <v>7</v>
      </c>
      <c r="D89" s="6">
        <v>8</v>
      </c>
      <c r="E89" s="6">
        <v>9</v>
      </c>
      <c r="F89" s="6">
        <v>24</v>
      </c>
      <c r="G89" s="6">
        <v>88</v>
      </c>
      <c r="H89" s="7"/>
    </row>
    <row r="90" spans="1:8">
      <c r="A90" s="4" t="s">
        <v>92</v>
      </c>
      <c r="B90" s="5">
        <v>155</v>
      </c>
      <c r="C90" s="6">
        <v>6</v>
      </c>
      <c r="D90" s="6">
        <v>8</v>
      </c>
      <c r="E90" s="6">
        <v>10</v>
      </c>
      <c r="F90" s="6">
        <v>24</v>
      </c>
      <c r="G90" s="6">
        <v>89</v>
      </c>
      <c r="H90" s="7"/>
    </row>
    <row r="91" spans="1:8">
      <c r="A91" s="4" t="s">
        <v>99</v>
      </c>
      <c r="B91" s="5">
        <v>164</v>
      </c>
      <c r="C91" s="6">
        <v>6</v>
      </c>
      <c r="D91" s="6">
        <v>8</v>
      </c>
      <c r="E91" s="6">
        <v>10</v>
      </c>
      <c r="F91" s="6">
        <v>24</v>
      </c>
      <c r="G91" s="6">
        <v>90</v>
      </c>
      <c r="H91" s="7"/>
    </row>
    <row r="92" spans="1:8">
      <c r="A92" s="4" t="str">
        <f>HYPERLINK("https://scryfall.com/card/c20/10/kathril-aspect-warper","Kathril, Aspect Warper")</f>
        <v>Kathril, Aspect Warper</v>
      </c>
      <c r="B92" s="5">
        <v>169</v>
      </c>
      <c r="C92" s="6">
        <v>6</v>
      </c>
      <c r="D92" s="6">
        <v>10</v>
      </c>
      <c r="E92" s="6">
        <v>8</v>
      </c>
      <c r="F92" s="6">
        <v>24</v>
      </c>
      <c r="G92" s="6">
        <v>91</v>
      </c>
      <c r="H92" s="7"/>
    </row>
    <row r="93" spans="1:8">
      <c r="A93" s="4" t="str">
        <f>HYPERLINK("https://scryfall.com/card/c16/50/yidris-maelstrom-wielder","Yidris, Maelstrom Wielder")</f>
        <v>Yidris, Maelstrom Wielder</v>
      </c>
      <c r="B93" s="5">
        <v>171</v>
      </c>
      <c r="C93" s="6">
        <v>7</v>
      </c>
      <c r="D93" s="6">
        <v>10</v>
      </c>
      <c r="E93" s="6">
        <v>7</v>
      </c>
      <c r="F93" s="6">
        <v>24</v>
      </c>
      <c r="G93" s="6">
        <v>92</v>
      </c>
      <c r="H93" s="7"/>
    </row>
    <row r="94" spans="1:8">
      <c r="A94" s="4" t="str">
        <f>HYPERLINK("https://scryfall.com/card/c16/220/selvala-explorer-returned","Selvala, Explorer Returned")</f>
        <v>Selvala, Explorer Returned</v>
      </c>
      <c r="B94" s="5">
        <v>174</v>
      </c>
      <c r="C94" s="6">
        <v>8</v>
      </c>
      <c r="D94" s="6">
        <v>10</v>
      </c>
      <c r="E94" s="6">
        <v>6</v>
      </c>
      <c r="F94" s="6">
        <v>24</v>
      </c>
      <c r="G94" s="6">
        <v>93</v>
      </c>
      <c r="H94" s="7"/>
    </row>
    <row r="95" spans="1:8">
      <c r="A95" s="4" t="s">
        <v>104</v>
      </c>
      <c r="B95" s="5">
        <v>176</v>
      </c>
      <c r="C95" s="6">
        <v>5</v>
      </c>
      <c r="D95" s="6">
        <v>9</v>
      </c>
      <c r="E95" s="6">
        <v>10</v>
      </c>
      <c r="F95" s="6">
        <v>24</v>
      </c>
      <c r="G95" s="6">
        <v>94</v>
      </c>
      <c r="H95" s="7"/>
    </row>
    <row r="96" spans="1:8">
      <c r="A96" s="4" t="str">
        <f>HYPERLINK("https://scryfall.com/card/iko/203/rielle-the-everwise","Rielle, the Everwise")</f>
        <v>Rielle, the Everwise</v>
      </c>
      <c r="B96" s="5">
        <v>179</v>
      </c>
      <c r="C96" s="6">
        <v>9</v>
      </c>
      <c r="D96" s="6">
        <v>8</v>
      </c>
      <c r="E96" s="6">
        <v>7</v>
      </c>
      <c r="F96" s="6">
        <v>24</v>
      </c>
      <c r="G96" s="6">
        <v>95</v>
      </c>
      <c r="H96" s="7"/>
    </row>
    <row r="97" spans="1:8">
      <c r="A97" s="4" t="str">
        <f>HYPERLINK("https://scryfall.com/card/c17/39/kess-dissident-mage","Kess, Dissident Mage")</f>
        <v>Kess, Dissident Mage</v>
      </c>
      <c r="B97" s="5">
        <v>186</v>
      </c>
      <c r="C97" s="6">
        <v>10</v>
      </c>
      <c r="D97" s="6">
        <v>9</v>
      </c>
      <c r="E97" s="6">
        <v>5</v>
      </c>
      <c r="F97" s="6">
        <v>24</v>
      </c>
      <c r="G97" s="6">
        <v>96</v>
      </c>
      <c r="H97" s="7"/>
    </row>
    <row r="98" spans="1:8">
      <c r="A98" s="4" t="s">
        <v>109</v>
      </c>
      <c r="B98" s="5">
        <v>188</v>
      </c>
      <c r="C98" s="6">
        <v>4</v>
      </c>
      <c r="D98" s="6">
        <v>10</v>
      </c>
      <c r="E98" s="6">
        <v>10</v>
      </c>
      <c r="F98" s="6">
        <v>24</v>
      </c>
      <c r="G98" s="6">
        <v>97</v>
      </c>
      <c r="H98" s="7"/>
    </row>
    <row r="99" spans="1:8">
      <c r="A99" s="4" t="s">
        <v>111</v>
      </c>
      <c r="B99" s="5">
        <v>194</v>
      </c>
      <c r="C99" s="6">
        <v>4</v>
      </c>
      <c r="D99" s="6">
        <v>10</v>
      </c>
      <c r="E99" s="6">
        <v>10</v>
      </c>
      <c r="F99" s="6">
        <v>24</v>
      </c>
      <c r="G99" s="6">
        <v>98</v>
      </c>
      <c r="H99" s="7"/>
    </row>
    <row r="100" spans="1:8">
      <c r="A100" s="4" t="str">
        <f>HYPERLINK("https://scryfall.com/card/eld/330/syr-gwyn-hero-of-ashvale","Syr Gwyn, Hero of Ashvale")</f>
        <v>Syr Gwyn, Hero of Ashvale</v>
      </c>
      <c r="B100" s="5">
        <v>195</v>
      </c>
      <c r="C100" s="6">
        <v>5</v>
      </c>
      <c r="D100" s="6">
        <v>10</v>
      </c>
      <c r="E100" s="6">
        <v>9</v>
      </c>
      <c r="F100" s="6">
        <v>24</v>
      </c>
      <c r="G100" s="6">
        <v>99</v>
      </c>
      <c r="H100" s="7"/>
    </row>
    <row r="101" spans="1:8">
      <c r="A101" s="4" t="s">
        <v>113</v>
      </c>
      <c r="B101" s="5">
        <v>197</v>
      </c>
      <c r="C101" s="6">
        <v>6</v>
      </c>
      <c r="D101" s="6">
        <v>9</v>
      </c>
      <c r="E101" s="6">
        <v>9</v>
      </c>
      <c r="F101" s="6">
        <v>24</v>
      </c>
      <c r="G101" s="6">
        <v>100</v>
      </c>
      <c r="H101" s="7"/>
    </row>
    <row r="102" spans="1:8">
      <c r="A102" s="4" t="s">
        <v>115</v>
      </c>
      <c r="B102" s="5">
        <v>199</v>
      </c>
      <c r="C102" s="6">
        <v>6</v>
      </c>
      <c r="D102" s="6">
        <v>8</v>
      </c>
      <c r="E102" s="6">
        <v>10</v>
      </c>
      <c r="F102" s="6">
        <v>24</v>
      </c>
      <c r="G102" s="6">
        <v>101</v>
      </c>
      <c r="H102" s="7"/>
    </row>
    <row r="103" spans="1:8">
      <c r="A103" s="4" t="s">
        <v>120</v>
      </c>
      <c r="B103" s="5">
        <v>208</v>
      </c>
      <c r="C103" s="6">
        <v>6</v>
      </c>
      <c r="D103" s="6">
        <v>8</v>
      </c>
      <c r="E103" s="6">
        <v>10</v>
      </c>
      <c r="F103" s="6">
        <v>24</v>
      </c>
      <c r="G103" s="6">
        <v>102</v>
      </c>
      <c r="H103" s="7"/>
    </row>
    <row r="104" spans="1:8">
      <c r="A104" s="4" t="s">
        <v>129</v>
      </c>
      <c r="B104" s="5">
        <v>220</v>
      </c>
      <c r="C104" s="6">
        <v>6</v>
      </c>
      <c r="D104" s="6">
        <v>8</v>
      </c>
      <c r="E104" s="6">
        <v>10</v>
      </c>
      <c r="F104" s="6">
        <v>24</v>
      </c>
      <c r="G104" s="6">
        <v>103</v>
      </c>
      <c r="H104" s="7"/>
    </row>
    <row r="105" spans="1:8">
      <c r="A105" s="4" t="s">
        <v>130</v>
      </c>
      <c r="B105" s="5">
        <v>223</v>
      </c>
      <c r="C105" s="6">
        <v>7</v>
      </c>
      <c r="D105" s="6">
        <v>9</v>
      </c>
      <c r="E105" s="6">
        <v>8</v>
      </c>
      <c r="F105" s="6">
        <v>24</v>
      </c>
      <c r="G105" s="6">
        <v>104</v>
      </c>
      <c r="H105" s="7"/>
    </row>
    <row r="106" spans="1:8">
      <c r="A106" s="4" t="s">
        <v>131</v>
      </c>
      <c r="B106" s="5">
        <v>224</v>
      </c>
      <c r="C106" s="6">
        <v>7</v>
      </c>
      <c r="D106" s="6">
        <v>9</v>
      </c>
      <c r="E106" s="6">
        <v>8</v>
      </c>
      <c r="F106" s="6">
        <v>24</v>
      </c>
      <c r="G106" s="6">
        <v>105</v>
      </c>
      <c r="H106" s="7"/>
    </row>
    <row r="107" spans="1:8">
      <c r="A107" s="4" t="str">
        <f>HYPERLINK("https://scryfall.com/card/c20/8/jirina-kudro","Jirina Kudro")</f>
        <v>Jirina Kudro</v>
      </c>
      <c r="B107" s="5">
        <v>237</v>
      </c>
      <c r="C107" s="6">
        <v>6</v>
      </c>
      <c r="D107" s="6">
        <v>8</v>
      </c>
      <c r="E107" s="6">
        <v>10</v>
      </c>
      <c r="F107" s="6">
        <v>24</v>
      </c>
      <c r="G107" s="6">
        <v>106</v>
      </c>
      <c r="H107" s="7"/>
    </row>
    <row r="108" spans="1:8">
      <c r="A108" s="4" t="s">
        <v>158</v>
      </c>
      <c r="B108" s="5">
        <v>281</v>
      </c>
      <c r="C108" s="6">
        <v>6</v>
      </c>
      <c r="D108" s="6">
        <v>10</v>
      </c>
      <c r="E108" s="6">
        <v>8</v>
      </c>
      <c r="F108" s="6">
        <v>24</v>
      </c>
      <c r="G108" s="6">
        <v>107</v>
      </c>
      <c r="H108" s="7"/>
    </row>
    <row r="109" spans="1:8">
      <c r="A109" s="4" t="s">
        <v>165</v>
      </c>
      <c r="B109" s="5">
        <v>289</v>
      </c>
      <c r="C109" s="6">
        <v>6</v>
      </c>
      <c r="D109" s="6">
        <v>8</v>
      </c>
      <c r="E109" s="6">
        <v>10</v>
      </c>
      <c r="F109" s="6">
        <v>24</v>
      </c>
      <c r="G109" s="6">
        <v>108</v>
      </c>
      <c r="H109" s="7"/>
    </row>
    <row r="110" spans="1:8">
      <c r="A110" s="4" t="str">
        <f>HYPERLINK("https://scryfall.com/card/eld/329/korvold-fae-cursed-king","Korvold, Fae-Cursed King")</f>
        <v>Korvold, Fae-Cursed King</v>
      </c>
      <c r="B110" s="5">
        <v>303</v>
      </c>
      <c r="C110" s="6">
        <v>10</v>
      </c>
      <c r="D110" s="6">
        <v>6</v>
      </c>
      <c r="E110" s="6">
        <v>8</v>
      </c>
      <c r="F110" s="6">
        <v>24</v>
      </c>
      <c r="G110" s="6">
        <v>109</v>
      </c>
      <c r="H110" s="7"/>
    </row>
    <row r="111" spans="1:8">
      <c r="A111" s="4" t="s">
        <v>175</v>
      </c>
      <c r="B111" s="5">
        <v>310</v>
      </c>
      <c r="C111" s="6">
        <v>8</v>
      </c>
      <c r="D111" s="6">
        <v>7</v>
      </c>
      <c r="E111" s="6">
        <v>9</v>
      </c>
      <c r="F111" s="6">
        <v>24</v>
      </c>
      <c r="G111" s="6">
        <v>110</v>
      </c>
      <c r="H111" s="7"/>
    </row>
    <row r="112" spans="1:8">
      <c r="A112" s="4" t="str">
        <f>HYPERLINK("https://scryfall.com/card/c15/50/mizzix-of-the-izmagnus","Mizzix of the Izmagnus")</f>
        <v>Mizzix of the Izmagnus</v>
      </c>
      <c r="B112" s="5">
        <v>317</v>
      </c>
      <c r="C112" s="6">
        <v>7</v>
      </c>
      <c r="D112" s="6">
        <v>8</v>
      </c>
      <c r="E112" s="6">
        <v>9</v>
      </c>
      <c r="F112" s="6">
        <v>24</v>
      </c>
      <c r="G112" s="6">
        <v>111</v>
      </c>
      <c r="H112" s="7"/>
    </row>
    <row r="113" spans="1:8">
      <c r="A113" s="4" t="s">
        <v>181</v>
      </c>
      <c r="B113" s="5">
        <v>319</v>
      </c>
      <c r="C113" s="6">
        <v>5</v>
      </c>
      <c r="D113" s="6">
        <v>10</v>
      </c>
      <c r="E113" s="6">
        <v>9</v>
      </c>
      <c r="F113" s="6">
        <v>24</v>
      </c>
      <c r="G113" s="6">
        <v>112</v>
      </c>
      <c r="H113" s="7"/>
    </row>
    <row r="114" spans="1:8">
      <c r="A114" s="4" t="s">
        <v>186</v>
      </c>
      <c r="B114" s="5">
        <v>333</v>
      </c>
      <c r="C114" s="6">
        <v>8</v>
      </c>
      <c r="D114" s="6">
        <v>8</v>
      </c>
      <c r="E114" s="6">
        <v>8</v>
      </c>
      <c r="F114" s="6">
        <v>24</v>
      </c>
      <c r="G114" s="6">
        <v>113</v>
      </c>
      <c r="H114" s="7"/>
    </row>
    <row r="115" spans="1:8">
      <c r="A115" s="4" t="s">
        <v>195</v>
      </c>
      <c r="B115" s="5">
        <v>349</v>
      </c>
      <c r="C115" s="6">
        <v>5</v>
      </c>
      <c r="D115" s="6">
        <v>10</v>
      </c>
      <c r="E115" s="6">
        <v>9</v>
      </c>
      <c r="F115" s="6">
        <v>24</v>
      </c>
      <c r="G115" s="6">
        <v>114</v>
      </c>
      <c r="H115" s="7"/>
    </row>
    <row r="116" spans="1:8">
      <c r="A116" s="4" t="str">
        <f>HYPERLINK("https://scryfall.com/card/c16/46/thrasios-triton-hero","Thrasios, Triton Hero")</f>
        <v>Thrasios, Triton Hero</v>
      </c>
      <c r="B116" s="5">
        <v>351</v>
      </c>
      <c r="C116" s="6">
        <v>10</v>
      </c>
      <c r="D116" s="6">
        <v>6</v>
      </c>
      <c r="E116" s="6">
        <v>8</v>
      </c>
      <c r="F116" s="6">
        <v>24</v>
      </c>
      <c r="G116" s="6">
        <v>115</v>
      </c>
      <c r="H116" s="7"/>
    </row>
    <row r="117" spans="1:8">
      <c r="A117" s="4" t="s">
        <v>204</v>
      </c>
      <c r="B117" s="5">
        <v>362</v>
      </c>
      <c r="C117" s="6">
        <v>6</v>
      </c>
      <c r="D117" s="6">
        <v>9</v>
      </c>
      <c r="E117" s="6">
        <v>9</v>
      </c>
      <c r="F117" s="6">
        <v>24</v>
      </c>
      <c r="G117" s="6">
        <v>116</v>
      </c>
      <c r="H117" s="7"/>
    </row>
    <row r="118" spans="1:8">
      <c r="A118" s="4" t="s">
        <v>214</v>
      </c>
      <c r="B118" s="5">
        <v>378</v>
      </c>
      <c r="C118" s="6">
        <v>6</v>
      </c>
      <c r="D118" s="6">
        <v>8</v>
      </c>
      <c r="E118" s="6">
        <v>10</v>
      </c>
      <c r="F118" s="6">
        <v>24</v>
      </c>
      <c r="G118" s="6">
        <v>117</v>
      </c>
      <c r="H118" s="7"/>
    </row>
    <row r="119" spans="1:8">
      <c r="A119" s="4" t="s">
        <v>217</v>
      </c>
      <c r="B119" s="5">
        <v>382</v>
      </c>
      <c r="C119" s="6">
        <v>4</v>
      </c>
      <c r="D119" s="6">
        <v>10</v>
      </c>
      <c r="E119" s="6">
        <v>10</v>
      </c>
      <c r="F119" s="6">
        <v>24</v>
      </c>
      <c r="G119" s="6">
        <v>118</v>
      </c>
      <c r="H119" s="7"/>
    </row>
    <row r="120" spans="1:8">
      <c r="A120" s="4" t="s">
        <v>219</v>
      </c>
      <c r="B120" s="5">
        <v>384</v>
      </c>
      <c r="C120" s="6">
        <v>7</v>
      </c>
      <c r="D120" s="6">
        <v>8</v>
      </c>
      <c r="E120" s="6">
        <v>9</v>
      </c>
      <c r="F120" s="6">
        <v>24</v>
      </c>
      <c r="G120" s="6">
        <v>119</v>
      </c>
      <c r="H120" s="7"/>
    </row>
    <row r="121" spans="1:8">
      <c r="A121" s="4" t="str">
        <f>HYPERLINK("https://scryfall.com/card/c19/45/kadena-slinking-sorcerer","Kadena, Slinking Sorcerer")</f>
        <v>Kadena, Slinking Sorcerer</v>
      </c>
      <c r="B121" s="5">
        <v>389</v>
      </c>
      <c r="C121" s="6">
        <v>5</v>
      </c>
      <c r="D121" s="6">
        <v>10</v>
      </c>
      <c r="E121" s="6">
        <v>9</v>
      </c>
      <c r="F121" s="6">
        <v>24</v>
      </c>
      <c r="G121" s="6">
        <v>120</v>
      </c>
      <c r="H121" s="7"/>
    </row>
    <row r="122" spans="1:8">
      <c r="A122" s="4" t="str">
        <f>HYPERLINK("https://scryfall.com/card/dom/36/teshar-ancestors-apostle","Teshar, Ancestor's Apostle")</f>
        <v>Teshar, Ancestor's Apostle</v>
      </c>
      <c r="B122" s="5">
        <v>399</v>
      </c>
      <c r="C122" s="6">
        <v>8</v>
      </c>
      <c r="D122" s="6">
        <v>7</v>
      </c>
      <c r="E122" s="6">
        <v>9</v>
      </c>
      <c r="F122" s="6">
        <v>24</v>
      </c>
      <c r="G122" s="6">
        <v>121</v>
      </c>
      <c r="H122" s="7"/>
    </row>
    <row r="123" spans="1:8">
      <c r="A123" s="4" t="s">
        <v>255</v>
      </c>
      <c r="B123" s="5">
        <v>445</v>
      </c>
      <c r="C123" s="6">
        <v>6</v>
      </c>
      <c r="D123" s="6">
        <v>10</v>
      </c>
      <c r="E123" s="6">
        <v>8</v>
      </c>
      <c r="F123" s="6">
        <v>24</v>
      </c>
      <c r="G123" s="6">
        <v>122</v>
      </c>
      <c r="H123" s="7"/>
    </row>
    <row r="124" spans="1:8">
      <c r="A124" s="4" t="s">
        <v>266</v>
      </c>
      <c r="B124" s="5">
        <v>460</v>
      </c>
      <c r="C124" s="6">
        <v>7</v>
      </c>
      <c r="D124" s="6">
        <v>9</v>
      </c>
      <c r="E124" s="6">
        <v>8</v>
      </c>
      <c r="F124" s="6">
        <v>24</v>
      </c>
      <c r="G124" s="6">
        <v>123</v>
      </c>
      <c r="H124" s="7"/>
    </row>
    <row r="125" spans="1:8">
      <c r="A125" s="4" t="s">
        <v>321</v>
      </c>
      <c r="B125" s="5">
        <v>547</v>
      </c>
      <c r="C125" s="6">
        <v>7</v>
      </c>
      <c r="D125" s="6">
        <v>10</v>
      </c>
      <c r="E125" s="6">
        <v>7</v>
      </c>
      <c r="F125" s="6">
        <v>24</v>
      </c>
      <c r="G125" s="6">
        <v>124</v>
      </c>
      <c r="H125" s="7"/>
    </row>
    <row r="126" spans="1:8">
      <c r="A126" s="4" t="s">
        <v>357</v>
      </c>
      <c r="B126" s="5">
        <v>601</v>
      </c>
      <c r="C126" s="6">
        <v>8</v>
      </c>
      <c r="D126" s="6">
        <v>6</v>
      </c>
      <c r="E126" s="6">
        <v>10</v>
      </c>
      <c r="F126" s="6">
        <v>24</v>
      </c>
      <c r="G126" s="6">
        <v>125</v>
      </c>
      <c r="H126" s="7"/>
    </row>
    <row r="127" spans="1:8">
      <c r="A127" s="4" t="s">
        <v>427</v>
      </c>
      <c r="B127" s="5">
        <v>715</v>
      </c>
      <c r="C127" s="6">
        <v>6</v>
      </c>
      <c r="D127" s="6">
        <v>8</v>
      </c>
      <c r="E127" s="6">
        <v>10</v>
      </c>
      <c r="F127" s="6">
        <v>24</v>
      </c>
      <c r="G127" s="6">
        <v>126</v>
      </c>
      <c r="H127" s="7"/>
    </row>
    <row r="128" spans="1:8">
      <c r="A128" s="4" t="s">
        <v>15</v>
      </c>
      <c r="B128" s="5">
        <v>19</v>
      </c>
      <c r="C128" s="6">
        <v>5</v>
      </c>
      <c r="D128" s="6">
        <v>8</v>
      </c>
      <c r="E128" s="6">
        <v>10</v>
      </c>
      <c r="F128" s="6">
        <v>23</v>
      </c>
      <c r="G128" s="6">
        <v>127</v>
      </c>
      <c r="H128" s="7"/>
    </row>
    <row r="129" spans="1:8">
      <c r="A129" s="4" t="str">
        <f>HYPERLINK("https://scryfall.com/card/cn2/78/queen-marchesa","Queen Marchesa")</f>
        <v>Queen Marchesa</v>
      </c>
      <c r="B129" s="5">
        <v>20</v>
      </c>
      <c r="C129" s="6">
        <v>5</v>
      </c>
      <c r="D129" s="6">
        <v>10</v>
      </c>
      <c r="E129" s="6">
        <v>8</v>
      </c>
      <c r="F129" s="6">
        <v>23</v>
      </c>
      <c r="G129" s="6">
        <v>128</v>
      </c>
      <c r="H129" s="7"/>
    </row>
    <row r="130" spans="1:8">
      <c r="A130" s="4" t="str">
        <f>HYPERLINK("https://scryfall.com/card/pz2/65749/ramos-dragon-engine","Ramos, Dragon Engine")</f>
        <v>Ramos, Dragon Engine</v>
      </c>
      <c r="B130" s="5">
        <v>23</v>
      </c>
      <c r="C130" s="6">
        <v>4</v>
      </c>
      <c r="D130" s="6">
        <v>10</v>
      </c>
      <c r="E130" s="6">
        <v>9</v>
      </c>
      <c r="F130" s="6">
        <v>23</v>
      </c>
      <c r="G130" s="6">
        <v>129</v>
      </c>
      <c r="H130" s="7"/>
    </row>
    <row r="131" spans="1:8">
      <c r="A131" s="4" t="s">
        <v>17</v>
      </c>
      <c r="B131" s="5">
        <v>25</v>
      </c>
      <c r="C131" s="6">
        <v>7</v>
      </c>
      <c r="D131" s="6">
        <v>8</v>
      </c>
      <c r="E131" s="6">
        <v>8</v>
      </c>
      <c r="F131" s="6">
        <v>23</v>
      </c>
      <c r="G131" s="6">
        <v>130</v>
      </c>
      <c r="H131" s="7"/>
    </row>
    <row r="132" spans="1:8">
      <c r="A132" s="4" t="s">
        <v>20</v>
      </c>
      <c r="B132" s="5">
        <v>28</v>
      </c>
      <c r="C132" s="6">
        <v>8</v>
      </c>
      <c r="D132" s="6">
        <v>8</v>
      </c>
      <c r="E132" s="6">
        <v>7</v>
      </c>
      <c r="F132" s="6">
        <v>23</v>
      </c>
      <c r="G132" s="6">
        <v>131</v>
      </c>
      <c r="H132" s="7"/>
    </row>
    <row r="133" spans="1:8">
      <c r="A133" s="4" t="str">
        <f>HYPERLINK("https://scryfall.com/card/bfz/15/ulamog-the-ceaseless-hunger","Ulamog, the Ceaseless Hunger")</f>
        <v>Ulamog, the Ceaseless Hunger</v>
      </c>
      <c r="B133" s="5">
        <v>41</v>
      </c>
      <c r="C133" s="6">
        <v>7</v>
      </c>
      <c r="D133" s="6">
        <v>7</v>
      </c>
      <c r="E133" s="6">
        <v>9</v>
      </c>
      <c r="F133" s="6">
        <v>23</v>
      </c>
      <c r="G133" s="6">
        <v>132</v>
      </c>
      <c r="H133" s="7"/>
    </row>
    <row r="134" spans="1:8">
      <c r="A134" s="4" t="s">
        <v>31</v>
      </c>
      <c r="B134" s="5">
        <v>46</v>
      </c>
      <c r="C134" s="6">
        <v>8</v>
      </c>
      <c r="D134" s="6">
        <v>5</v>
      </c>
      <c r="E134" s="6">
        <v>10</v>
      </c>
      <c r="F134" s="6">
        <v>23</v>
      </c>
      <c r="G134" s="6">
        <v>133</v>
      </c>
      <c r="H134" s="7"/>
    </row>
    <row r="135" spans="1:8">
      <c r="A135" s="4" t="str">
        <f>HYPERLINK("https://scryfall.com/card/war/16/god-eternal-oketra","God-Eternal Oketra")</f>
        <v>God-Eternal Oketra</v>
      </c>
      <c r="B135" s="5">
        <v>55</v>
      </c>
      <c r="C135" s="6">
        <v>6</v>
      </c>
      <c r="D135" s="6">
        <v>7</v>
      </c>
      <c r="E135" s="6">
        <v>10</v>
      </c>
      <c r="F135" s="6">
        <v>23</v>
      </c>
      <c r="G135" s="6">
        <v>134</v>
      </c>
      <c r="H135" s="7"/>
    </row>
    <row r="136" spans="1:8">
      <c r="A136" s="4" t="s">
        <v>35</v>
      </c>
      <c r="B136" s="5">
        <v>57</v>
      </c>
      <c r="C136" s="6">
        <v>8</v>
      </c>
      <c r="D136" s="6">
        <v>6</v>
      </c>
      <c r="E136" s="6">
        <v>9</v>
      </c>
      <c r="F136" s="6">
        <v>23</v>
      </c>
      <c r="G136" s="6">
        <v>135</v>
      </c>
      <c r="H136" s="7"/>
    </row>
    <row r="137" spans="1:8">
      <c r="A137" s="4" t="s">
        <v>36</v>
      </c>
      <c r="B137" s="5">
        <v>58</v>
      </c>
      <c r="C137" s="6">
        <v>8</v>
      </c>
      <c r="D137" s="6">
        <v>5</v>
      </c>
      <c r="E137" s="6">
        <v>10</v>
      </c>
      <c r="F137" s="6">
        <v>23</v>
      </c>
      <c r="G137" s="6">
        <v>136</v>
      </c>
      <c r="H137" s="7"/>
    </row>
    <row r="138" spans="1:8">
      <c r="A138" s="4" t="s">
        <v>39</v>
      </c>
      <c r="B138" s="5">
        <v>63</v>
      </c>
      <c r="C138" s="6">
        <v>4</v>
      </c>
      <c r="D138" s="6">
        <v>9</v>
      </c>
      <c r="E138" s="6">
        <v>10</v>
      </c>
      <c r="F138" s="6">
        <v>23</v>
      </c>
      <c r="G138" s="6">
        <v>137</v>
      </c>
      <c r="H138" s="7"/>
    </row>
    <row r="139" spans="1:8">
      <c r="A139" s="4" t="s">
        <v>42</v>
      </c>
      <c r="B139" s="5">
        <v>66</v>
      </c>
      <c r="C139" s="6">
        <v>7</v>
      </c>
      <c r="D139" s="6">
        <v>6</v>
      </c>
      <c r="E139" s="6">
        <v>10</v>
      </c>
      <c r="F139" s="6">
        <v>23</v>
      </c>
      <c r="G139" s="6">
        <v>138</v>
      </c>
      <c r="H139" s="7"/>
    </row>
    <row r="140" spans="1:8">
      <c r="A140" s="10" t="s">
        <v>44</v>
      </c>
      <c r="B140" s="5">
        <v>69</v>
      </c>
      <c r="C140" s="11">
        <v>6</v>
      </c>
      <c r="D140" s="11">
        <v>9</v>
      </c>
      <c r="E140" s="11">
        <v>8</v>
      </c>
      <c r="F140" s="11">
        <v>23</v>
      </c>
      <c r="G140" s="6">
        <v>139</v>
      </c>
      <c r="H140" s="7"/>
    </row>
    <row r="141" spans="1:8">
      <c r="A141" s="4" t="s">
        <v>51</v>
      </c>
      <c r="B141" s="5">
        <v>78</v>
      </c>
      <c r="C141" s="6">
        <v>5</v>
      </c>
      <c r="D141" s="6">
        <v>8</v>
      </c>
      <c r="E141" s="6">
        <v>10</v>
      </c>
      <c r="F141" s="6">
        <v>23</v>
      </c>
      <c r="G141" s="6">
        <v>140</v>
      </c>
      <c r="H141" s="7"/>
    </row>
    <row r="142" spans="1:8">
      <c r="A142" s="4" t="s">
        <v>53</v>
      </c>
      <c r="B142" s="5">
        <v>81</v>
      </c>
      <c r="C142" s="6">
        <v>7</v>
      </c>
      <c r="D142" s="6">
        <v>8</v>
      </c>
      <c r="E142" s="6">
        <v>8</v>
      </c>
      <c r="F142" s="6">
        <v>23</v>
      </c>
      <c r="G142" s="6">
        <v>141</v>
      </c>
      <c r="H142" s="7"/>
    </row>
    <row r="143" spans="1:8">
      <c r="A143" s="4" t="s">
        <v>57</v>
      </c>
      <c r="B143" s="5">
        <v>91</v>
      </c>
      <c r="C143" s="6">
        <v>4</v>
      </c>
      <c r="D143" s="6">
        <v>10</v>
      </c>
      <c r="E143" s="6">
        <v>9</v>
      </c>
      <c r="F143" s="6">
        <v>23</v>
      </c>
      <c r="G143" s="6">
        <v>142</v>
      </c>
      <c r="H143" s="7"/>
    </row>
    <row r="144" spans="1:8">
      <c r="A144" s="4" t="s">
        <v>63</v>
      </c>
      <c r="B144" s="5">
        <v>98</v>
      </c>
      <c r="C144" s="6">
        <v>6</v>
      </c>
      <c r="D144" s="6">
        <v>7</v>
      </c>
      <c r="E144" s="6">
        <v>10</v>
      </c>
      <c r="F144" s="6">
        <v>23</v>
      </c>
      <c r="G144" s="6">
        <v>143</v>
      </c>
      <c r="H144" s="7"/>
    </row>
    <row r="145" spans="1:8">
      <c r="A145" s="4" t="s">
        <v>67</v>
      </c>
      <c r="B145" s="5">
        <v>104</v>
      </c>
      <c r="C145" s="6">
        <v>3</v>
      </c>
      <c r="D145" s="6">
        <v>10</v>
      </c>
      <c r="E145" s="6">
        <v>10</v>
      </c>
      <c r="F145" s="6">
        <v>23</v>
      </c>
      <c r="G145" s="6">
        <v>144</v>
      </c>
      <c r="H145" s="7"/>
    </row>
    <row r="146" spans="1:8">
      <c r="A146" s="4" t="str">
        <f>HYPERLINK("https://scryfall.com/card/grn/192/niv-mizzet-parun","Niv-Mizzet, Parun")</f>
        <v>Niv-Mizzet, Parun</v>
      </c>
      <c r="B146" s="5">
        <v>108</v>
      </c>
      <c r="C146" s="6">
        <v>7</v>
      </c>
      <c r="D146" s="6">
        <v>8</v>
      </c>
      <c r="E146" s="6">
        <v>8</v>
      </c>
      <c r="F146" s="6">
        <v>23</v>
      </c>
      <c r="G146" s="6">
        <v>145</v>
      </c>
      <c r="H146" s="7"/>
    </row>
    <row r="147" spans="1:8">
      <c r="A147" s="4" t="s">
        <v>73</v>
      </c>
      <c r="B147" s="5">
        <v>115</v>
      </c>
      <c r="C147" s="6">
        <v>4</v>
      </c>
      <c r="D147" s="6">
        <v>9</v>
      </c>
      <c r="E147" s="6">
        <v>10</v>
      </c>
      <c r="F147" s="6">
        <v>23</v>
      </c>
      <c r="G147" s="6">
        <v>146</v>
      </c>
      <c r="H147" s="7"/>
    </row>
    <row r="148" spans="1:8">
      <c r="A148" s="4" t="s">
        <v>76</v>
      </c>
      <c r="B148" s="5">
        <v>119</v>
      </c>
      <c r="C148" s="6">
        <v>7</v>
      </c>
      <c r="D148" s="6">
        <v>8</v>
      </c>
      <c r="E148" s="6">
        <v>8</v>
      </c>
      <c r="F148" s="6">
        <v>23</v>
      </c>
      <c r="G148" s="6">
        <v>147</v>
      </c>
      <c r="H148" s="7"/>
    </row>
    <row r="149" spans="1:8">
      <c r="A149" s="4" t="str">
        <f>HYPERLINK("https://scryfall.com/card/c20/18/xyris-the-writhing-storm","Xyris, the Writhing Storm")</f>
        <v>Xyris, the Writhing Storm</v>
      </c>
      <c r="B149" s="5">
        <v>120</v>
      </c>
      <c r="C149" s="6">
        <v>7</v>
      </c>
      <c r="D149" s="6">
        <v>10</v>
      </c>
      <c r="E149" s="6">
        <v>6</v>
      </c>
      <c r="F149" s="6">
        <v>23</v>
      </c>
      <c r="G149" s="6">
        <v>148</v>
      </c>
      <c r="H149" s="7"/>
    </row>
    <row r="150" spans="1:8">
      <c r="A150" s="4" t="str">
        <f>HYPERLINK("https://scryfall.com/card/cma/180/kaalia-of-the-vast","Kaalia of the Vast")</f>
        <v>Kaalia of the Vast</v>
      </c>
      <c r="B150" s="5">
        <v>121</v>
      </c>
      <c r="C150" s="6">
        <v>5</v>
      </c>
      <c r="D150" s="6">
        <v>10</v>
      </c>
      <c r="E150" s="6">
        <v>8</v>
      </c>
      <c r="F150" s="6">
        <v>23</v>
      </c>
      <c r="G150" s="6">
        <v>149</v>
      </c>
      <c r="H150" s="7"/>
    </row>
    <row r="151" spans="1:8">
      <c r="A151" s="4" t="str">
        <f>HYPERLINK("https://scryfall.com/card/c17/40/licia-sanguine-tribune","Licia, Sanguine Tribune")</f>
        <v>Licia, Sanguine Tribune</v>
      </c>
      <c r="B151" s="5">
        <v>122</v>
      </c>
      <c r="C151" s="6">
        <v>5</v>
      </c>
      <c r="D151" s="6">
        <v>10</v>
      </c>
      <c r="E151" s="6">
        <v>8</v>
      </c>
      <c r="F151" s="6">
        <v>23</v>
      </c>
      <c r="G151" s="6">
        <v>150</v>
      </c>
      <c r="H151" s="7"/>
    </row>
    <row r="152" spans="1:8">
      <c r="A152" s="4" t="str">
        <f>HYPERLINK("https://scryfall.com/card/m20/216/omnath-locus-of-the-roil","Omnath, Locus of the Roil")</f>
        <v>Omnath, Locus of the Roil</v>
      </c>
      <c r="B152" s="5">
        <v>130</v>
      </c>
      <c r="C152" s="6">
        <v>5</v>
      </c>
      <c r="D152" s="6">
        <v>10</v>
      </c>
      <c r="E152" s="6">
        <v>8</v>
      </c>
      <c r="F152" s="6">
        <v>23</v>
      </c>
      <c r="G152" s="6">
        <v>151</v>
      </c>
      <c r="H152" s="7"/>
    </row>
    <row r="153" spans="1:8">
      <c r="A153" s="4" t="str">
        <f>HYPERLINK("https://scryfall.com/card/ths/135/purphoros-god-of-the-forge","Purphoros, God of the Forge")</f>
        <v>Purphoros, God of the Forge</v>
      </c>
      <c r="B153" s="5">
        <v>135</v>
      </c>
      <c r="C153" s="6">
        <v>5</v>
      </c>
      <c r="D153" s="6">
        <v>8</v>
      </c>
      <c r="E153" s="6">
        <v>10</v>
      </c>
      <c r="F153" s="6">
        <v>23</v>
      </c>
      <c r="G153" s="6">
        <v>152</v>
      </c>
      <c r="H153" s="7"/>
    </row>
    <row r="154" spans="1:8">
      <c r="A154" s="4" t="str">
        <f>HYPERLINK("https://scryfall.com/card/cma/176/derevi-empyrial-tactician","Derevi, Empyrial Tactician")</f>
        <v>Derevi, Empyrial Tactician</v>
      </c>
      <c r="B154" s="5">
        <v>136</v>
      </c>
      <c r="C154" s="6">
        <v>9</v>
      </c>
      <c r="D154" s="6">
        <v>6</v>
      </c>
      <c r="E154" s="6">
        <v>8</v>
      </c>
      <c r="F154" s="6">
        <v>23</v>
      </c>
      <c r="G154" s="6">
        <v>153</v>
      </c>
      <c r="H154" s="7"/>
    </row>
    <row r="155" spans="1:8">
      <c r="A155" s="4" t="s">
        <v>82</v>
      </c>
      <c r="B155" s="5">
        <v>140</v>
      </c>
      <c r="C155" s="6">
        <v>6</v>
      </c>
      <c r="D155" s="6">
        <v>8</v>
      </c>
      <c r="E155" s="6">
        <v>9</v>
      </c>
      <c r="F155" s="6">
        <v>23</v>
      </c>
      <c r="G155" s="6">
        <v>154</v>
      </c>
      <c r="H155" s="7"/>
    </row>
    <row r="156" spans="1:8">
      <c r="A156" s="4" t="s">
        <v>83</v>
      </c>
      <c r="B156" s="5">
        <v>142</v>
      </c>
      <c r="C156" s="6">
        <v>4</v>
      </c>
      <c r="D156" s="6">
        <v>10</v>
      </c>
      <c r="E156" s="6">
        <v>9</v>
      </c>
      <c r="F156" s="6">
        <v>23</v>
      </c>
      <c r="G156" s="6">
        <v>155</v>
      </c>
      <c r="H156" s="7"/>
    </row>
    <row r="157" spans="1:8">
      <c r="A157" s="4" t="str">
        <f>HYPERLINK("https://scryfall.com/card/iko/379/illuna-apex-of-wishes","Illuna, Apex of Wishes")</f>
        <v>Illuna, Apex of Wishes</v>
      </c>
      <c r="B157" s="5">
        <v>145</v>
      </c>
      <c r="C157" s="6">
        <v>6</v>
      </c>
      <c r="D157" s="6">
        <v>7</v>
      </c>
      <c r="E157" s="6">
        <v>10</v>
      </c>
      <c r="F157" s="6">
        <v>23</v>
      </c>
      <c r="G157" s="6">
        <v>156</v>
      </c>
      <c r="H157" s="7"/>
    </row>
    <row r="158" spans="1:8">
      <c r="A158" s="4" t="s">
        <v>93</v>
      </c>
      <c r="B158" s="5">
        <v>156</v>
      </c>
      <c r="C158" s="6">
        <v>4</v>
      </c>
      <c r="D158" s="6">
        <v>9</v>
      </c>
      <c r="E158" s="6">
        <v>10</v>
      </c>
      <c r="F158" s="6">
        <v>23</v>
      </c>
      <c r="G158" s="6">
        <v>157</v>
      </c>
      <c r="H158" s="7"/>
    </row>
    <row r="159" spans="1:8">
      <c r="A159" s="4" t="s">
        <v>101</v>
      </c>
      <c r="B159" s="5">
        <v>166</v>
      </c>
      <c r="C159" s="6">
        <v>7</v>
      </c>
      <c r="D159" s="6">
        <v>6</v>
      </c>
      <c r="E159" s="6">
        <v>10</v>
      </c>
      <c r="F159" s="6">
        <v>23</v>
      </c>
      <c r="G159" s="6">
        <v>158</v>
      </c>
      <c r="H159" s="7"/>
    </row>
    <row r="160" spans="1:8">
      <c r="A160" s="4" t="str">
        <f>HYPERLINK("https://scryfall.com/card/hou/139/the-locust-god","The Locust God")</f>
        <v>The Locust God</v>
      </c>
      <c r="B160" s="5">
        <v>182</v>
      </c>
      <c r="C160" s="6">
        <v>6</v>
      </c>
      <c r="D160" s="6">
        <v>8</v>
      </c>
      <c r="E160" s="6">
        <v>9</v>
      </c>
      <c r="F160" s="6">
        <v>23</v>
      </c>
      <c r="G160" s="6">
        <v>159</v>
      </c>
      <c r="H160" s="7"/>
    </row>
    <row r="161" spans="1:8">
      <c r="A161" s="4" t="str">
        <f>HYPERLINK("https://scryfall.com/card/mh1/200/the-first-sliver","The First Sliver")</f>
        <v>The First Sliver</v>
      </c>
      <c r="B161" s="5">
        <v>187</v>
      </c>
      <c r="C161" s="6">
        <v>8</v>
      </c>
      <c r="D161" s="6">
        <v>10</v>
      </c>
      <c r="E161" s="6">
        <v>5</v>
      </c>
      <c r="F161" s="6">
        <v>23</v>
      </c>
      <c r="G161" s="6">
        <v>160</v>
      </c>
      <c r="H161" s="7"/>
    </row>
    <row r="162" spans="1:8">
      <c r="A162" s="4" t="str">
        <f>HYPERLINK("https://scryfall.com/card/c16/34/kraum-ludevics-opus","Kraum, Ludevic's Opus")</f>
        <v>Kraum, Ludevic's Opus</v>
      </c>
      <c r="B162" s="5">
        <v>190</v>
      </c>
      <c r="C162" s="6">
        <v>6</v>
      </c>
      <c r="D162" s="6">
        <v>7</v>
      </c>
      <c r="E162" s="6">
        <v>10</v>
      </c>
      <c r="F162" s="6">
        <v>23</v>
      </c>
      <c r="G162" s="6">
        <v>161</v>
      </c>
      <c r="H162" s="7"/>
    </row>
    <row r="163" spans="1:8">
      <c r="A163" s="4" t="s">
        <v>110</v>
      </c>
      <c r="B163" s="5">
        <v>191</v>
      </c>
      <c r="C163" s="6">
        <v>5</v>
      </c>
      <c r="D163" s="6">
        <v>8</v>
      </c>
      <c r="E163" s="6">
        <v>10</v>
      </c>
      <c r="F163" s="6">
        <v>23</v>
      </c>
      <c r="G163" s="6">
        <v>162</v>
      </c>
      <c r="H163" s="7"/>
    </row>
    <row r="164" spans="1:8">
      <c r="A164" s="4" t="str">
        <f>HYPERLINK("https://scryfall.com/card/rix/162/kumena-tyrant-of-orazca","Kumena, Tyrant of Orazca")</f>
        <v>Kumena, Tyrant of Orazca</v>
      </c>
      <c r="B164" s="5">
        <v>202</v>
      </c>
      <c r="C164" s="6">
        <v>5</v>
      </c>
      <c r="D164" s="6">
        <v>10</v>
      </c>
      <c r="E164" s="6">
        <v>8</v>
      </c>
      <c r="F164" s="6">
        <v>23</v>
      </c>
      <c r="G164" s="6">
        <v>163</v>
      </c>
      <c r="H164" s="7"/>
    </row>
    <row r="165" spans="1:8">
      <c r="A165" s="4" t="s">
        <v>127</v>
      </c>
      <c r="B165" s="5">
        <v>218</v>
      </c>
      <c r="C165" s="6">
        <v>6</v>
      </c>
      <c r="D165" s="6">
        <v>10</v>
      </c>
      <c r="E165" s="6">
        <v>7</v>
      </c>
      <c r="F165" s="6">
        <v>23</v>
      </c>
      <c r="G165" s="6">
        <v>164</v>
      </c>
      <c r="H165" s="7"/>
    </row>
    <row r="166" spans="1:8">
      <c r="A166" s="4" t="s">
        <v>136</v>
      </c>
      <c r="B166" s="5">
        <v>229</v>
      </c>
      <c r="C166" s="6">
        <v>7</v>
      </c>
      <c r="D166" s="6">
        <v>8</v>
      </c>
      <c r="E166" s="6">
        <v>8</v>
      </c>
      <c r="F166" s="6">
        <v>23</v>
      </c>
      <c r="G166" s="6">
        <v>165</v>
      </c>
      <c r="H166" s="7"/>
    </row>
    <row r="167" spans="1:8">
      <c r="A167" s="4" t="s">
        <v>140</v>
      </c>
      <c r="B167" s="5">
        <v>234</v>
      </c>
      <c r="C167" s="6">
        <v>3</v>
      </c>
      <c r="D167" s="6">
        <v>10</v>
      </c>
      <c r="E167" s="6">
        <v>10</v>
      </c>
      <c r="F167" s="6">
        <v>23</v>
      </c>
      <c r="G167" s="6">
        <v>166</v>
      </c>
      <c r="H167" s="7"/>
    </row>
    <row r="168" spans="1:8">
      <c r="A168" s="4" t="str">
        <f>HYPERLINK("https://scryfall.com/card/c20/7/gavi-nest-warden","Gavi, Nest Warden")</f>
        <v>Gavi, Nest Warden</v>
      </c>
      <c r="B168" s="5">
        <v>236</v>
      </c>
      <c r="C168" s="6">
        <v>6</v>
      </c>
      <c r="D168" s="6">
        <v>10</v>
      </c>
      <c r="E168" s="6">
        <v>7</v>
      </c>
      <c r="F168" s="6">
        <v>23</v>
      </c>
      <c r="G168" s="6">
        <v>167</v>
      </c>
      <c r="H168" s="7"/>
    </row>
    <row r="169" spans="1:8">
      <c r="A169" s="4" t="str">
        <f>HYPERLINK("https://scryfall.com/card/iko/162/kogla-the-titan-ape","Kogla, the Titan Ape")</f>
        <v>Kogla, the Titan Ape</v>
      </c>
      <c r="B169" s="5">
        <v>252</v>
      </c>
      <c r="C169" s="6">
        <v>5</v>
      </c>
      <c r="D169" s="6">
        <v>9</v>
      </c>
      <c r="E169" s="6">
        <v>9</v>
      </c>
      <c r="F169" s="6">
        <v>23</v>
      </c>
      <c r="G169" s="6">
        <v>168</v>
      </c>
      <c r="H169" s="7"/>
    </row>
    <row r="170" spans="1:8">
      <c r="A170" s="4" t="str">
        <f>HYPERLINK("https://scryfall.com/card/kld/184/rashmi-eternities-crafter","Rashmi, Eternities Crafter")</f>
        <v>Rashmi, Eternities Crafter</v>
      </c>
      <c r="B170" s="5">
        <v>255</v>
      </c>
      <c r="C170" s="6">
        <v>6</v>
      </c>
      <c r="D170" s="6">
        <v>8</v>
      </c>
      <c r="E170" s="6">
        <v>9</v>
      </c>
      <c r="F170" s="6">
        <v>23</v>
      </c>
      <c r="G170" s="6">
        <v>169</v>
      </c>
      <c r="H170" s="7"/>
    </row>
    <row r="171" spans="1:8">
      <c r="A171" s="4" t="str">
        <f>HYPERLINK("https://scryfall.com/card/c13/198/marath-will-of-the-wild","Marath, Will of the Wild")</f>
        <v>Marath, Will of the Wild</v>
      </c>
      <c r="B171" s="5">
        <v>262</v>
      </c>
      <c r="C171" s="6">
        <v>7</v>
      </c>
      <c r="D171" s="6">
        <v>10</v>
      </c>
      <c r="E171" s="6">
        <v>6</v>
      </c>
      <c r="F171" s="6">
        <v>23</v>
      </c>
      <c r="G171" s="6">
        <v>170</v>
      </c>
      <c r="H171" s="7"/>
    </row>
    <row r="172" spans="1:8">
      <c r="A172" s="4" t="str">
        <f>HYPERLINK("https://scryfall.com/card/c16/119/alesha-who-smiles-at-death","Alesha, Who Smiles at Death")</f>
        <v>Alesha, Who Smiles at Death</v>
      </c>
      <c r="B172" s="5">
        <v>292</v>
      </c>
      <c r="C172" s="6">
        <v>8</v>
      </c>
      <c r="D172" s="6">
        <v>8</v>
      </c>
      <c r="E172" s="6">
        <v>7</v>
      </c>
      <c r="F172" s="6">
        <v>23</v>
      </c>
      <c r="G172" s="6">
        <v>171</v>
      </c>
      <c r="H172" s="7"/>
    </row>
    <row r="173" spans="1:8">
      <c r="A173" s="4" t="str">
        <f>HYPERLINK("https://scryfall.com/card/c15/44/ezuri-claw-of-progress","Ezuri, Claw of Progress")</f>
        <v>Ezuri, Claw of Progress</v>
      </c>
      <c r="B173" s="5">
        <v>297</v>
      </c>
      <c r="C173" s="6">
        <v>6</v>
      </c>
      <c r="D173" s="6">
        <v>8</v>
      </c>
      <c r="E173" s="6">
        <v>9</v>
      </c>
      <c r="F173" s="6">
        <v>23</v>
      </c>
      <c r="G173" s="6">
        <v>172</v>
      </c>
      <c r="H173" s="7"/>
    </row>
    <row r="174" spans="1:8">
      <c r="A174" s="4" t="s">
        <v>168</v>
      </c>
      <c r="B174" s="5">
        <v>298</v>
      </c>
      <c r="C174" s="6">
        <v>5</v>
      </c>
      <c r="D174" s="6">
        <v>8</v>
      </c>
      <c r="E174" s="6">
        <v>10</v>
      </c>
      <c r="F174" s="6">
        <v>23</v>
      </c>
      <c r="G174" s="6">
        <v>173</v>
      </c>
      <c r="H174" s="7"/>
    </row>
    <row r="175" spans="1:8">
      <c r="A175" s="4" t="s">
        <v>171</v>
      </c>
      <c r="B175" s="5">
        <v>301</v>
      </c>
      <c r="C175" s="6">
        <v>5</v>
      </c>
      <c r="D175" s="6">
        <v>10</v>
      </c>
      <c r="E175" s="6">
        <v>8</v>
      </c>
      <c r="F175" s="6">
        <v>23</v>
      </c>
      <c r="G175" s="6">
        <v>174</v>
      </c>
      <c r="H175" s="7"/>
    </row>
    <row r="176" spans="1:8">
      <c r="A176" s="4" t="s">
        <v>178</v>
      </c>
      <c r="B176" s="5">
        <v>314</v>
      </c>
      <c r="C176" s="6">
        <v>5</v>
      </c>
      <c r="D176" s="6">
        <v>9</v>
      </c>
      <c r="E176" s="6">
        <v>9</v>
      </c>
      <c r="F176" s="6">
        <v>23</v>
      </c>
      <c r="G176" s="6">
        <v>175</v>
      </c>
      <c r="H176" s="7"/>
    </row>
    <row r="177" spans="1:8">
      <c r="A177" s="4" t="str">
        <f>HYPERLINK("https://scryfall.com/card/eld/324/alela-artful-provocateur","Alela, Artful Provocateur")</f>
        <v>Alela, Artful Provocateur</v>
      </c>
      <c r="B177" s="5">
        <v>320</v>
      </c>
      <c r="C177" s="6">
        <v>6</v>
      </c>
      <c r="D177" s="6">
        <v>8</v>
      </c>
      <c r="E177" s="6">
        <v>9</v>
      </c>
      <c r="F177" s="6">
        <v>23</v>
      </c>
      <c r="G177" s="6">
        <v>176</v>
      </c>
      <c r="H177" s="7"/>
    </row>
    <row r="178" spans="1:8">
      <c r="A178" s="4" t="s">
        <v>193</v>
      </c>
      <c r="B178" s="5">
        <v>345</v>
      </c>
      <c r="C178" s="6">
        <v>3</v>
      </c>
      <c r="D178" s="6">
        <v>10</v>
      </c>
      <c r="E178" s="6">
        <v>10</v>
      </c>
      <c r="F178" s="6">
        <v>23</v>
      </c>
      <c r="G178" s="6">
        <v>177</v>
      </c>
      <c r="H178" s="7"/>
    </row>
    <row r="179" spans="1:8">
      <c r="A179" s="4" t="str">
        <f>HYPERLINK("https://scryfall.com/card/c20/9/kalamax-the-stormsire","Kalamax, the Stormsire")</f>
        <v>Kalamax, the Stormsire</v>
      </c>
      <c r="B179" s="5">
        <v>347</v>
      </c>
      <c r="C179" s="6">
        <v>7</v>
      </c>
      <c r="D179" s="6">
        <v>9</v>
      </c>
      <c r="E179" s="6">
        <v>7</v>
      </c>
      <c r="F179" s="6">
        <v>23</v>
      </c>
      <c r="G179" s="6">
        <v>178</v>
      </c>
      <c r="H179" s="7"/>
    </row>
    <row r="180" spans="1:8">
      <c r="A180" s="4" t="str">
        <f>HYPERLINK("https://scryfall.com/card/cmd/207/karador-ghost-chieftain","Karador, Ghost Chieftain")</f>
        <v>Karador, Ghost Chieftain</v>
      </c>
      <c r="B180" s="5">
        <v>352</v>
      </c>
      <c r="C180" s="6">
        <v>7</v>
      </c>
      <c r="D180" s="6">
        <v>10</v>
      </c>
      <c r="E180" s="6">
        <v>6</v>
      </c>
      <c r="F180" s="6">
        <v>23</v>
      </c>
      <c r="G180" s="6">
        <v>179</v>
      </c>
      <c r="H180" s="7"/>
    </row>
    <row r="181" spans="1:8">
      <c r="A181" s="4" t="s">
        <v>200</v>
      </c>
      <c r="B181" s="5">
        <v>356</v>
      </c>
      <c r="C181" s="6">
        <v>5</v>
      </c>
      <c r="D181" s="6">
        <v>8</v>
      </c>
      <c r="E181" s="6">
        <v>10</v>
      </c>
      <c r="F181" s="6">
        <v>23</v>
      </c>
      <c r="G181" s="6">
        <v>180</v>
      </c>
      <c r="H181" s="7"/>
    </row>
    <row r="182" spans="1:8">
      <c r="A182" s="4" t="str">
        <f>HYPERLINK("https://scryfall.com/card/a25/161/azusa-lost-but-seeking","Azusa, Lost but Seeking")</f>
        <v>Azusa, Lost but Seeking</v>
      </c>
      <c r="B182" s="5">
        <v>363</v>
      </c>
      <c r="C182" s="6">
        <v>8</v>
      </c>
      <c r="D182" s="6">
        <v>8</v>
      </c>
      <c r="E182" s="6">
        <v>7</v>
      </c>
      <c r="F182" s="6">
        <v>23</v>
      </c>
      <c r="G182" s="6">
        <v>181</v>
      </c>
      <c r="H182" s="7"/>
    </row>
    <row r="183" spans="1:8">
      <c r="A183" s="4" t="str">
        <f>HYPERLINK("https://scryfall.com/card/c19/38/atla-palani-nest-tender","Atla Palani, Nest Tender")</f>
        <v>Atla Palani, Nest Tender</v>
      </c>
      <c r="B183" s="5">
        <v>367</v>
      </c>
      <c r="C183" s="6">
        <v>5</v>
      </c>
      <c r="D183" s="6">
        <v>10</v>
      </c>
      <c r="E183" s="6">
        <v>8</v>
      </c>
      <c r="F183" s="6">
        <v>23</v>
      </c>
      <c r="G183" s="6">
        <v>182</v>
      </c>
      <c r="H183" s="7"/>
    </row>
    <row r="184" spans="1:8">
      <c r="A184" s="4" t="s">
        <v>206</v>
      </c>
      <c r="B184" s="5">
        <v>369</v>
      </c>
      <c r="C184" s="6">
        <v>6</v>
      </c>
      <c r="D184" s="6">
        <v>9</v>
      </c>
      <c r="E184" s="6">
        <v>8</v>
      </c>
      <c r="F184" s="6">
        <v>23</v>
      </c>
      <c r="G184" s="6">
        <v>183</v>
      </c>
      <c r="H184" s="7"/>
    </row>
    <row r="185" spans="1:8">
      <c r="A185" s="4" t="str">
        <f>HYPERLINK("https://scryfall.com/card/aer/23/sram-senior-edificer","Sram, Senior Edificer")</f>
        <v>Sram, Senior Edificer</v>
      </c>
      <c r="B185" s="5">
        <v>370</v>
      </c>
      <c r="C185" s="6">
        <v>6</v>
      </c>
      <c r="D185" s="6">
        <v>10</v>
      </c>
      <c r="E185" s="6">
        <v>7</v>
      </c>
      <c r="F185" s="6">
        <v>23</v>
      </c>
      <c r="G185" s="6">
        <v>184</v>
      </c>
      <c r="H185" s="7"/>
    </row>
    <row r="186" spans="1:8">
      <c r="A186" s="4" t="str">
        <f>HYPERLINK("https://scryfall.com/card/thb/71/thassa-deep-dwelling","Thassa, Deep-Dwelling")</f>
        <v>Thassa, Deep-Dwelling</v>
      </c>
      <c r="B186" s="5">
        <v>395</v>
      </c>
      <c r="C186" s="6">
        <v>6</v>
      </c>
      <c r="D186" s="6">
        <v>9</v>
      </c>
      <c r="E186" s="6">
        <v>8</v>
      </c>
      <c r="F186" s="6">
        <v>23</v>
      </c>
      <c r="G186" s="6">
        <v>185</v>
      </c>
      <c r="H186" s="7"/>
    </row>
    <row r="187" spans="1:8">
      <c r="A187" s="4" t="s">
        <v>240</v>
      </c>
      <c r="B187" s="5">
        <v>421</v>
      </c>
      <c r="C187" s="6">
        <v>7</v>
      </c>
      <c r="D187" s="6">
        <v>8</v>
      </c>
      <c r="E187" s="6">
        <v>8</v>
      </c>
      <c r="F187" s="6">
        <v>23</v>
      </c>
      <c r="G187" s="6">
        <v>186</v>
      </c>
      <c r="H187" s="7"/>
    </row>
    <row r="188" spans="1:8">
      <c r="A188" s="4" t="str">
        <f>HYPERLINK("https://scryfall.com/card/c20/17/ukkima-stalking-shadow","Ukkima, the Stalking Shadow")</f>
        <v>Ukkima, the Stalking Shadow</v>
      </c>
      <c r="B188" s="5">
        <v>426</v>
      </c>
      <c r="C188" s="6">
        <v>6</v>
      </c>
      <c r="D188" s="6">
        <v>8</v>
      </c>
      <c r="E188" s="6">
        <v>9</v>
      </c>
      <c r="F188" s="6">
        <v>23</v>
      </c>
      <c r="G188" s="6">
        <v>187</v>
      </c>
      <c r="H188" s="7"/>
    </row>
    <row r="189" spans="1:8">
      <c r="A189" s="4" t="s">
        <v>264</v>
      </c>
      <c r="B189" s="5">
        <v>456</v>
      </c>
      <c r="C189" s="6">
        <v>5</v>
      </c>
      <c r="D189" s="6">
        <v>9</v>
      </c>
      <c r="E189" s="6">
        <v>9</v>
      </c>
      <c r="F189" s="6">
        <v>23</v>
      </c>
      <c r="G189" s="6">
        <v>188</v>
      </c>
      <c r="H189" s="7"/>
    </row>
    <row r="190" spans="1:8">
      <c r="A190" s="4" t="str">
        <f>HYPERLINK("https://scryfall.com/card/iko/216/winota-joiner-of-forces","Winota, Joiner of Forces")</f>
        <v>Winota, Joiner of Forces</v>
      </c>
      <c r="B190" s="5">
        <v>467</v>
      </c>
      <c r="C190" s="6">
        <v>7</v>
      </c>
      <c r="D190" s="6">
        <v>10</v>
      </c>
      <c r="E190" s="6">
        <v>6</v>
      </c>
      <c r="F190" s="6">
        <v>23</v>
      </c>
      <c r="G190" s="6">
        <v>189</v>
      </c>
      <c r="H190" s="7"/>
    </row>
    <row r="191" spans="1:8">
      <c r="A191" s="4" t="s">
        <v>269</v>
      </c>
      <c r="B191" s="5">
        <v>468</v>
      </c>
      <c r="C191" s="6">
        <v>8</v>
      </c>
      <c r="D191" s="6">
        <v>8</v>
      </c>
      <c r="E191" s="6">
        <v>7</v>
      </c>
      <c r="F191" s="6">
        <v>23</v>
      </c>
      <c r="G191" s="6">
        <v>190</v>
      </c>
      <c r="H191" s="7"/>
    </row>
    <row r="192" spans="1:8">
      <c r="A192" s="4" t="str">
        <f>HYPERLINK("https://scryfall.com/card/iko/228/obosh-the-preypiercer","Obosh, the Preypiercer")</f>
        <v>Obosh, the Preypiercer</v>
      </c>
      <c r="B192" s="5">
        <v>478</v>
      </c>
      <c r="C192" s="6">
        <v>5</v>
      </c>
      <c r="D192" s="6">
        <v>8</v>
      </c>
      <c r="E192" s="6">
        <v>10</v>
      </c>
      <c r="F192" s="6">
        <v>23</v>
      </c>
      <c r="G192" s="6">
        <v>191</v>
      </c>
      <c r="H192" s="7"/>
    </row>
    <row r="193" spans="1:8">
      <c r="A193" s="4" t="s">
        <v>277</v>
      </c>
      <c r="B193" s="5">
        <v>479</v>
      </c>
      <c r="C193" s="6">
        <v>5</v>
      </c>
      <c r="D193" s="6">
        <v>9</v>
      </c>
      <c r="E193" s="6">
        <v>9</v>
      </c>
      <c r="F193" s="6">
        <v>23</v>
      </c>
      <c r="G193" s="6">
        <v>192</v>
      </c>
      <c r="H193" s="7"/>
    </row>
    <row r="194" spans="1:8">
      <c r="A194" s="4" t="s">
        <v>279</v>
      </c>
      <c r="B194" s="5">
        <v>484</v>
      </c>
      <c r="C194" s="6">
        <v>6</v>
      </c>
      <c r="D194" s="6">
        <v>8</v>
      </c>
      <c r="E194" s="6">
        <v>9</v>
      </c>
      <c r="F194" s="6">
        <v>23</v>
      </c>
      <c r="G194" s="6">
        <v>193</v>
      </c>
      <c r="H194" s="7"/>
    </row>
    <row r="195" spans="1:8">
      <c r="A195" s="4" t="s">
        <v>283</v>
      </c>
      <c r="B195" s="5">
        <v>489</v>
      </c>
      <c r="C195" s="6">
        <v>7</v>
      </c>
      <c r="D195" s="6">
        <v>8</v>
      </c>
      <c r="E195" s="6">
        <v>8</v>
      </c>
      <c r="F195" s="6">
        <v>23</v>
      </c>
      <c r="G195" s="6">
        <v>194</v>
      </c>
      <c r="H195" s="7"/>
    </row>
    <row r="196" spans="1:8">
      <c r="A196" s="4" t="s">
        <v>317</v>
      </c>
      <c r="B196" s="5">
        <v>538</v>
      </c>
      <c r="C196" s="6">
        <v>6</v>
      </c>
      <c r="D196" s="6">
        <v>9</v>
      </c>
      <c r="E196" s="6">
        <v>8</v>
      </c>
      <c r="F196" s="6">
        <v>23</v>
      </c>
      <c r="G196" s="6">
        <v>195</v>
      </c>
      <c r="H196" s="7"/>
    </row>
    <row r="197" spans="1:8">
      <c r="A197" s="4" t="s">
        <v>335</v>
      </c>
      <c r="B197" s="5">
        <v>571</v>
      </c>
      <c r="C197" s="6">
        <v>6</v>
      </c>
      <c r="D197" s="6">
        <v>8</v>
      </c>
      <c r="E197" s="6">
        <v>9</v>
      </c>
      <c r="F197" s="6">
        <v>23</v>
      </c>
      <c r="G197" s="6">
        <v>196</v>
      </c>
      <c r="H197" s="7"/>
    </row>
    <row r="198" spans="1:8">
      <c r="A198" s="4" t="s">
        <v>351</v>
      </c>
      <c r="B198" s="5">
        <v>592</v>
      </c>
      <c r="C198" s="6">
        <v>5</v>
      </c>
      <c r="D198" s="6">
        <v>10</v>
      </c>
      <c r="E198" s="6">
        <v>8</v>
      </c>
      <c r="F198" s="6">
        <v>23</v>
      </c>
      <c r="G198" s="6">
        <v>197</v>
      </c>
      <c r="H198" s="7"/>
    </row>
    <row r="199" spans="1:8">
      <c r="A199" s="4" t="s">
        <v>363</v>
      </c>
      <c r="B199" s="5">
        <v>615</v>
      </c>
      <c r="C199" s="6">
        <v>5</v>
      </c>
      <c r="D199" s="6">
        <v>10</v>
      </c>
      <c r="E199" s="6">
        <v>8</v>
      </c>
      <c r="F199" s="6">
        <v>23</v>
      </c>
      <c r="G199" s="6">
        <v>198</v>
      </c>
      <c r="H199" s="7"/>
    </row>
    <row r="200" spans="1:8">
      <c r="A200" s="4" t="s">
        <v>368</v>
      </c>
      <c r="B200" s="5">
        <v>620</v>
      </c>
      <c r="C200" s="6">
        <v>7</v>
      </c>
      <c r="D200" s="6">
        <v>7</v>
      </c>
      <c r="E200" s="6">
        <v>9</v>
      </c>
      <c r="F200" s="6">
        <v>23</v>
      </c>
      <c r="G200" s="6">
        <v>199</v>
      </c>
      <c r="H200" s="7"/>
    </row>
    <row r="201" spans="1:8">
      <c r="A201" s="4" t="s">
        <v>393</v>
      </c>
      <c r="B201" s="5">
        <v>663</v>
      </c>
      <c r="C201" s="6">
        <v>6</v>
      </c>
      <c r="D201" s="6">
        <v>8</v>
      </c>
      <c r="E201" s="6">
        <v>9</v>
      </c>
      <c r="F201" s="6">
        <v>23</v>
      </c>
      <c r="G201" s="6">
        <v>200</v>
      </c>
      <c r="H201" s="7"/>
    </row>
    <row r="202" spans="1:8">
      <c r="A202" s="4" t="s">
        <v>467</v>
      </c>
      <c r="B202" s="5">
        <v>764</v>
      </c>
      <c r="C202" s="6">
        <v>5</v>
      </c>
      <c r="D202" s="6">
        <v>9</v>
      </c>
      <c r="E202" s="6">
        <v>9</v>
      </c>
      <c r="F202" s="6">
        <v>23</v>
      </c>
      <c r="G202" s="6">
        <v>201</v>
      </c>
      <c r="H202" s="7"/>
    </row>
    <row r="203" spans="1:8">
      <c r="A203" s="4" t="s">
        <v>524</v>
      </c>
      <c r="B203" s="5">
        <v>856</v>
      </c>
      <c r="C203" s="6">
        <v>5</v>
      </c>
      <c r="D203" s="6">
        <v>8</v>
      </c>
      <c r="E203" s="6">
        <v>10</v>
      </c>
      <c r="F203" s="6">
        <v>23</v>
      </c>
      <c r="G203" s="6">
        <v>202</v>
      </c>
      <c r="H203" s="7"/>
    </row>
    <row r="204" spans="1:8">
      <c r="A204" s="4" t="str">
        <f>HYPERLINK("https://scryfall.com/card/c19/18/krrik-son-of-yawgmoth","K'rrik, Son of Yawgmoth")</f>
        <v>K'rrik, Son of Yawgmoth</v>
      </c>
      <c r="B204" s="5">
        <v>30</v>
      </c>
      <c r="C204" s="6">
        <v>9</v>
      </c>
      <c r="D204" s="6">
        <v>6</v>
      </c>
      <c r="E204" s="6">
        <v>7</v>
      </c>
      <c r="F204" s="6">
        <v>22</v>
      </c>
      <c r="G204" s="6">
        <v>203</v>
      </c>
      <c r="H204" s="7"/>
    </row>
    <row r="205" spans="1:8">
      <c r="A205" s="4" t="s">
        <v>25</v>
      </c>
      <c r="B205" s="5">
        <v>36</v>
      </c>
      <c r="C205" s="6">
        <v>6</v>
      </c>
      <c r="D205" s="6">
        <v>7</v>
      </c>
      <c r="E205" s="6">
        <v>9</v>
      </c>
      <c r="F205" s="6">
        <v>22</v>
      </c>
      <c r="G205" s="6">
        <v>204</v>
      </c>
      <c r="H205" s="7"/>
    </row>
    <row r="206" spans="1:8">
      <c r="A206" s="4" t="s">
        <v>27</v>
      </c>
      <c r="B206" s="5">
        <v>38</v>
      </c>
      <c r="C206" s="6">
        <v>6</v>
      </c>
      <c r="D206" s="6">
        <v>8</v>
      </c>
      <c r="E206" s="6">
        <v>8</v>
      </c>
      <c r="F206" s="6">
        <v>22</v>
      </c>
      <c r="G206" s="6">
        <v>205</v>
      </c>
      <c r="H206" s="7"/>
    </row>
    <row r="207" spans="1:8">
      <c r="A207" s="4" t="s">
        <v>30</v>
      </c>
      <c r="B207" s="5">
        <v>45</v>
      </c>
      <c r="C207" s="6">
        <v>3</v>
      </c>
      <c r="D207" s="6">
        <v>10</v>
      </c>
      <c r="E207" s="6">
        <v>9</v>
      </c>
      <c r="F207" s="6">
        <v>22</v>
      </c>
      <c r="G207" s="6">
        <v>206</v>
      </c>
      <c r="H207" s="7"/>
    </row>
    <row r="208" spans="1:8">
      <c r="A208" s="4" t="str">
        <f>HYPERLINK("https://scryfall.com/card/emn/6/emrakul-the-promised-end","Emrakul, the Promised End")</f>
        <v>Emrakul, the Promised End</v>
      </c>
      <c r="B208" s="5">
        <v>47</v>
      </c>
      <c r="C208" s="6">
        <v>7</v>
      </c>
      <c r="D208" s="6">
        <v>5</v>
      </c>
      <c r="E208" s="6">
        <v>10</v>
      </c>
      <c r="F208" s="6">
        <v>22</v>
      </c>
      <c r="G208" s="6">
        <v>207</v>
      </c>
      <c r="H208" s="7"/>
    </row>
    <row r="209" spans="1:8">
      <c r="A209" s="10" t="s">
        <v>34</v>
      </c>
      <c r="B209" s="5">
        <v>53</v>
      </c>
      <c r="C209" s="11">
        <v>4</v>
      </c>
      <c r="D209" s="11">
        <v>9</v>
      </c>
      <c r="E209" s="11">
        <v>9</v>
      </c>
      <c r="F209" s="11">
        <v>22</v>
      </c>
      <c r="G209" s="6">
        <v>208</v>
      </c>
      <c r="H209" s="7"/>
    </row>
    <row r="210" spans="1:8">
      <c r="A210" s="4" t="s">
        <v>37</v>
      </c>
      <c r="B210" s="5">
        <v>59</v>
      </c>
      <c r="C210" s="6">
        <v>8</v>
      </c>
      <c r="D210" s="6">
        <v>6</v>
      </c>
      <c r="E210" s="6">
        <v>8</v>
      </c>
      <c r="F210" s="6">
        <v>22</v>
      </c>
      <c r="G210" s="6">
        <v>209</v>
      </c>
      <c r="H210" s="7"/>
    </row>
    <row r="211" spans="1:8">
      <c r="A211" s="4" t="str">
        <f>HYPERLINK("https://scryfall.com/card/mh1/29/sisay-weatherlight-captain","Sisay, Weatherlight Captain")</f>
        <v>Sisay, Weatherlight Captain</v>
      </c>
      <c r="B211" s="5">
        <v>60</v>
      </c>
      <c r="C211" s="6">
        <v>4</v>
      </c>
      <c r="D211" s="6">
        <v>10</v>
      </c>
      <c r="E211" s="6">
        <v>8</v>
      </c>
      <c r="F211" s="6">
        <v>22</v>
      </c>
      <c r="G211" s="6">
        <v>210</v>
      </c>
      <c r="H211" s="7"/>
    </row>
    <row r="212" spans="1:8">
      <c r="A212" s="4" t="str">
        <f>HYPERLINK("https://scryfall.com/card/bbd/11/pir-imaginative-rascal","Pir, Imaginative Rascal")</f>
        <v>Pir, Imaginative Rascal</v>
      </c>
      <c r="B212" s="5">
        <v>67</v>
      </c>
      <c r="C212" s="6">
        <v>6</v>
      </c>
      <c r="D212" s="6">
        <v>10</v>
      </c>
      <c r="E212" s="6">
        <v>6</v>
      </c>
      <c r="F212" s="6">
        <v>22</v>
      </c>
      <c r="G212" s="6">
        <v>211</v>
      </c>
      <c r="H212" s="7"/>
    </row>
    <row r="213" spans="1:8">
      <c r="A213" s="4" t="s">
        <v>43</v>
      </c>
      <c r="B213" s="5">
        <v>68</v>
      </c>
      <c r="C213" s="6">
        <v>6</v>
      </c>
      <c r="D213" s="6">
        <v>6</v>
      </c>
      <c r="E213" s="6">
        <v>10</v>
      </c>
      <c r="F213" s="6">
        <v>22</v>
      </c>
      <c r="G213" s="6">
        <v>212</v>
      </c>
      <c r="H213" s="7"/>
    </row>
    <row r="214" spans="1:8">
      <c r="A214" s="4" t="s">
        <v>46</v>
      </c>
      <c r="B214" s="5">
        <v>71</v>
      </c>
      <c r="C214" s="6">
        <v>7</v>
      </c>
      <c r="D214" s="6">
        <v>5</v>
      </c>
      <c r="E214" s="6">
        <v>10</v>
      </c>
      <c r="F214" s="6">
        <v>22</v>
      </c>
      <c r="G214" s="6">
        <v>213</v>
      </c>
      <c r="H214" s="7"/>
    </row>
    <row r="215" spans="1:8">
      <c r="A215" s="4" t="s">
        <v>47</v>
      </c>
      <c r="B215" s="5">
        <v>73</v>
      </c>
      <c r="C215" s="6">
        <v>5</v>
      </c>
      <c r="D215" s="6">
        <v>7</v>
      </c>
      <c r="E215" s="6">
        <v>10</v>
      </c>
      <c r="F215" s="6">
        <v>22</v>
      </c>
      <c r="G215" s="6">
        <v>214</v>
      </c>
      <c r="H215" s="7"/>
    </row>
    <row r="216" spans="1:8">
      <c r="A216" s="4" t="str">
        <f>HYPERLINK("https://scryfall.com/card/cm2/1/the-mimeoplasm","The Mimeoplasm")</f>
        <v>The Mimeoplasm</v>
      </c>
      <c r="B216" s="5">
        <v>82</v>
      </c>
      <c r="C216" s="6">
        <v>6</v>
      </c>
      <c r="D216" s="6">
        <v>10</v>
      </c>
      <c r="E216" s="6">
        <v>6</v>
      </c>
      <c r="F216" s="6">
        <v>22</v>
      </c>
      <c r="G216" s="6">
        <v>215</v>
      </c>
      <c r="H216" s="7"/>
    </row>
    <row r="217" spans="1:8">
      <c r="A217" s="4" t="s">
        <v>54</v>
      </c>
      <c r="B217" s="5">
        <v>83</v>
      </c>
      <c r="C217" s="6">
        <v>5</v>
      </c>
      <c r="D217" s="6">
        <v>8</v>
      </c>
      <c r="E217" s="6">
        <v>9</v>
      </c>
      <c r="F217" s="6">
        <v>22</v>
      </c>
      <c r="G217" s="6">
        <v>216</v>
      </c>
      <c r="H217" s="7"/>
    </row>
    <row r="218" spans="1:8">
      <c r="A218" s="4" t="str">
        <f>HYPERLINK("https://scryfall.com/card/c17/192/scion-of-the-ur-dragon","Scion of the Ur-Dragon")</f>
        <v>Scion of the Ur-Dragon</v>
      </c>
      <c r="B218" s="5">
        <v>84</v>
      </c>
      <c r="C218" s="6">
        <v>6</v>
      </c>
      <c r="D218" s="6">
        <v>8</v>
      </c>
      <c r="E218" s="6">
        <v>8</v>
      </c>
      <c r="F218" s="6">
        <v>22</v>
      </c>
      <c r="G218" s="6">
        <v>217</v>
      </c>
      <c r="H218" s="7"/>
    </row>
    <row r="219" spans="1:8">
      <c r="A219" s="4" t="str">
        <f>HYPERLINK("https://scryfall.com/card/ktk/190/narset-enlightened-master","Narset, Enlightened Master")</f>
        <v>Narset, Enlightened Master</v>
      </c>
      <c r="B219" s="5">
        <v>88</v>
      </c>
      <c r="C219" s="6">
        <v>8</v>
      </c>
      <c r="D219" s="6">
        <v>4</v>
      </c>
      <c r="E219" s="6">
        <v>10</v>
      </c>
      <c r="F219" s="6">
        <v>22</v>
      </c>
      <c r="G219" s="6">
        <v>218</v>
      </c>
      <c r="H219" s="7"/>
    </row>
    <row r="220" spans="1:8">
      <c r="A220" s="4" t="s">
        <v>60</v>
      </c>
      <c r="B220" s="5">
        <v>95</v>
      </c>
      <c r="C220" s="6">
        <v>7</v>
      </c>
      <c r="D220" s="6">
        <v>9</v>
      </c>
      <c r="E220" s="6">
        <v>6</v>
      </c>
      <c r="F220" s="6">
        <v>22</v>
      </c>
      <c r="G220" s="6">
        <v>219</v>
      </c>
      <c r="H220" s="7"/>
    </row>
    <row r="221" spans="1:8">
      <c r="A221" s="4" t="s">
        <v>61</v>
      </c>
      <c r="B221" s="5">
        <v>96</v>
      </c>
      <c r="C221" s="6">
        <v>5</v>
      </c>
      <c r="D221" s="6">
        <v>8</v>
      </c>
      <c r="E221" s="6">
        <v>9</v>
      </c>
      <c r="F221" s="6">
        <v>22</v>
      </c>
      <c r="G221" s="6">
        <v>220</v>
      </c>
      <c r="H221" s="7"/>
    </row>
    <row r="222" spans="1:8">
      <c r="A222" s="4" t="s">
        <v>62</v>
      </c>
      <c r="B222" s="5">
        <v>97</v>
      </c>
      <c r="C222" s="6">
        <v>6</v>
      </c>
      <c r="D222" s="6">
        <v>9</v>
      </c>
      <c r="E222" s="6">
        <v>7</v>
      </c>
      <c r="F222" s="6">
        <v>22</v>
      </c>
      <c r="G222" s="6">
        <v>221</v>
      </c>
      <c r="H222" s="7"/>
    </row>
    <row r="223" spans="1:8">
      <c r="A223" s="4" t="s">
        <v>64</v>
      </c>
      <c r="B223" s="5">
        <v>99</v>
      </c>
      <c r="C223" s="6">
        <v>4</v>
      </c>
      <c r="D223" s="6">
        <v>10</v>
      </c>
      <c r="E223" s="6">
        <v>8</v>
      </c>
      <c r="F223" s="6">
        <v>22</v>
      </c>
      <c r="G223" s="6">
        <v>222</v>
      </c>
      <c r="H223" s="7"/>
    </row>
    <row r="224" spans="1:8">
      <c r="A224" s="4" t="s">
        <v>65</v>
      </c>
      <c r="B224" s="5">
        <v>102</v>
      </c>
      <c r="C224" s="6">
        <v>5</v>
      </c>
      <c r="D224" s="6">
        <v>10</v>
      </c>
      <c r="E224" s="6">
        <v>7</v>
      </c>
      <c r="F224" s="6">
        <v>22</v>
      </c>
      <c r="G224" s="6">
        <v>223</v>
      </c>
      <c r="H224" s="7"/>
    </row>
    <row r="225" spans="1:8">
      <c r="A225" s="4" t="s">
        <v>69</v>
      </c>
      <c r="B225" s="5">
        <v>111</v>
      </c>
      <c r="C225" s="6">
        <v>5</v>
      </c>
      <c r="D225" s="6">
        <v>8</v>
      </c>
      <c r="E225" s="6">
        <v>9</v>
      </c>
      <c r="F225" s="6">
        <v>22</v>
      </c>
      <c r="G225" s="6">
        <v>224</v>
      </c>
      <c r="H225" s="7"/>
    </row>
    <row r="226" spans="1:8">
      <c r="A226" s="4" t="s">
        <v>70</v>
      </c>
      <c r="B226" s="5">
        <v>112</v>
      </c>
      <c r="C226" s="6">
        <v>3</v>
      </c>
      <c r="D226" s="6">
        <v>10</v>
      </c>
      <c r="E226" s="6">
        <v>9</v>
      </c>
      <c r="F226" s="6">
        <v>22</v>
      </c>
      <c r="G226" s="6">
        <v>225</v>
      </c>
      <c r="H226" s="7"/>
    </row>
    <row r="227" spans="1:8">
      <c r="A227" s="10" t="s">
        <v>74</v>
      </c>
      <c r="B227" s="5">
        <v>117</v>
      </c>
      <c r="C227" s="11">
        <v>6</v>
      </c>
      <c r="D227" s="11">
        <v>8</v>
      </c>
      <c r="E227" s="11">
        <v>8</v>
      </c>
      <c r="F227" s="11">
        <v>22</v>
      </c>
      <c r="G227" s="6">
        <v>226</v>
      </c>
      <c r="H227" s="7"/>
    </row>
    <row r="228" spans="1:8">
      <c r="A228" s="4" t="s">
        <v>77</v>
      </c>
      <c r="B228" s="5">
        <v>123</v>
      </c>
      <c r="C228" s="6">
        <v>5</v>
      </c>
      <c r="D228" s="6">
        <v>8</v>
      </c>
      <c r="E228" s="6">
        <v>9</v>
      </c>
      <c r="F228" s="6">
        <v>22</v>
      </c>
      <c r="G228" s="6">
        <v>227</v>
      </c>
      <c r="H228" s="7"/>
    </row>
    <row r="229" spans="1:8">
      <c r="A229" s="4" t="str">
        <f>HYPERLINK("https://scryfall.com/card/c17/48/the-ur-dragon","The Ur-Dragon")</f>
        <v>The Ur-Dragon</v>
      </c>
      <c r="B229" s="5">
        <v>125</v>
      </c>
      <c r="C229" s="6">
        <v>6</v>
      </c>
      <c r="D229" s="6">
        <v>10</v>
      </c>
      <c r="E229" s="6">
        <v>6</v>
      </c>
      <c r="F229" s="6">
        <v>22</v>
      </c>
      <c r="G229" s="6">
        <v>228</v>
      </c>
      <c r="H229" s="7"/>
    </row>
    <row r="230" spans="1:8">
      <c r="A230" s="4" t="s">
        <v>79</v>
      </c>
      <c r="B230" s="5">
        <v>129</v>
      </c>
      <c r="C230" s="6">
        <v>4</v>
      </c>
      <c r="D230" s="6">
        <v>10</v>
      </c>
      <c r="E230" s="6">
        <v>8</v>
      </c>
      <c r="F230" s="6">
        <v>22</v>
      </c>
      <c r="G230" s="6">
        <v>229</v>
      </c>
      <c r="H230" s="7"/>
    </row>
    <row r="231" spans="1:8">
      <c r="A231" s="4" t="str">
        <f>HYPERLINK("https://scryfall.com/card/mm3/214/wort-the-raidmother","Wort, the Raidmother")</f>
        <v>Wort, the Raidmother</v>
      </c>
      <c r="B231" s="5">
        <v>139</v>
      </c>
      <c r="C231" s="6">
        <v>5</v>
      </c>
      <c r="D231" s="6">
        <v>9</v>
      </c>
      <c r="E231" s="6">
        <v>8</v>
      </c>
      <c r="F231" s="6">
        <v>22</v>
      </c>
      <c r="G231" s="6">
        <v>230</v>
      </c>
      <c r="H231" s="7"/>
    </row>
    <row r="232" spans="1:8">
      <c r="A232" s="4" t="str">
        <f>HYPERLINK("https://scryfall.com/card/hou/104/neheb-the-eternal","Neheb, the Eternal")</f>
        <v>Neheb, the Eternal</v>
      </c>
      <c r="B232" s="5">
        <v>144</v>
      </c>
      <c r="C232" s="6">
        <v>5</v>
      </c>
      <c r="D232" s="6">
        <v>7</v>
      </c>
      <c r="E232" s="6">
        <v>10</v>
      </c>
      <c r="F232" s="6">
        <v>22</v>
      </c>
      <c r="G232" s="6">
        <v>231</v>
      </c>
      <c r="H232" s="7"/>
    </row>
    <row r="233" spans="1:8">
      <c r="A233" s="4" t="s">
        <v>89</v>
      </c>
      <c r="B233" s="5">
        <v>151</v>
      </c>
      <c r="C233" s="6">
        <v>3</v>
      </c>
      <c r="D233" s="6">
        <v>9</v>
      </c>
      <c r="E233" s="6">
        <v>10</v>
      </c>
      <c r="F233" s="6">
        <v>22</v>
      </c>
      <c r="G233" s="6">
        <v>232</v>
      </c>
      <c r="H233" s="7"/>
    </row>
    <row r="234" spans="1:8">
      <c r="A234" s="4" t="s">
        <v>90</v>
      </c>
      <c r="B234" s="5">
        <v>152</v>
      </c>
      <c r="C234" s="6">
        <v>3</v>
      </c>
      <c r="D234" s="6">
        <v>9</v>
      </c>
      <c r="E234" s="6">
        <v>10</v>
      </c>
      <c r="F234" s="6">
        <v>22</v>
      </c>
      <c r="G234" s="6">
        <v>233</v>
      </c>
      <c r="H234" s="7"/>
    </row>
    <row r="235" spans="1:8">
      <c r="A235" s="10" t="s">
        <v>94</v>
      </c>
      <c r="B235" s="5">
        <v>157</v>
      </c>
      <c r="C235" s="11">
        <v>7</v>
      </c>
      <c r="D235" s="11">
        <v>7</v>
      </c>
      <c r="E235" s="11">
        <v>8</v>
      </c>
      <c r="F235" s="11">
        <v>22</v>
      </c>
      <c r="G235" s="6">
        <v>234</v>
      </c>
      <c r="H235" s="7"/>
    </row>
    <row r="236" spans="1:8">
      <c r="A236" s="4" t="s">
        <v>96</v>
      </c>
      <c r="B236" s="5">
        <v>159</v>
      </c>
      <c r="C236" s="6">
        <v>3</v>
      </c>
      <c r="D236" s="6">
        <v>9</v>
      </c>
      <c r="E236" s="6">
        <v>10</v>
      </c>
      <c r="F236" s="6">
        <v>22</v>
      </c>
      <c r="G236" s="6">
        <v>235</v>
      </c>
      <c r="H236" s="7"/>
    </row>
    <row r="237" spans="1:8">
      <c r="A237" s="10" t="s">
        <v>98</v>
      </c>
      <c r="B237" s="5">
        <v>161</v>
      </c>
      <c r="C237" s="11">
        <v>3</v>
      </c>
      <c r="D237" s="11">
        <v>10</v>
      </c>
      <c r="E237" s="11">
        <v>9</v>
      </c>
      <c r="F237" s="11">
        <v>22</v>
      </c>
      <c r="G237" s="6">
        <v>236</v>
      </c>
      <c r="H237" s="7"/>
    </row>
    <row r="238" spans="1:8">
      <c r="A238" s="4" t="str">
        <f>HYPERLINK("https://scryfall.com/card/c16/36/kynaios-and-tiro-of-meletis","Kynaios and Tiro of Meletis")</f>
        <v>Kynaios and Tiro of Meletis</v>
      </c>
      <c r="B238" s="5">
        <v>173</v>
      </c>
      <c r="C238" s="6">
        <v>2</v>
      </c>
      <c r="D238" s="6">
        <v>10</v>
      </c>
      <c r="E238" s="6">
        <v>10</v>
      </c>
      <c r="F238" s="6">
        <v>22</v>
      </c>
      <c r="G238" s="6">
        <v>237</v>
      </c>
      <c r="H238" s="7"/>
    </row>
    <row r="239" spans="1:8">
      <c r="A239" s="4" t="s">
        <v>103</v>
      </c>
      <c r="B239" s="5">
        <v>175</v>
      </c>
      <c r="C239" s="6">
        <v>4</v>
      </c>
      <c r="D239" s="6">
        <v>8</v>
      </c>
      <c r="E239" s="6">
        <v>10</v>
      </c>
      <c r="F239" s="6">
        <v>22</v>
      </c>
      <c r="G239" s="6">
        <v>238</v>
      </c>
      <c r="H239" s="7"/>
    </row>
    <row r="240" spans="1:8">
      <c r="A240" s="4" t="str">
        <f>HYPERLINK("https://scryfall.com/card/c13/201/nekusar-the-mindrazer","Nekusar, the Mindrazer")</f>
        <v>Nekusar, the Mindrazer</v>
      </c>
      <c r="B240" s="5">
        <v>180</v>
      </c>
      <c r="C240" s="6">
        <v>7</v>
      </c>
      <c r="D240" s="6">
        <v>5</v>
      </c>
      <c r="E240" s="6">
        <v>10</v>
      </c>
      <c r="F240" s="6">
        <v>22</v>
      </c>
      <c r="G240" s="6">
        <v>239</v>
      </c>
      <c r="H240" s="7"/>
    </row>
    <row r="241" spans="1:8">
      <c r="A241" s="4" t="str">
        <f>HYPERLINK("https://scryfall.com/card/hou/73/razaketh-the-foulblooded","Razaketh, the Foulblooded")</f>
        <v>Razaketh, the Foulblooded</v>
      </c>
      <c r="B241" s="5">
        <v>193</v>
      </c>
      <c r="C241" s="6">
        <v>6</v>
      </c>
      <c r="D241" s="6">
        <v>8</v>
      </c>
      <c r="E241" s="6">
        <v>8</v>
      </c>
      <c r="F241" s="6">
        <v>22</v>
      </c>
      <c r="G241" s="6">
        <v>240</v>
      </c>
      <c r="H241" s="7"/>
    </row>
    <row r="242" spans="1:8">
      <c r="A242" s="4" t="s">
        <v>114</v>
      </c>
      <c r="B242" s="5">
        <v>198</v>
      </c>
      <c r="C242" s="6">
        <v>4</v>
      </c>
      <c r="D242" s="6">
        <v>10</v>
      </c>
      <c r="E242" s="6">
        <v>8</v>
      </c>
      <c r="F242" s="6">
        <v>22</v>
      </c>
      <c r="G242" s="6">
        <v>241</v>
      </c>
      <c r="H242" s="7"/>
    </row>
    <row r="243" spans="1:8">
      <c r="A243" s="4" t="s">
        <v>117</v>
      </c>
      <c r="B243" s="5">
        <v>205</v>
      </c>
      <c r="C243" s="6">
        <v>4</v>
      </c>
      <c r="D243" s="6">
        <v>9</v>
      </c>
      <c r="E243" s="6">
        <v>9</v>
      </c>
      <c r="F243" s="6">
        <v>22</v>
      </c>
      <c r="G243" s="6">
        <v>242</v>
      </c>
      <c r="H243" s="7"/>
    </row>
    <row r="244" spans="1:8">
      <c r="A244" s="4" t="str">
        <f>HYPERLINK("https://scryfall.com/card/mh1/75/urza-lord-high-artificer","Urza, Lord High Artificer")</f>
        <v>Urza, Lord High Artificer</v>
      </c>
      <c r="B244" s="5">
        <v>212</v>
      </c>
      <c r="C244" s="6">
        <v>9</v>
      </c>
      <c r="D244" s="6">
        <v>5</v>
      </c>
      <c r="E244" s="6">
        <v>8</v>
      </c>
      <c r="F244" s="6">
        <v>22</v>
      </c>
      <c r="G244" s="6">
        <v>243</v>
      </c>
      <c r="H244" s="7"/>
    </row>
    <row r="245" spans="1:8">
      <c r="A245" s="4" t="str">
        <f>HYPERLINK("https://scryfall.com/card/ima/18/elesh-norn-grand-cenobite","Elesh Norn, Grand Cenobite")</f>
        <v>Elesh Norn, Grand Cenobite</v>
      </c>
      <c r="B245" s="5">
        <v>216</v>
      </c>
      <c r="C245" s="6">
        <v>6</v>
      </c>
      <c r="D245" s="6">
        <v>6</v>
      </c>
      <c r="E245" s="6">
        <v>10</v>
      </c>
      <c r="F245" s="6">
        <v>22</v>
      </c>
      <c r="G245" s="6">
        <v>244</v>
      </c>
      <c r="H245" s="7"/>
    </row>
    <row r="246" spans="1:8">
      <c r="A246" s="4" t="s">
        <v>138</v>
      </c>
      <c r="B246" s="5">
        <v>232</v>
      </c>
      <c r="C246" s="6">
        <v>5</v>
      </c>
      <c r="D246" s="6">
        <v>8</v>
      </c>
      <c r="E246" s="6">
        <v>9</v>
      </c>
      <c r="F246" s="6">
        <v>22</v>
      </c>
      <c r="G246" s="6">
        <v>245</v>
      </c>
      <c r="H246" s="7"/>
    </row>
    <row r="247" spans="1:8">
      <c r="A247" s="4" t="s">
        <v>139</v>
      </c>
      <c r="B247" s="5">
        <v>233</v>
      </c>
      <c r="C247" s="6">
        <v>5</v>
      </c>
      <c r="D247" s="6">
        <v>8</v>
      </c>
      <c r="E247" s="6">
        <v>9</v>
      </c>
      <c r="F247" s="6">
        <v>22</v>
      </c>
      <c r="G247" s="6">
        <v>246</v>
      </c>
      <c r="H247" s="7"/>
    </row>
    <row r="248" spans="1:8">
      <c r="A248" s="4" t="s">
        <v>143</v>
      </c>
      <c r="B248" s="5">
        <v>241</v>
      </c>
      <c r="C248" s="6">
        <v>6</v>
      </c>
      <c r="D248" s="6">
        <v>10</v>
      </c>
      <c r="E248" s="6">
        <v>6</v>
      </c>
      <c r="F248" s="6">
        <v>22</v>
      </c>
      <c r="G248" s="6">
        <v>247</v>
      </c>
      <c r="H248" s="7"/>
    </row>
    <row r="249" spans="1:8">
      <c r="A249" s="4" t="str">
        <f>HYPERLINK("https://scryfall.com/card/bng/156/xenagos-god-of-revels","Xenagos, God of Revels")</f>
        <v>Xenagos, God of Revels</v>
      </c>
      <c r="B249" s="5">
        <v>244</v>
      </c>
      <c r="C249" s="6">
        <v>5</v>
      </c>
      <c r="D249" s="6">
        <v>7</v>
      </c>
      <c r="E249" s="6">
        <v>10</v>
      </c>
      <c r="F249" s="6">
        <v>22</v>
      </c>
      <c r="G249" s="6">
        <v>248</v>
      </c>
      <c r="H249" s="7"/>
    </row>
    <row r="250" spans="1:8">
      <c r="A250" s="4" t="s">
        <v>146</v>
      </c>
      <c r="B250" s="5">
        <v>251</v>
      </c>
      <c r="C250" s="6">
        <v>5</v>
      </c>
      <c r="D250" s="6">
        <v>10</v>
      </c>
      <c r="E250" s="6">
        <v>7</v>
      </c>
      <c r="F250" s="6">
        <v>22</v>
      </c>
      <c r="G250" s="6">
        <v>249</v>
      </c>
      <c r="H250" s="7"/>
    </row>
    <row r="251" spans="1:8">
      <c r="A251" s="4" t="str">
        <f>HYPERLINK("https://scryfall.com/card/mh1/1/morophon-the-boundless","Morophon, the Boundless")</f>
        <v>Morophon, the Boundless</v>
      </c>
      <c r="B251" s="5">
        <v>257</v>
      </c>
      <c r="C251" s="6">
        <v>7</v>
      </c>
      <c r="D251" s="6">
        <v>9</v>
      </c>
      <c r="E251" s="6">
        <v>6</v>
      </c>
      <c r="F251" s="6">
        <v>22</v>
      </c>
      <c r="G251" s="6">
        <v>250</v>
      </c>
      <c r="H251" s="7"/>
    </row>
    <row r="252" spans="1:8">
      <c r="A252" s="4" t="s">
        <v>148</v>
      </c>
      <c r="B252" s="5">
        <v>259</v>
      </c>
      <c r="C252" s="6">
        <v>4</v>
      </c>
      <c r="D252" s="6">
        <v>8</v>
      </c>
      <c r="E252" s="6">
        <v>10</v>
      </c>
      <c r="F252" s="6">
        <v>22</v>
      </c>
      <c r="G252" s="6">
        <v>251</v>
      </c>
      <c r="H252" s="7"/>
    </row>
    <row r="253" spans="1:8">
      <c r="A253" s="4" t="s">
        <v>150</v>
      </c>
      <c r="B253" s="5">
        <v>265</v>
      </c>
      <c r="C253" s="6">
        <v>5</v>
      </c>
      <c r="D253" s="6">
        <v>7</v>
      </c>
      <c r="E253" s="6">
        <v>10</v>
      </c>
      <c r="F253" s="6">
        <v>22</v>
      </c>
      <c r="G253" s="6">
        <v>252</v>
      </c>
      <c r="H253" s="7"/>
    </row>
    <row r="254" spans="1:8">
      <c r="A254" s="4" t="s">
        <v>157</v>
      </c>
      <c r="B254" s="5">
        <v>280</v>
      </c>
      <c r="C254" s="6">
        <v>7</v>
      </c>
      <c r="D254" s="6">
        <v>7</v>
      </c>
      <c r="E254" s="6">
        <v>8</v>
      </c>
      <c r="F254" s="6">
        <v>22</v>
      </c>
      <c r="G254" s="6">
        <v>253</v>
      </c>
      <c r="H254" s="7"/>
    </row>
    <row r="255" spans="1:8">
      <c r="A255" s="4" t="s">
        <v>159</v>
      </c>
      <c r="B255" s="5">
        <v>282</v>
      </c>
      <c r="C255" s="6">
        <v>3</v>
      </c>
      <c r="D255" s="6">
        <v>10</v>
      </c>
      <c r="E255" s="6">
        <v>9</v>
      </c>
      <c r="F255" s="6">
        <v>22</v>
      </c>
      <c r="G255" s="6">
        <v>254</v>
      </c>
      <c r="H255" s="7"/>
    </row>
    <row r="256" spans="1:8">
      <c r="A256" s="4" t="s">
        <v>161</v>
      </c>
      <c r="B256" s="5">
        <v>285</v>
      </c>
      <c r="C256" s="6">
        <v>6</v>
      </c>
      <c r="D256" s="6">
        <v>6</v>
      </c>
      <c r="E256" s="6">
        <v>10</v>
      </c>
      <c r="F256" s="6">
        <v>22</v>
      </c>
      <c r="G256" s="6">
        <v>255</v>
      </c>
      <c r="H256" s="7"/>
    </row>
    <row r="257" spans="1:8">
      <c r="A257" s="4" t="s">
        <v>164</v>
      </c>
      <c r="B257" s="5">
        <v>288</v>
      </c>
      <c r="C257" s="6">
        <v>5</v>
      </c>
      <c r="D257" s="6">
        <v>9</v>
      </c>
      <c r="E257" s="6">
        <v>8</v>
      </c>
      <c r="F257" s="6">
        <v>22</v>
      </c>
      <c r="G257" s="6">
        <v>256</v>
      </c>
      <c r="H257" s="7"/>
    </row>
    <row r="258" spans="1:8">
      <c r="A258" s="4" t="str">
        <f>HYPERLINK("https://scryfall.com/card/rna/212/teysa-karlov","Teysa Karlov")</f>
        <v>Teysa Karlov</v>
      </c>
      <c r="B258" s="5">
        <v>296</v>
      </c>
      <c r="C258" s="6">
        <v>8</v>
      </c>
      <c r="D258" s="6">
        <v>7</v>
      </c>
      <c r="E258" s="6">
        <v>7</v>
      </c>
      <c r="F258" s="6">
        <v>22</v>
      </c>
      <c r="G258" s="6">
        <v>257</v>
      </c>
      <c r="H258" s="7"/>
    </row>
    <row r="259" spans="1:8">
      <c r="A259" s="4" t="str">
        <f>HYPERLINK("https://scryfall.com/card/cm2/4/daretti-scrap-savant","Daretti, Scrap Savant")</f>
        <v>Daretti, Scrap Savant</v>
      </c>
      <c r="B259" s="5">
        <v>302</v>
      </c>
      <c r="C259" s="6">
        <v>7</v>
      </c>
      <c r="D259" s="6">
        <v>7</v>
      </c>
      <c r="E259" s="6">
        <v>8</v>
      </c>
      <c r="F259" s="6">
        <v>22</v>
      </c>
      <c r="G259" s="6">
        <v>258</v>
      </c>
      <c r="H259" s="7"/>
    </row>
    <row r="260" spans="1:8">
      <c r="A260" s="4" t="s">
        <v>172</v>
      </c>
      <c r="B260" s="5">
        <v>304</v>
      </c>
      <c r="C260" s="6">
        <v>6</v>
      </c>
      <c r="D260" s="6">
        <v>10</v>
      </c>
      <c r="E260" s="6">
        <v>6</v>
      </c>
      <c r="F260" s="6">
        <v>22</v>
      </c>
      <c r="G260" s="6">
        <v>259</v>
      </c>
      <c r="H260" s="7"/>
    </row>
    <row r="261" spans="1:8">
      <c r="A261" s="4" t="str">
        <f>HYPERLINK("https://scryfall.com/card/c20/14/shabraz-the-skyshark","Shabraz, the Skyshark")</f>
        <v>Shabraz, the Skyshark</v>
      </c>
      <c r="B261" s="5">
        <v>313</v>
      </c>
      <c r="C261" s="6">
        <v>6</v>
      </c>
      <c r="D261" s="6">
        <v>8</v>
      </c>
      <c r="E261" s="6">
        <v>8</v>
      </c>
      <c r="F261" s="6">
        <v>22</v>
      </c>
      <c r="G261" s="6">
        <v>260</v>
      </c>
      <c r="H261" s="7"/>
    </row>
    <row r="262" spans="1:8">
      <c r="A262" s="4" t="s">
        <v>179</v>
      </c>
      <c r="B262" s="5">
        <v>315</v>
      </c>
      <c r="C262" s="6">
        <v>4</v>
      </c>
      <c r="D262" s="6">
        <v>10</v>
      </c>
      <c r="E262" s="6">
        <v>8</v>
      </c>
      <c r="F262" s="6">
        <v>22</v>
      </c>
      <c r="G262" s="6">
        <v>261</v>
      </c>
      <c r="H262" s="7"/>
    </row>
    <row r="263" spans="1:8">
      <c r="A263" s="4" t="str">
        <f>HYPERLINK("https://scryfall.com/card/a25/156/zada-hedron-grinder","Zada, Hedron Grinder")</f>
        <v>Zada, Hedron Grinder</v>
      </c>
      <c r="B263" s="5">
        <v>322</v>
      </c>
      <c r="C263" s="6">
        <v>8</v>
      </c>
      <c r="D263" s="6">
        <v>8</v>
      </c>
      <c r="E263" s="6">
        <v>6</v>
      </c>
      <c r="F263" s="6">
        <v>22</v>
      </c>
      <c r="G263" s="6">
        <v>262</v>
      </c>
      <c r="H263" s="7"/>
    </row>
    <row r="264" spans="1:8">
      <c r="A264" s="4" t="s">
        <v>192</v>
      </c>
      <c r="B264" s="5">
        <v>344</v>
      </c>
      <c r="C264" s="6">
        <v>3</v>
      </c>
      <c r="D264" s="6">
        <v>9</v>
      </c>
      <c r="E264" s="6">
        <v>10</v>
      </c>
      <c r="F264" s="6">
        <v>22</v>
      </c>
      <c r="G264" s="6">
        <v>263</v>
      </c>
      <c r="H264" s="7"/>
    </row>
    <row r="265" spans="1:8">
      <c r="A265" s="4" t="s">
        <v>196</v>
      </c>
      <c r="B265" s="5">
        <v>350</v>
      </c>
      <c r="C265" s="6">
        <v>5</v>
      </c>
      <c r="D265" s="6">
        <v>8</v>
      </c>
      <c r="E265" s="6">
        <v>9</v>
      </c>
      <c r="F265" s="6">
        <v>22</v>
      </c>
      <c r="G265" s="6">
        <v>264</v>
      </c>
      <c r="H265" s="7"/>
    </row>
    <row r="266" spans="1:8">
      <c r="A266" s="4" t="s">
        <v>201</v>
      </c>
      <c r="B266" s="5">
        <v>358</v>
      </c>
      <c r="C266" s="6">
        <v>6</v>
      </c>
      <c r="D266" s="6">
        <v>6</v>
      </c>
      <c r="E266" s="6">
        <v>10</v>
      </c>
      <c r="F266" s="6">
        <v>22</v>
      </c>
      <c r="G266" s="6">
        <v>265</v>
      </c>
      <c r="H266" s="7"/>
    </row>
    <row r="267" spans="1:8">
      <c r="A267" s="4" t="s">
        <v>208</v>
      </c>
      <c r="B267" s="5">
        <v>372</v>
      </c>
      <c r="C267" s="6">
        <v>6</v>
      </c>
      <c r="D267" s="6">
        <v>9</v>
      </c>
      <c r="E267" s="6">
        <v>7</v>
      </c>
      <c r="F267" s="6">
        <v>22</v>
      </c>
      <c r="G267" s="6">
        <v>266</v>
      </c>
      <c r="H267" s="7"/>
    </row>
    <row r="268" spans="1:8">
      <c r="A268" s="4" t="s">
        <v>210</v>
      </c>
      <c r="B268" s="5">
        <v>374</v>
      </c>
      <c r="C268" s="6">
        <v>6</v>
      </c>
      <c r="D268" s="6">
        <v>10</v>
      </c>
      <c r="E268" s="6">
        <v>6</v>
      </c>
      <c r="F268" s="6">
        <v>22</v>
      </c>
      <c r="G268" s="6">
        <v>267</v>
      </c>
      <c r="H268" s="7"/>
    </row>
    <row r="269" spans="1:8">
      <c r="A269" s="4" t="s">
        <v>220</v>
      </c>
      <c r="B269" s="5">
        <v>385</v>
      </c>
      <c r="C269" s="6">
        <v>6</v>
      </c>
      <c r="D269" s="6">
        <v>10</v>
      </c>
      <c r="E269" s="6">
        <v>6</v>
      </c>
      <c r="F269" s="6">
        <v>22</v>
      </c>
      <c r="G269" s="6">
        <v>268</v>
      </c>
      <c r="H269" s="7"/>
    </row>
    <row r="270" spans="1:8">
      <c r="A270" s="4" t="str">
        <f>HYPERLINK("https://scryfall.com/card/c19/37/anje-falkenrath","Anje Falkenrath")</f>
        <v>Anje Falkenrath</v>
      </c>
      <c r="B270" s="5">
        <v>390</v>
      </c>
      <c r="C270" s="6">
        <v>6</v>
      </c>
      <c r="D270" s="6">
        <v>8</v>
      </c>
      <c r="E270" s="6">
        <v>8</v>
      </c>
      <c r="F270" s="6">
        <v>22</v>
      </c>
      <c r="G270" s="6">
        <v>269</v>
      </c>
      <c r="H270" s="7"/>
    </row>
    <row r="271" spans="1:8">
      <c r="A271" s="4" t="s">
        <v>235</v>
      </c>
      <c r="B271" s="5">
        <v>416</v>
      </c>
      <c r="C271" s="6">
        <v>3</v>
      </c>
      <c r="D271" s="6">
        <v>10</v>
      </c>
      <c r="E271" s="6">
        <v>9</v>
      </c>
      <c r="F271" s="6">
        <v>22</v>
      </c>
      <c r="G271" s="6">
        <v>270</v>
      </c>
      <c r="H271" s="7"/>
    </row>
    <row r="272" spans="1:8">
      <c r="A272" s="4" t="s">
        <v>238</v>
      </c>
      <c r="B272" s="5">
        <v>419</v>
      </c>
      <c r="C272" s="6">
        <v>5</v>
      </c>
      <c r="D272" s="6">
        <v>9</v>
      </c>
      <c r="E272" s="6">
        <v>8</v>
      </c>
      <c r="F272" s="6">
        <v>22</v>
      </c>
      <c r="G272" s="6">
        <v>271</v>
      </c>
      <c r="H272" s="7"/>
    </row>
    <row r="273" spans="1:8">
      <c r="A273" s="4" t="s">
        <v>242</v>
      </c>
      <c r="B273" s="5">
        <v>423</v>
      </c>
      <c r="C273" s="6">
        <v>6</v>
      </c>
      <c r="D273" s="6">
        <v>6</v>
      </c>
      <c r="E273" s="6">
        <v>10</v>
      </c>
      <c r="F273" s="6">
        <v>22</v>
      </c>
      <c r="G273" s="6">
        <v>272</v>
      </c>
      <c r="H273" s="7"/>
    </row>
    <row r="274" spans="1:8">
      <c r="A274" s="4" t="s">
        <v>252</v>
      </c>
      <c r="B274" s="5">
        <v>437</v>
      </c>
      <c r="C274" s="6">
        <v>5</v>
      </c>
      <c r="D274" s="6">
        <v>9</v>
      </c>
      <c r="E274" s="6">
        <v>8</v>
      </c>
      <c r="F274" s="6">
        <v>22</v>
      </c>
      <c r="G274" s="6">
        <v>273</v>
      </c>
      <c r="H274" s="7"/>
    </row>
    <row r="275" spans="1:8">
      <c r="A275" s="4" t="s">
        <v>259</v>
      </c>
      <c r="B275" s="5">
        <v>451</v>
      </c>
      <c r="C275" s="6">
        <v>8</v>
      </c>
      <c r="D275" s="6">
        <v>6</v>
      </c>
      <c r="E275" s="6">
        <v>8</v>
      </c>
      <c r="F275" s="6">
        <v>22</v>
      </c>
      <c r="G275" s="6">
        <v>274</v>
      </c>
      <c r="H275" s="7"/>
    </row>
    <row r="276" spans="1:8">
      <c r="A276" s="4" t="s">
        <v>265</v>
      </c>
      <c r="B276" s="5">
        <v>458</v>
      </c>
      <c r="C276" s="6">
        <v>5</v>
      </c>
      <c r="D276" s="6">
        <v>8</v>
      </c>
      <c r="E276" s="6">
        <v>9</v>
      </c>
      <c r="F276" s="6">
        <v>22</v>
      </c>
      <c r="G276" s="6">
        <v>275</v>
      </c>
      <c r="H276" s="7"/>
    </row>
    <row r="277" spans="1:8">
      <c r="A277" s="4" t="s">
        <v>272</v>
      </c>
      <c r="B277" s="5">
        <v>471</v>
      </c>
      <c r="C277" s="6">
        <v>5</v>
      </c>
      <c r="D277" s="6">
        <v>9</v>
      </c>
      <c r="E277" s="6">
        <v>8</v>
      </c>
      <c r="F277" s="6">
        <v>22</v>
      </c>
      <c r="G277" s="6">
        <v>276</v>
      </c>
      <c r="H277" s="7"/>
    </row>
    <row r="278" spans="1:8">
      <c r="A278" s="4" t="s">
        <v>276</v>
      </c>
      <c r="B278" s="5">
        <v>477</v>
      </c>
      <c r="C278" s="6">
        <v>6</v>
      </c>
      <c r="D278" s="6">
        <v>9</v>
      </c>
      <c r="E278" s="6">
        <v>7</v>
      </c>
      <c r="F278" s="6">
        <v>22</v>
      </c>
      <c r="G278" s="6">
        <v>277</v>
      </c>
      <c r="H278" s="7"/>
    </row>
    <row r="279" spans="1:8">
      <c r="A279" s="4" t="s">
        <v>282</v>
      </c>
      <c r="B279" s="5">
        <v>488</v>
      </c>
      <c r="C279" s="6">
        <v>8</v>
      </c>
      <c r="D279" s="6">
        <v>7</v>
      </c>
      <c r="E279" s="6">
        <v>7</v>
      </c>
      <c r="F279" s="6">
        <v>22</v>
      </c>
      <c r="G279" s="6">
        <v>278</v>
      </c>
      <c r="H279" s="7"/>
    </row>
    <row r="280" spans="1:8">
      <c r="A280" s="4" t="str">
        <f>HYPERLINK("https://scryfall.com/card/gnt/44/ghalta-primal-hunger","Ghalta, Primal Hunger")</f>
        <v>Ghalta, Primal Hunger</v>
      </c>
      <c r="B280" s="5">
        <v>491</v>
      </c>
      <c r="C280" s="6">
        <v>5</v>
      </c>
      <c r="D280" s="6">
        <v>9</v>
      </c>
      <c r="E280" s="6">
        <v>8</v>
      </c>
      <c r="F280" s="6">
        <v>22</v>
      </c>
      <c r="G280" s="6">
        <v>279</v>
      </c>
      <c r="H280" s="7"/>
    </row>
    <row r="281" spans="1:8">
      <c r="A281" s="4" t="s">
        <v>307</v>
      </c>
      <c r="B281" s="5">
        <v>524</v>
      </c>
      <c r="C281" s="6">
        <v>5</v>
      </c>
      <c r="D281" s="6">
        <v>8</v>
      </c>
      <c r="E281" s="6">
        <v>9</v>
      </c>
      <c r="F281" s="6">
        <v>22</v>
      </c>
      <c r="G281" s="6">
        <v>280</v>
      </c>
      <c r="H281" s="7"/>
    </row>
    <row r="282" spans="1:8">
      <c r="A282" s="4" t="s">
        <v>341</v>
      </c>
      <c r="B282" s="5">
        <v>579</v>
      </c>
      <c r="C282" s="6">
        <v>4</v>
      </c>
      <c r="D282" s="6">
        <v>10</v>
      </c>
      <c r="E282" s="6">
        <v>8</v>
      </c>
      <c r="F282" s="6">
        <v>22</v>
      </c>
      <c r="G282" s="6">
        <v>281</v>
      </c>
      <c r="H282" s="7"/>
    </row>
    <row r="283" spans="1:8" ht="18.75" customHeight="1">
      <c r="A283" s="4" t="s">
        <v>345</v>
      </c>
      <c r="B283" s="5">
        <v>585</v>
      </c>
      <c r="C283" s="6">
        <v>4</v>
      </c>
      <c r="D283" s="6">
        <v>8</v>
      </c>
      <c r="E283" s="6">
        <v>10</v>
      </c>
      <c r="F283" s="6">
        <v>22</v>
      </c>
      <c r="G283" s="6">
        <v>282</v>
      </c>
      <c r="H283" s="7"/>
    </row>
    <row r="284" spans="1:8" ht="18.75" customHeight="1">
      <c r="A284" s="4" t="s">
        <v>348</v>
      </c>
      <c r="B284" s="5">
        <v>588</v>
      </c>
      <c r="C284" s="6">
        <v>5</v>
      </c>
      <c r="D284" s="6">
        <v>10</v>
      </c>
      <c r="E284" s="6">
        <v>7</v>
      </c>
      <c r="F284" s="6">
        <v>22</v>
      </c>
      <c r="G284" s="6">
        <v>283</v>
      </c>
      <c r="H284" s="7"/>
    </row>
    <row r="285" spans="1:8" ht="18.75" customHeight="1">
      <c r="A285" s="4" t="s">
        <v>361</v>
      </c>
      <c r="B285" s="5">
        <v>612</v>
      </c>
      <c r="C285" s="6">
        <v>6</v>
      </c>
      <c r="D285" s="6">
        <v>10</v>
      </c>
      <c r="E285" s="6">
        <v>6</v>
      </c>
      <c r="F285" s="6">
        <v>22</v>
      </c>
      <c r="G285" s="6">
        <v>284</v>
      </c>
      <c r="H285" s="7"/>
    </row>
    <row r="286" spans="1:8" ht="18.75" customHeight="1">
      <c r="A286" s="4" t="s">
        <v>367</v>
      </c>
      <c r="B286" s="5">
        <v>619</v>
      </c>
      <c r="C286" s="6">
        <v>5</v>
      </c>
      <c r="D286" s="6">
        <v>8</v>
      </c>
      <c r="E286" s="6">
        <v>9</v>
      </c>
      <c r="F286" s="6">
        <v>22</v>
      </c>
      <c r="G286" s="6">
        <v>285</v>
      </c>
      <c r="H286" s="7"/>
    </row>
    <row r="287" spans="1:8" ht="18.75" customHeight="1">
      <c r="A287" s="4" t="s">
        <v>374</v>
      </c>
      <c r="B287" s="5">
        <v>631</v>
      </c>
      <c r="C287" s="6">
        <v>6</v>
      </c>
      <c r="D287" s="6">
        <v>7</v>
      </c>
      <c r="E287" s="6">
        <v>9</v>
      </c>
      <c r="F287" s="6">
        <v>22</v>
      </c>
      <c r="G287" s="6">
        <v>286</v>
      </c>
      <c r="H287" s="7"/>
    </row>
    <row r="288" spans="1:8" ht="18.75" customHeight="1">
      <c r="A288" s="4" t="str">
        <f>HYPERLINK("https://scryfall.com/card/xln/230/tishana-voice-of-thunder","Tishana, Voice of Thunder")</f>
        <v>Tishana, Voice of Thunder</v>
      </c>
      <c r="B288" s="5">
        <v>639</v>
      </c>
      <c r="C288" s="6">
        <v>5</v>
      </c>
      <c r="D288" s="6">
        <v>10</v>
      </c>
      <c r="E288" s="6">
        <v>7</v>
      </c>
      <c r="F288" s="6">
        <v>22</v>
      </c>
      <c r="G288" s="6">
        <v>287</v>
      </c>
      <c r="H288" s="7"/>
    </row>
    <row r="289" spans="1:8" ht="18.75" customHeight="1">
      <c r="A289" s="4" t="str">
        <f>HYPERLINK("https://scryfall.com/card/sth/129/sliver-queen","Sliver Queen")</f>
        <v>Sliver Queen</v>
      </c>
      <c r="B289" s="5">
        <v>640</v>
      </c>
      <c r="C289" s="6">
        <v>6</v>
      </c>
      <c r="D289" s="6">
        <v>10</v>
      </c>
      <c r="E289" s="6">
        <v>6</v>
      </c>
      <c r="F289" s="6">
        <v>22</v>
      </c>
      <c r="G289" s="6">
        <v>288</v>
      </c>
      <c r="H289" s="7"/>
    </row>
    <row r="290" spans="1:8" ht="18.75" customHeight="1">
      <c r="A290" s="4" t="s">
        <v>382</v>
      </c>
      <c r="B290" s="5">
        <v>645</v>
      </c>
      <c r="C290" s="6">
        <v>6</v>
      </c>
      <c r="D290" s="6">
        <v>9</v>
      </c>
      <c r="E290" s="6">
        <v>7</v>
      </c>
      <c r="F290" s="6">
        <v>22</v>
      </c>
      <c r="G290" s="6">
        <v>289</v>
      </c>
      <c r="H290" s="7"/>
    </row>
    <row r="291" spans="1:8" ht="18.75" customHeight="1">
      <c r="A291" s="4" t="s">
        <v>399</v>
      </c>
      <c r="B291" s="5">
        <v>671</v>
      </c>
      <c r="C291" s="6">
        <v>5</v>
      </c>
      <c r="D291" s="6">
        <v>9</v>
      </c>
      <c r="E291" s="6">
        <v>8</v>
      </c>
      <c r="F291" s="6">
        <v>22</v>
      </c>
      <c r="G291" s="6">
        <v>290</v>
      </c>
      <c r="H291" s="7"/>
    </row>
    <row r="292" spans="1:8">
      <c r="A292" s="4" t="s">
        <v>401</v>
      </c>
      <c r="B292" s="5">
        <v>676</v>
      </c>
      <c r="C292" s="6">
        <v>4</v>
      </c>
      <c r="D292" s="6">
        <v>8</v>
      </c>
      <c r="E292" s="6">
        <v>10</v>
      </c>
      <c r="F292" s="6">
        <v>22</v>
      </c>
      <c r="G292" s="6">
        <v>291</v>
      </c>
      <c r="H292" s="7"/>
    </row>
    <row r="293" spans="1:8">
      <c r="A293" s="4" t="s">
        <v>404</v>
      </c>
      <c r="B293" s="5">
        <v>683</v>
      </c>
      <c r="C293" s="6">
        <v>3</v>
      </c>
      <c r="D293" s="6">
        <v>10</v>
      </c>
      <c r="E293" s="6">
        <v>9</v>
      </c>
      <c r="F293" s="6">
        <v>22</v>
      </c>
      <c r="G293" s="6">
        <v>292</v>
      </c>
      <c r="H293" s="7"/>
    </row>
    <row r="294" spans="1:8">
      <c r="A294" s="4" t="s">
        <v>415</v>
      </c>
      <c r="B294" s="5">
        <v>696</v>
      </c>
      <c r="C294" s="6">
        <v>4</v>
      </c>
      <c r="D294" s="6">
        <v>9</v>
      </c>
      <c r="E294" s="6">
        <v>9</v>
      </c>
      <c r="F294" s="6">
        <v>22</v>
      </c>
      <c r="G294" s="6">
        <v>293</v>
      </c>
      <c r="H294" s="7"/>
    </row>
    <row r="295" spans="1:8">
      <c r="A295" s="4" t="s">
        <v>418</v>
      </c>
      <c r="B295" s="5">
        <v>702</v>
      </c>
      <c r="C295" s="6">
        <v>5</v>
      </c>
      <c r="D295" s="6">
        <v>7</v>
      </c>
      <c r="E295" s="6">
        <v>10</v>
      </c>
      <c r="F295" s="6">
        <v>22</v>
      </c>
      <c r="G295" s="6">
        <v>294</v>
      </c>
      <c r="H295" s="7"/>
    </row>
    <row r="296" spans="1:8">
      <c r="A296" s="4" t="str">
        <f>HYPERLINK("https://scryfall.com/card/c17/82/azami-lady-of-scrolls","Azami, Lady of Scrolls")</f>
        <v>Azami, Lady of Scrolls</v>
      </c>
      <c r="B296" s="5">
        <v>754</v>
      </c>
      <c r="C296" s="6">
        <v>9</v>
      </c>
      <c r="D296" s="6">
        <v>7</v>
      </c>
      <c r="E296" s="6">
        <v>6</v>
      </c>
      <c r="F296" s="6">
        <v>22</v>
      </c>
      <c r="G296" s="6">
        <v>295</v>
      </c>
      <c r="H296" s="7"/>
    </row>
    <row r="297" spans="1:8">
      <c r="A297" s="4" t="s">
        <v>493</v>
      </c>
      <c r="B297" s="5">
        <v>807</v>
      </c>
      <c r="C297" s="6">
        <v>5</v>
      </c>
      <c r="D297" s="6">
        <v>10</v>
      </c>
      <c r="E297" s="6">
        <v>7</v>
      </c>
      <c r="F297" s="6">
        <v>22</v>
      </c>
      <c r="G297" s="6">
        <v>296</v>
      </c>
      <c r="H297" s="7"/>
    </row>
    <row r="298" spans="1:8">
      <c r="A298" s="4" t="str">
        <f>HYPERLINK("https://scryfall.com/card/dds/23/jori-en-ruin-diver","Jori En, Ruin Diver")</f>
        <v>Jori En, Ruin Diver</v>
      </c>
      <c r="B298" s="5">
        <v>830</v>
      </c>
      <c r="C298" s="6">
        <v>5</v>
      </c>
      <c r="D298" s="6">
        <v>7</v>
      </c>
      <c r="E298" s="6">
        <v>10</v>
      </c>
      <c r="F298" s="6">
        <v>22</v>
      </c>
      <c r="G298" s="6">
        <v>297</v>
      </c>
      <c r="H298" s="7"/>
    </row>
    <row r="299" spans="1:8">
      <c r="A299" s="4" t="str">
        <f>HYPERLINK("https://scryfall.com/card/dom/206/tatyova-benthic-druid","Tatyova, Benthic Druid")</f>
        <v>Tatyova, Benthic Druid</v>
      </c>
      <c r="B299" s="5">
        <v>837</v>
      </c>
      <c r="C299" s="6">
        <v>6</v>
      </c>
      <c r="D299" s="6">
        <v>8</v>
      </c>
      <c r="E299" s="6">
        <v>8</v>
      </c>
      <c r="F299" s="6">
        <v>22</v>
      </c>
      <c r="G299" s="6">
        <v>298</v>
      </c>
      <c r="H299" s="7"/>
    </row>
    <row r="300" spans="1:8">
      <c r="A300" s="4" t="s">
        <v>538</v>
      </c>
      <c r="B300" s="5">
        <v>878</v>
      </c>
      <c r="C300" s="6">
        <v>5</v>
      </c>
      <c r="D300" s="6">
        <v>10</v>
      </c>
      <c r="E300" s="6">
        <v>7</v>
      </c>
      <c r="F300" s="6">
        <v>22</v>
      </c>
      <c r="G300" s="6">
        <v>299</v>
      </c>
      <c r="H300" s="7"/>
    </row>
    <row r="301" spans="1:8">
      <c r="A301" s="4" t="s">
        <v>540</v>
      </c>
      <c r="B301" s="5">
        <v>881</v>
      </c>
      <c r="C301" s="6">
        <v>6</v>
      </c>
      <c r="D301" s="6">
        <v>9</v>
      </c>
      <c r="E301" s="6">
        <v>7</v>
      </c>
      <c r="F301" s="6">
        <v>22</v>
      </c>
      <c r="G301" s="6">
        <v>300</v>
      </c>
      <c r="H301" s="7"/>
    </row>
    <row r="302" spans="1:8">
      <c r="A302" s="4" t="s">
        <v>548</v>
      </c>
      <c r="B302" s="5">
        <v>896</v>
      </c>
      <c r="C302" s="6">
        <v>5</v>
      </c>
      <c r="D302" s="6">
        <v>7</v>
      </c>
      <c r="E302" s="6">
        <v>10</v>
      </c>
      <c r="F302" s="6">
        <v>22</v>
      </c>
      <c r="G302" s="6">
        <v>301</v>
      </c>
      <c r="H302" s="7"/>
    </row>
    <row r="303" spans="1:8">
      <c r="A303" s="4" t="str">
        <f>HYPERLINK("https://scryfall.com/card/uma/6/kozilek-butcher-of-truth","Kozilek, Butcher of Truth")</f>
        <v>Kozilek, Butcher of Truth</v>
      </c>
      <c r="B303" s="5">
        <v>48</v>
      </c>
      <c r="C303" s="6">
        <v>7</v>
      </c>
      <c r="D303" s="6">
        <v>6</v>
      </c>
      <c r="E303" s="6">
        <v>8</v>
      </c>
      <c r="F303" s="6">
        <v>21</v>
      </c>
      <c r="G303" s="6">
        <v>302</v>
      </c>
      <c r="H303" s="7"/>
    </row>
    <row r="304" spans="1:8">
      <c r="A304" s="4" t="str">
        <f>HYPERLINK("https://scryfall.com/card/ogw/4/kozilek-the-great-distortion","Kozilek, the Great Distortion")</f>
        <v>Kozilek, the Great Distortion</v>
      </c>
      <c r="B304" s="5">
        <v>49</v>
      </c>
      <c r="C304" s="6">
        <v>7</v>
      </c>
      <c r="D304" s="6">
        <v>6</v>
      </c>
      <c r="E304" s="6">
        <v>8</v>
      </c>
      <c r="F304" s="6">
        <v>21</v>
      </c>
      <c r="G304" s="6">
        <v>303</v>
      </c>
      <c r="H304" s="7"/>
    </row>
    <row r="305" spans="1:8">
      <c r="A305" s="4" t="str">
        <f>HYPERLINK("https://scryfall.com/card/ima/62/jin-gitaxias-core-augur","Jin-Gitaxias, Core Augur")</f>
        <v>Jin-Gitaxias, Core Augur</v>
      </c>
      <c r="B305" s="5">
        <v>61</v>
      </c>
      <c r="C305" s="6">
        <v>6</v>
      </c>
      <c r="D305" s="6">
        <v>5</v>
      </c>
      <c r="E305" s="6">
        <v>10</v>
      </c>
      <c r="F305" s="6">
        <v>21</v>
      </c>
      <c r="G305" s="6">
        <v>304</v>
      </c>
      <c r="H305" s="7"/>
    </row>
    <row r="306" spans="1:8">
      <c r="A306" s="4" t="str">
        <f>HYPERLINK("https://scryfall.com/card/c18/43/lord-windgrace","Lord Windgrace")</f>
        <v>Lord Windgrace</v>
      </c>
      <c r="B306" s="5">
        <v>72</v>
      </c>
      <c r="C306" s="6">
        <v>5</v>
      </c>
      <c r="D306" s="6">
        <v>8</v>
      </c>
      <c r="E306" s="6">
        <v>8</v>
      </c>
      <c r="F306" s="6">
        <v>21</v>
      </c>
      <c r="G306" s="6">
        <v>305</v>
      </c>
      <c r="H306" s="7"/>
    </row>
    <row r="307" spans="1:8">
      <c r="A307" s="4" t="str">
        <f>HYPERLINK("https://scryfall.com/card/m19/218/nicol-bolas-the-ravager-nicol-bolas-the-arisen","Nicol Bolas, the Ravager")</f>
        <v>Nicol Bolas, the Ravager</v>
      </c>
      <c r="B307" s="5">
        <v>74</v>
      </c>
      <c r="C307" s="6">
        <v>4</v>
      </c>
      <c r="D307" s="6">
        <v>7</v>
      </c>
      <c r="E307" s="6">
        <v>10</v>
      </c>
      <c r="F307" s="6">
        <v>21</v>
      </c>
      <c r="G307" s="6">
        <v>306</v>
      </c>
      <c r="H307" s="7"/>
    </row>
    <row r="308" spans="1:8">
      <c r="A308" s="4" t="str">
        <f>HYPERLINK("https://scryfall.com/card/bbd/5/zndrsplt-eye-of-wisdom","Zndrsplt, Eye of Wisdom")</f>
        <v>Zndrsplt, Eye of Wisdom</v>
      </c>
      <c r="B308" s="5">
        <v>87</v>
      </c>
      <c r="C308" s="6">
        <v>4</v>
      </c>
      <c r="D308" s="6">
        <v>10</v>
      </c>
      <c r="E308" s="6">
        <v>7</v>
      </c>
      <c r="F308" s="6">
        <v>21</v>
      </c>
      <c r="G308" s="6">
        <v>307</v>
      </c>
      <c r="H308" s="7"/>
    </row>
    <row r="309" spans="1:8">
      <c r="A309" s="4" t="str">
        <f>HYPERLINK("https://scryfall.com/card/mbs/96/glissa-the-traitor","Glissa, the Traitor")</f>
        <v>Glissa, the Traitor</v>
      </c>
      <c r="B309" s="5">
        <v>107</v>
      </c>
      <c r="C309" s="6">
        <v>3</v>
      </c>
      <c r="D309" s="6">
        <v>9</v>
      </c>
      <c r="E309" s="6">
        <v>9</v>
      </c>
      <c r="F309" s="6">
        <v>21</v>
      </c>
      <c r="G309" s="6">
        <v>308</v>
      </c>
      <c r="H309" s="7"/>
    </row>
    <row r="310" spans="1:8">
      <c r="A310" s="4" t="str">
        <f>HYPERLINK("https://scryfall.com/card/ths/85/erebos-god-of-the-dead","Erebos, God of the Dead")</f>
        <v>Erebos, God of the Dead</v>
      </c>
      <c r="B310" s="5">
        <v>109</v>
      </c>
      <c r="C310" s="6">
        <v>5</v>
      </c>
      <c r="D310" s="6">
        <v>7</v>
      </c>
      <c r="E310" s="6">
        <v>9</v>
      </c>
      <c r="F310" s="6">
        <v>21</v>
      </c>
      <c r="G310" s="6">
        <v>309</v>
      </c>
      <c r="H310" s="7"/>
    </row>
    <row r="311" spans="1:8">
      <c r="A311" s="4" t="str">
        <f>HYPERLINK("https://scryfall.com/card/eld/303/kenrith-the-returned-king","Kenrith, the Returned King")</f>
        <v>Kenrith, the Returned King</v>
      </c>
      <c r="B311" s="5">
        <v>116</v>
      </c>
      <c r="C311" s="6">
        <v>6</v>
      </c>
      <c r="D311" s="6">
        <v>10</v>
      </c>
      <c r="E311" s="6">
        <v>5</v>
      </c>
      <c r="F311" s="6">
        <v>21</v>
      </c>
      <c r="G311" s="6">
        <v>310</v>
      </c>
      <c r="H311" s="7"/>
    </row>
    <row r="312" spans="1:8">
      <c r="A312" s="4" t="s">
        <v>78</v>
      </c>
      <c r="B312" s="5">
        <v>126</v>
      </c>
      <c r="C312" s="6">
        <v>6</v>
      </c>
      <c r="D312" s="6">
        <v>6</v>
      </c>
      <c r="E312" s="6">
        <v>9</v>
      </c>
      <c r="F312" s="6">
        <v>21</v>
      </c>
      <c r="G312" s="6">
        <v>311</v>
      </c>
      <c r="H312" s="7"/>
    </row>
    <row r="313" spans="1:8">
      <c r="A313" s="4" t="str">
        <f>HYPERLINK("https://scryfall.com/card/bng/148/karametra-god-of-harvests","Karametra, God of Harvests")</f>
        <v>Karametra, God of Harvests</v>
      </c>
      <c r="B313" s="5">
        <v>128</v>
      </c>
      <c r="C313" s="6">
        <v>6</v>
      </c>
      <c r="D313" s="6">
        <v>9</v>
      </c>
      <c r="E313" s="6">
        <v>6</v>
      </c>
      <c r="F313" s="6">
        <v>21</v>
      </c>
      <c r="G313" s="6">
        <v>312</v>
      </c>
      <c r="H313" s="7"/>
    </row>
    <row r="314" spans="1:8">
      <c r="A314" s="4" t="s">
        <v>80</v>
      </c>
      <c r="B314" s="5">
        <v>132</v>
      </c>
      <c r="C314" s="6">
        <v>4</v>
      </c>
      <c r="D314" s="6">
        <v>9</v>
      </c>
      <c r="E314" s="6">
        <v>8</v>
      </c>
      <c r="F314" s="6">
        <v>21</v>
      </c>
      <c r="G314" s="6">
        <v>313</v>
      </c>
      <c r="H314" s="7"/>
    </row>
    <row r="315" spans="1:8">
      <c r="A315" s="4" t="s">
        <v>84</v>
      </c>
      <c r="B315" s="5">
        <v>146</v>
      </c>
      <c r="C315" s="6">
        <v>3</v>
      </c>
      <c r="D315" s="6">
        <v>9</v>
      </c>
      <c r="E315" s="6">
        <v>9</v>
      </c>
      <c r="F315" s="6">
        <v>21</v>
      </c>
      <c r="G315" s="6">
        <v>314</v>
      </c>
      <c r="H315" s="7"/>
    </row>
    <row r="316" spans="1:8">
      <c r="A316" s="4" t="s">
        <v>85</v>
      </c>
      <c r="B316" s="5">
        <v>147</v>
      </c>
      <c r="C316" s="6">
        <v>5</v>
      </c>
      <c r="D316" s="6">
        <v>9</v>
      </c>
      <c r="E316" s="6">
        <v>7</v>
      </c>
      <c r="F316" s="6">
        <v>21</v>
      </c>
      <c r="G316" s="6">
        <v>315</v>
      </c>
      <c r="H316" s="7"/>
    </row>
    <row r="317" spans="1:8">
      <c r="A317" s="4" t="s">
        <v>87</v>
      </c>
      <c r="B317" s="5">
        <v>149</v>
      </c>
      <c r="C317" s="6">
        <v>4</v>
      </c>
      <c r="D317" s="6">
        <v>9</v>
      </c>
      <c r="E317" s="6">
        <v>8</v>
      </c>
      <c r="F317" s="6">
        <v>21</v>
      </c>
      <c r="G317" s="6">
        <v>316</v>
      </c>
      <c r="H317" s="7"/>
    </row>
    <row r="318" spans="1:8">
      <c r="A318" s="4" t="s">
        <v>95</v>
      </c>
      <c r="B318" s="5">
        <v>158</v>
      </c>
      <c r="C318" s="6">
        <v>3</v>
      </c>
      <c r="D318" s="6">
        <v>8</v>
      </c>
      <c r="E318" s="6">
        <v>10</v>
      </c>
      <c r="F318" s="6">
        <v>21</v>
      </c>
      <c r="G318" s="6">
        <v>317</v>
      </c>
      <c r="H318" s="7"/>
    </row>
    <row r="319" spans="1:8">
      <c r="A319" s="4" t="s">
        <v>100</v>
      </c>
      <c r="B319" s="5">
        <v>165</v>
      </c>
      <c r="C319" s="6">
        <v>7</v>
      </c>
      <c r="D319" s="6">
        <v>9</v>
      </c>
      <c r="E319" s="6">
        <v>5</v>
      </c>
      <c r="F319" s="6">
        <v>21</v>
      </c>
      <c r="G319" s="6">
        <v>318</v>
      </c>
      <c r="H319" s="7"/>
    </row>
    <row r="320" spans="1:8">
      <c r="A320" s="4" t="s">
        <v>106</v>
      </c>
      <c r="B320" s="5">
        <v>178</v>
      </c>
      <c r="C320" s="6">
        <v>8</v>
      </c>
      <c r="D320" s="6">
        <v>5</v>
      </c>
      <c r="E320" s="6">
        <v>8</v>
      </c>
      <c r="F320" s="6">
        <v>21</v>
      </c>
      <c r="G320" s="6">
        <v>319</v>
      </c>
      <c r="H320" s="7"/>
    </row>
    <row r="321" spans="1:8">
      <c r="A321" s="4" t="str">
        <f>HYPERLINK("https://scryfall.com/card/war/92/god-eternal-bontu","God-Eternal Bontu")</f>
        <v>God-Eternal Bontu</v>
      </c>
      <c r="B321" s="5">
        <v>183</v>
      </c>
      <c r="C321" s="6">
        <v>3</v>
      </c>
      <c r="D321" s="6">
        <v>8</v>
      </c>
      <c r="E321" s="6">
        <v>10</v>
      </c>
      <c r="F321" s="6">
        <v>21</v>
      </c>
      <c r="G321" s="6">
        <v>320</v>
      </c>
      <c r="H321" s="7"/>
    </row>
    <row r="322" spans="1:8">
      <c r="A322" s="4" t="s">
        <v>108</v>
      </c>
      <c r="B322" s="5">
        <v>184</v>
      </c>
      <c r="C322" s="6">
        <v>6</v>
      </c>
      <c r="D322" s="6">
        <v>8</v>
      </c>
      <c r="E322" s="6">
        <v>7</v>
      </c>
      <c r="F322" s="6">
        <v>21</v>
      </c>
      <c r="G322" s="6">
        <v>321</v>
      </c>
      <c r="H322" s="7"/>
    </row>
    <row r="323" spans="1:8">
      <c r="A323" s="4" t="str">
        <f>HYPERLINK("https://scryfall.com/card/dis/118/momir-vig-simic-visionary","Momir Vig, Simic Visionary")</f>
        <v>Momir Vig, Simic Visionary</v>
      </c>
      <c r="B323" s="5">
        <v>185</v>
      </c>
      <c r="C323" s="6">
        <v>6</v>
      </c>
      <c r="D323" s="6">
        <v>10</v>
      </c>
      <c r="E323" s="6">
        <v>5</v>
      </c>
      <c r="F323" s="6">
        <v>21</v>
      </c>
      <c r="G323" s="6">
        <v>322</v>
      </c>
      <c r="H323" s="7"/>
    </row>
    <row r="324" spans="1:8">
      <c r="A324" s="4" t="str">
        <f>HYPERLINK("https://scryfall.com/card/m20/46/atemsis-all-seeing","Atemsis, the All-Seeing")</f>
        <v>Atemsis, the All-Seeing</v>
      </c>
      <c r="B324" s="5">
        <v>192</v>
      </c>
      <c r="C324" s="6">
        <v>3</v>
      </c>
      <c r="D324" s="6">
        <v>10</v>
      </c>
      <c r="E324" s="6">
        <v>8</v>
      </c>
      <c r="F324" s="6">
        <v>21</v>
      </c>
      <c r="G324" s="6">
        <v>323</v>
      </c>
      <c r="H324" s="7"/>
    </row>
    <row r="325" spans="1:8">
      <c r="A325" s="10" t="s">
        <v>112</v>
      </c>
      <c r="B325" s="5">
        <v>196</v>
      </c>
      <c r="C325" s="11">
        <v>4</v>
      </c>
      <c r="D325" s="11">
        <v>10</v>
      </c>
      <c r="E325" s="11">
        <v>7</v>
      </c>
      <c r="F325" s="11">
        <v>21</v>
      </c>
      <c r="G325" s="6">
        <v>324</v>
      </c>
      <c r="H325" s="7"/>
    </row>
    <row r="326" spans="1:8">
      <c r="A326" s="4" t="str">
        <f>HYPERLINK("https://scryfall.com/card/frf/52/shu-yun-the-silent-tempest","Shu Yun, the Silent Tempest")</f>
        <v>Shu Yun, the Silent Tempest</v>
      </c>
      <c r="B326" s="5">
        <v>201</v>
      </c>
      <c r="C326" s="6">
        <v>5</v>
      </c>
      <c r="D326" s="6">
        <v>9</v>
      </c>
      <c r="E326" s="6">
        <v>7</v>
      </c>
      <c r="F326" s="6">
        <v>21</v>
      </c>
      <c r="G326" s="6">
        <v>325</v>
      </c>
      <c r="H326" s="7"/>
    </row>
    <row r="327" spans="1:8">
      <c r="A327" s="4" t="s">
        <v>118</v>
      </c>
      <c r="B327" s="5">
        <v>206</v>
      </c>
      <c r="C327" s="6">
        <v>7</v>
      </c>
      <c r="D327" s="6">
        <v>8</v>
      </c>
      <c r="E327" s="6">
        <v>6</v>
      </c>
      <c r="F327" s="6">
        <v>21</v>
      </c>
      <c r="G327" s="6">
        <v>326</v>
      </c>
      <c r="H327" s="7"/>
    </row>
    <row r="328" spans="1:8">
      <c r="A328" s="4" t="s">
        <v>121</v>
      </c>
      <c r="B328" s="5">
        <v>209</v>
      </c>
      <c r="C328" s="6">
        <v>5</v>
      </c>
      <c r="D328" s="6">
        <v>9</v>
      </c>
      <c r="E328" s="6">
        <v>7</v>
      </c>
      <c r="F328" s="6">
        <v>21</v>
      </c>
      <c r="G328" s="6">
        <v>327</v>
      </c>
      <c r="H328" s="7"/>
    </row>
    <row r="329" spans="1:8">
      <c r="A329" s="4" t="s">
        <v>123</v>
      </c>
      <c r="B329" s="5">
        <v>211</v>
      </c>
      <c r="C329" s="6">
        <v>7</v>
      </c>
      <c r="D329" s="6">
        <v>5</v>
      </c>
      <c r="E329" s="6">
        <v>9</v>
      </c>
      <c r="F329" s="6">
        <v>21</v>
      </c>
      <c r="G329" s="6">
        <v>328</v>
      </c>
      <c r="H329" s="7"/>
    </row>
    <row r="330" spans="1:8">
      <c r="A330" s="4" t="str">
        <f>HYPERLINK("https://scryfall.com/card/ima/189/vorinclex-voice-of-hunger","Vorinclex, Voice of Hunger")</f>
        <v>Vorinclex, Voice of Hunger</v>
      </c>
      <c r="B330" s="5">
        <v>221</v>
      </c>
      <c r="C330" s="6">
        <v>6</v>
      </c>
      <c r="D330" s="6">
        <v>5</v>
      </c>
      <c r="E330" s="6">
        <v>10</v>
      </c>
      <c r="F330" s="6">
        <v>21</v>
      </c>
      <c r="G330" s="6">
        <v>329</v>
      </c>
      <c r="H330" s="7"/>
    </row>
    <row r="331" spans="1:8">
      <c r="A331" s="4" t="s">
        <v>132</v>
      </c>
      <c r="B331" s="5">
        <v>225</v>
      </c>
      <c r="C331" s="6">
        <v>3</v>
      </c>
      <c r="D331" s="6">
        <v>9</v>
      </c>
      <c r="E331" s="6">
        <v>9</v>
      </c>
      <c r="F331" s="6">
        <v>21</v>
      </c>
      <c r="G331" s="6">
        <v>330</v>
      </c>
      <c r="H331" s="7"/>
    </row>
    <row r="332" spans="1:8">
      <c r="A332" s="4" t="s">
        <v>134</v>
      </c>
      <c r="B332" s="5">
        <v>227</v>
      </c>
      <c r="C332" s="6">
        <v>3</v>
      </c>
      <c r="D332" s="6">
        <v>8</v>
      </c>
      <c r="E332" s="6">
        <v>10</v>
      </c>
      <c r="F332" s="6">
        <v>21</v>
      </c>
      <c r="G332" s="6">
        <v>331</v>
      </c>
      <c r="H332" s="7"/>
    </row>
    <row r="333" spans="1:8">
      <c r="A333" s="4" t="str">
        <f>HYPERLINK("https://scryfall.com/card/iko/384/gyruda-doom-of-depths","Gyruda, Doom of Depths")</f>
        <v>Gyruda, Doom of Depths</v>
      </c>
      <c r="B333" s="5">
        <v>231</v>
      </c>
      <c r="C333" s="6">
        <v>4</v>
      </c>
      <c r="D333" s="6">
        <v>7</v>
      </c>
      <c r="E333" s="6">
        <v>10</v>
      </c>
      <c r="F333" s="6">
        <v>21</v>
      </c>
      <c r="G333" s="6">
        <v>332</v>
      </c>
      <c r="H333" s="7"/>
    </row>
    <row r="334" spans="1:8">
      <c r="A334" s="4" t="s">
        <v>141</v>
      </c>
      <c r="B334" s="5">
        <v>235</v>
      </c>
      <c r="C334" s="6">
        <v>4</v>
      </c>
      <c r="D334" s="6">
        <v>9</v>
      </c>
      <c r="E334" s="6">
        <v>8</v>
      </c>
      <c r="F334" s="6">
        <v>21</v>
      </c>
      <c r="G334" s="6">
        <v>333</v>
      </c>
      <c r="H334" s="7"/>
    </row>
    <row r="335" spans="1:8">
      <c r="A335" s="4" t="s">
        <v>142</v>
      </c>
      <c r="B335" s="5">
        <v>239</v>
      </c>
      <c r="C335" s="6">
        <v>6</v>
      </c>
      <c r="D335" s="6">
        <v>7</v>
      </c>
      <c r="E335" s="6">
        <v>8</v>
      </c>
      <c r="F335" s="6">
        <v>21</v>
      </c>
      <c r="G335" s="6">
        <v>334</v>
      </c>
      <c r="H335" s="7"/>
    </row>
    <row r="336" spans="1:8">
      <c r="A336" s="4" t="str">
        <f>HYPERLINK("https://scryfall.com/card/emn/15a/bruna-the-fading-light","Bruna, the Fading Light")</f>
        <v>Bruna, the Fading Light</v>
      </c>
      <c r="B336" s="5">
        <v>240</v>
      </c>
      <c r="C336" s="6">
        <v>3</v>
      </c>
      <c r="D336" s="6">
        <v>8</v>
      </c>
      <c r="E336" s="6">
        <v>10</v>
      </c>
      <c r="F336" s="6">
        <v>21</v>
      </c>
      <c r="G336" s="6">
        <v>335</v>
      </c>
      <c r="H336" s="7"/>
    </row>
    <row r="337" spans="1:8">
      <c r="A337" s="4" t="s">
        <v>144</v>
      </c>
      <c r="B337" s="5">
        <v>243</v>
      </c>
      <c r="C337" s="6">
        <v>7</v>
      </c>
      <c r="D337" s="6">
        <v>5</v>
      </c>
      <c r="E337" s="6">
        <v>9</v>
      </c>
      <c r="F337" s="6">
        <v>21</v>
      </c>
      <c r="G337" s="6">
        <v>336</v>
      </c>
      <c r="H337" s="7"/>
    </row>
    <row r="338" spans="1:8">
      <c r="A338" s="4" t="s">
        <v>145</v>
      </c>
      <c r="B338" s="5">
        <v>249</v>
      </c>
      <c r="C338" s="6">
        <v>4</v>
      </c>
      <c r="D338" s="6">
        <v>7</v>
      </c>
      <c r="E338" s="6">
        <v>10</v>
      </c>
      <c r="F338" s="6">
        <v>21</v>
      </c>
      <c r="G338" s="6">
        <v>337</v>
      </c>
      <c r="H338" s="7"/>
    </row>
    <row r="339" spans="1:8">
      <c r="A339" s="4" t="str">
        <f>HYPERLINK("https://scryfall.com/card/lrw/247/doran-the-siege-tower","Doran, the Siege Tower")</f>
        <v>Doran, the Siege Tower</v>
      </c>
      <c r="B339" s="5">
        <v>253</v>
      </c>
      <c r="C339" s="6">
        <v>2</v>
      </c>
      <c r="D339" s="6">
        <v>9</v>
      </c>
      <c r="E339" s="6">
        <v>10</v>
      </c>
      <c r="F339" s="6">
        <v>21</v>
      </c>
      <c r="G339" s="6">
        <v>338</v>
      </c>
      <c r="H339" s="7"/>
    </row>
    <row r="340" spans="1:8">
      <c r="A340" s="4" t="str">
        <f>HYPERLINK("https://scryfall.com/card/c20/15/silvar-devourer-of-the-free","Silvar, Devourer of the Free")</f>
        <v>Silvar, Devourer of the Free</v>
      </c>
      <c r="B340" s="5">
        <v>261</v>
      </c>
      <c r="C340" s="6">
        <v>5</v>
      </c>
      <c r="D340" s="6">
        <v>9</v>
      </c>
      <c r="E340" s="6">
        <v>7</v>
      </c>
      <c r="F340" s="6">
        <v>21</v>
      </c>
      <c r="G340" s="6">
        <v>339</v>
      </c>
      <c r="H340" s="7"/>
    </row>
    <row r="341" spans="1:8">
      <c r="A341" s="4" t="s">
        <v>149</v>
      </c>
      <c r="B341" s="5">
        <v>263</v>
      </c>
      <c r="C341" s="6">
        <v>4</v>
      </c>
      <c r="D341" s="6">
        <v>10</v>
      </c>
      <c r="E341" s="6">
        <v>7</v>
      </c>
      <c r="F341" s="6">
        <v>21</v>
      </c>
      <c r="G341" s="6">
        <v>340</v>
      </c>
      <c r="H341" s="7"/>
    </row>
    <row r="342" spans="1:8">
      <c r="A342" s="4" t="str">
        <f>HYPERLINK("https://scryfall.com/card/thb/224/polukranos-unchained","Polukranos, Unchained")</f>
        <v>Polukranos, Unchained</v>
      </c>
      <c r="B342" s="5">
        <v>266</v>
      </c>
      <c r="C342" s="6">
        <v>4</v>
      </c>
      <c r="D342" s="6">
        <v>7</v>
      </c>
      <c r="E342" s="6">
        <v>10</v>
      </c>
      <c r="F342" s="6">
        <v>21</v>
      </c>
      <c r="G342" s="6">
        <v>341</v>
      </c>
      <c r="H342" s="7"/>
    </row>
    <row r="343" spans="1:8">
      <c r="A343" s="4" t="str">
        <f>HYPERLINK("https://scryfall.com/card/c16/37/ludevic-necro-alchemist","Ludevic, Necro-Alchemist")</f>
        <v>Ludevic, Necro-Alchemist</v>
      </c>
      <c r="B343" s="5">
        <v>268</v>
      </c>
      <c r="C343" s="6">
        <v>4</v>
      </c>
      <c r="D343" s="6">
        <v>8</v>
      </c>
      <c r="E343" s="6">
        <v>9</v>
      </c>
      <c r="F343" s="6">
        <v>21</v>
      </c>
      <c r="G343" s="6">
        <v>342</v>
      </c>
      <c r="H343" s="7"/>
    </row>
    <row r="344" spans="1:8">
      <c r="A344" s="4" t="s">
        <v>151</v>
      </c>
      <c r="B344" s="5">
        <v>270</v>
      </c>
      <c r="C344" s="6">
        <v>4</v>
      </c>
      <c r="D344" s="6">
        <v>9</v>
      </c>
      <c r="E344" s="6">
        <v>8</v>
      </c>
      <c r="F344" s="6">
        <v>21</v>
      </c>
      <c r="G344" s="6">
        <v>343</v>
      </c>
      <c r="H344" s="7"/>
    </row>
    <row r="345" spans="1:8">
      <c r="A345" s="4" t="s">
        <v>153</v>
      </c>
      <c r="B345" s="5">
        <v>272</v>
      </c>
      <c r="C345" s="6">
        <v>3</v>
      </c>
      <c r="D345" s="6">
        <v>10</v>
      </c>
      <c r="E345" s="6">
        <v>8</v>
      </c>
      <c r="F345" s="6">
        <v>21</v>
      </c>
      <c r="G345" s="6">
        <v>344</v>
      </c>
      <c r="H345" s="7"/>
    </row>
    <row r="346" spans="1:8">
      <c r="A346" s="4" t="s">
        <v>154</v>
      </c>
      <c r="B346" s="5">
        <v>273</v>
      </c>
      <c r="C346" s="6">
        <v>4</v>
      </c>
      <c r="D346" s="6">
        <v>9</v>
      </c>
      <c r="E346" s="6">
        <v>8</v>
      </c>
      <c r="F346" s="6">
        <v>21</v>
      </c>
      <c r="G346" s="6">
        <v>345</v>
      </c>
      <c r="H346" s="7"/>
    </row>
    <row r="347" spans="1:8">
      <c r="A347" s="4" t="s">
        <v>155</v>
      </c>
      <c r="B347" s="5">
        <v>274</v>
      </c>
      <c r="C347" s="6">
        <v>3</v>
      </c>
      <c r="D347" s="6">
        <v>8</v>
      </c>
      <c r="E347" s="6">
        <v>10</v>
      </c>
      <c r="F347" s="6">
        <v>21</v>
      </c>
      <c r="G347" s="6">
        <v>346</v>
      </c>
      <c r="H347" s="7"/>
    </row>
    <row r="348" spans="1:8">
      <c r="A348" s="4" t="s">
        <v>156</v>
      </c>
      <c r="B348" s="5">
        <v>276</v>
      </c>
      <c r="C348" s="6">
        <v>4</v>
      </c>
      <c r="D348" s="6">
        <v>7</v>
      </c>
      <c r="E348" s="6">
        <v>10</v>
      </c>
      <c r="F348" s="6">
        <v>21</v>
      </c>
      <c r="G348" s="6">
        <v>347</v>
      </c>
      <c r="H348" s="7"/>
    </row>
    <row r="349" spans="1:8">
      <c r="A349" s="4" t="str">
        <f>HYPERLINK("https://scryfall.com/card/ima/11/avacyn-angel-of-hope","Avacyn, Angel of Hope")</f>
        <v>Avacyn, Angel of Hope</v>
      </c>
      <c r="B349" s="5">
        <v>279</v>
      </c>
      <c r="C349" s="6">
        <v>5</v>
      </c>
      <c r="D349" s="6">
        <v>7</v>
      </c>
      <c r="E349" s="6">
        <v>9</v>
      </c>
      <c r="F349" s="6">
        <v>21</v>
      </c>
      <c r="G349" s="6">
        <v>348</v>
      </c>
      <c r="H349" s="7"/>
    </row>
    <row r="350" spans="1:8">
      <c r="A350" s="4" t="str">
        <f>HYPERLINK("https://scryfall.com/card/ddt/52/krenko-mob-boss","Krenko, Mob Boss")</f>
        <v>Krenko, Mob Boss</v>
      </c>
      <c r="B350" s="5">
        <v>283</v>
      </c>
      <c r="C350" s="6">
        <v>5</v>
      </c>
      <c r="D350" s="6">
        <v>10</v>
      </c>
      <c r="E350" s="6">
        <v>6</v>
      </c>
      <c r="F350" s="6">
        <v>21</v>
      </c>
      <c r="G350" s="6">
        <v>349</v>
      </c>
      <c r="H350" s="7"/>
    </row>
    <row r="351" spans="1:8">
      <c r="A351" s="4" t="str">
        <f>HYPERLINK("https://scryfall.com/card/m19/212/arcades-the-strategist","Arcades, the Strategist")</f>
        <v>Arcades, the Strategist</v>
      </c>
      <c r="B351" s="5">
        <v>291</v>
      </c>
      <c r="C351" s="6">
        <v>6</v>
      </c>
      <c r="D351" s="6">
        <v>9</v>
      </c>
      <c r="E351" s="6">
        <v>6</v>
      </c>
      <c r="F351" s="6">
        <v>21</v>
      </c>
      <c r="G351" s="6">
        <v>350</v>
      </c>
      <c r="H351" s="7"/>
    </row>
    <row r="352" spans="1:8">
      <c r="A352" s="4" t="str">
        <f>HYPERLINK("https://scryfall.com/card/c15/46/karlov-of-the-ghost-council","Karlov of the Ghost Council")</f>
        <v>Karlov of the Ghost Council</v>
      </c>
      <c r="B352" s="5">
        <v>294</v>
      </c>
      <c r="C352" s="6">
        <v>6</v>
      </c>
      <c r="D352" s="6">
        <v>8</v>
      </c>
      <c r="E352" s="6">
        <v>7</v>
      </c>
      <c r="F352" s="6">
        <v>21</v>
      </c>
      <c r="G352" s="6">
        <v>351</v>
      </c>
      <c r="H352" s="7"/>
    </row>
    <row r="353" spans="1:8">
      <c r="A353" s="4" t="s">
        <v>169</v>
      </c>
      <c r="B353" s="5">
        <v>299</v>
      </c>
      <c r="C353" s="6">
        <v>5</v>
      </c>
      <c r="D353" s="6">
        <v>6</v>
      </c>
      <c r="E353" s="6">
        <v>10</v>
      </c>
      <c r="F353" s="6">
        <v>21</v>
      </c>
      <c r="G353" s="6">
        <v>352</v>
      </c>
      <c r="H353" s="7"/>
    </row>
    <row r="354" spans="1:8">
      <c r="A354" s="4" t="str">
        <f>HYPERLINK("https://scryfall.com/card/a25/205/grenzo-dungeon-warden","Grenzo, Dungeon Warden")</f>
        <v>Grenzo, Dungeon Warden</v>
      </c>
      <c r="B354" s="5">
        <v>305</v>
      </c>
      <c r="C354" s="6">
        <v>6</v>
      </c>
      <c r="D354" s="6">
        <v>9</v>
      </c>
      <c r="E354" s="6">
        <v>6</v>
      </c>
      <c r="F354" s="6">
        <v>21</v>
      </c>
      <c r="G354" s="6">
        <v>353</v>
      </c>
      <c r="H354" s="7"/>
    </row>
    <row r="355" spans="1:8">
      <c r="A355" s="4" t="str">
        <f>HYPERLINK("https://scryfall.com/card/thb/229/uro-titan-of-natures-wrath","Uro, Titan of Nature's Wrath")</f>
        <v>Uro, Titan of Nature's Wrath</v>
      </c>
      <c r="B355" s="5">
        <v>307</v>
      </c>
      <c r="C355" s="6">
        <v>6</v>
      </c>
      <c r="D355" s="6">
        <v>8</v>
      </c>
      <c r="E355" s="6">
        <v>7</v>
      </c>
      <c r="F355" s="6">
        <v>21</v>
      </c>
      <c r="G355" s="6">
        <v>354</v>
      </c>
      <c r="H355" s="7"/>
    </row>
    <row r="356" spans="1:8">
      <c r="A356" s="4" t="s">
        <v>174</v>
      </c>
      <c r="B356" s="5">
        <v>309</v>
      </c>
      <c r="C356" s="6">
        <v>6</v>
      </c>
      <c r="D356" s="6">
        <v>7</v>
      </c>
      <c r="E356" s="6">
        <v>8</v>
      </c>
      <c r="F356" s="6">
        <v>21</v>
      </c>
      <c r="G356" s="6">
        <v>355</v>
      </c>
      <c r="H356" s="7"/>
    </row>
    <row r="357" spans="1:8">
      <c r="A357" s="4" t="s">
        <v>176</v>
      </c>
      <c r="B357" s="5">
        <v>311</v>
      </c>
      <c r="C357" s="6">
        <v>4</v>
      </c>
      <c r="D357" s="6">
        <v>7</v>
      </c>
      <c r="E357" s="6">
        <v>10</v>
      </c>
      <c r="F357" s="6">
        <v>21</v>
      </c>
      <c r="G357" s="6">
        <v>356</v>
      </c>
      <c r="H357" s="7"/>
    </row>
    <row r="358" spans="1:8">
      <c r="A358" s="4" t="str">
        <f>HYPERLINK("https://scryfall.com/card/thb/221/kroxa-titan-of-deaths-hunger","Kroxa, Titan of Death's Hunger")</f>
        <v>Kroxa, Titan of Death's Hunger</v>
      </c>
      <c r="B358" s="5">
        <v>321</v>
      </c>
      <c r="C358" s="6">
        <v>6</v>
      </c>
      <c r="D358" s="6">
        <v>6</v>
      </c>
      <c r="E358" s="6">
        <v>9</v>
      </c>
      <c r="F358" s="6">
        <v>21</v>
      </c>
      <c r="G358" s="6">
        <v>357</v>
      </c>
      <c r="H358" s="7"/>
    </row>
    <row r="359" spans="1:8">
      <c r="A359" s="4" t="str">
        <f>HYPERLINK("https://scryfall.com/card/gk2/80/ruric-thar-the-unbowed","Ruric Thar, the Unbowed")</f>
        <v>Ruric Thar, the Unbowed</v>
      </c>
      <c r="B359" s="5">
        <v>324</v>
      </c>
      <c r="C359" s="6">
        <v>3</v>
      </c>
      <c r="D359" s="6">
        <v>8</v>
      </c>
      <c r="E359" s="6">
        <v>10</v>
      </c>
      <c r="F359" s="6">
        <v>21</v>
      </c>
      <c r="G359" s="6">
        <v>358</v>
      </c>
      <c r="H359" s="7"/>
    </row>
    <row r="360" spans="1:8">
      <c r="A360" s="4" t="s">
        <v>184</v>
      </c>
      <c r="B360" s="5">
        <v>330</v>
      </c>
      <c r="C360" s="6">
        <v>6</v>
      </c>
      <c r="D360" s="6">
        <v>9</v>
      </c>
      <c r="E360" s="6">
        <v>6</v>
      </c>
      <c r="F360" s="6">
        <v>21</v>
      </c>
      <c r="G360" s="6">
        <v>359</v>
      </c>
      <c r="H360" s="7"/>
    </row>
    <row r="361" spans="1:8">
      <c r="A361" s="4" t="str">
        <f>HYPERLINK("https://scryfall.com/card/c13/203/oloro-ageless-ascetic","Oloro, Ageless Ascetic")</f>
        <v>Oloro, Ageless Ascetic</v>
      </c>
      <c r="B361" s="5">
        <v>331</v>
      </c>
      <c r="C361" s="6">
        <v>5</v>
      </c>
      <c r="D361" s="6">
        <v>9</v>
      </c>
      <c r="E361" s="6">
        <v>7</v>
      </c>
      <c r="F361" s="6">
        <v>21</v>
      </c>
      <c r="G361" s="6">
        <v>360</v>
      </c>
      <c r="H361" s="7"/>
    </row>
    <row r="362" spans="1:8">
      <c r="A362" s="4" t="s">
        <v>185</v>
      </c>
      <c r="B362" s="5">
        <v>332</v>
      </c>
      <c r="C362" s="6">
        <v>3</v>
      </c>
      <c r="D362" s="6">
        <v>8</v>
      </c>
      <c r="E362" s="6">
        <v>10</v>
      </c>
      <c r="F362" s="6">
        <v>21</v>
      </c>
      <c r="G362" s="6">
        <v>361</v>
      </c>
      <c r="H362" s="7"/>
    </row>
    <row r="363" spans="1:8">
      <c r="A363" s="4" t="str">
        <f>HYPERLINK("https://scryfall.com/card/c18/41/gyrus-waker-of-corpses","Gyrus, Waker of Corpses")</f>
        <v>Gyrus, Waker of Corpses</v>
      </c>
      <c r="B363" s="5">
        <v>334</v>
      </c>
      <c r="C363" s="6">
        <v>4</v>
      </c>
      <c r="D363" s="6">
        <v>8</v>
      </c>
      <c r="E363" s="6">
        <v>9</v>
      </c>
      <c r="F363" s="6">
        <v>21</v>
      </c>
      <c r="G363" s="6">
        <v>362</v>
      </c>
      <c r="H363" s="7"/>
    </row>
    <row r="364" spans="1:8">
      <c r="A364" s="4" t="s">
        <v>188</v>
      </c>
      <c r="B364" s="5">
        <v>338</v>
      </c>
      <c r="C364" s="6">
        <v>4</v>
      </c>
      <c r="D364" s="6">
        <v>9</v>
      </c>
      <c r="E364" s="6">
        <v>8</v>
      </c>
      <c r="F364" s="6">
        <v>21</v>
      </c>
      <c r="G364" s="6">
        <v>363</v>
      </c>
      <c r="H364" s="7"/>
    </row>
    <row r="365" spans="1:8">
      <c r="A365" s="4" t="s">
        <v>194</v>
      </c>
      <c r="B365" s="5">
        <v>346</v>
      </c>
      <c r="C365" s="6">
        <v>4</v>
      </c>
      <c r="D365" s="6">
        <v>10</v>
      </c>
      <c r="E365" s="6">
        <v>7</v>
      </c>
      <c r="F365" s="6">
        <v>21</v>
      </c>
      <c r="G365" s="6">
        <v>364</v>
      </c>
      <c r="H365" s="7"/>
    </row>
    <row r="366" spans="1:8">
      <c r="A366" s="4" t="s">
        <v>197</v>
      </c>
      <c r="B366" s="5">
        <v>353</v>
      </c>
      <c r="C366" s="6">
        <v>3</v>
      </c>
      <c r="D366" s="6">
        <v>8</v>
      </c>
      <c r="E366" s="6">
        <v>10</v>
      </c>
      <c r="F366" s="6">
        <v>21</v>
      </c>
      <c r="G366" s="6">
        <v>365</v>
      </c>
      <c r="H366" s="7"/>
    </row>
    <row r="367" spans="1:8">
      <c r="A367" s="4" t="s">
        <v>213</v>
      </c>
      <c r="B367" s="5">
        <v>377</v>
      </c>
      <c r="C367" s="6">
        <v>4</v>
      </c>
      <c r="D367" s="6">
        <v>8</v>
      </c>
      <c r="E367" s="6">
        <v>9</v>
      </c>
      <c r="F367" s="6">
        <v>21</v>
      </c>
      <c r="G367" s="6">
        <v>366</v>
      </c>
      <c r="H367" s="7"/>
    </row>
    <row r="368" spans="1:8">
      <c r="A368" s="4" t="s">
        <v>215</v>
      </c>
      <c r="B368" s="5">
        <v>380</v>
      </c>
      <c r="C368" s="6">
        <v>4</v>
      </c>
      <c r="D368" s="6">
        <v>10</v>
      </c>
      <c r="E368" s="6">
        <v>7</v>
      </c>
      <c r="F368" s="6">
        <v>21</v>
      </c>
      <c r="G368" s="6">
        <v>367</v>
      </c>
      <c r="H368" s="7"/>
    </row>
    <row r="369" spans="1:8">
      <c r="A369" s="4" t="str">
        <f>HYPERLINK("https://scryfall.com/card/c13/194/jeleva-nephalias-scourge","Jeleva, Nephalia's Scourge")</f>
        <v>Jeleva, Nephalia's Scourge</v>
      </c>
      <c r="B369" s="5">
        <v>386</v>
      </c>
      <c r="C369" s="6">
        <v>7</v>
      </c>
      <c r="D369" s="6">
        <v>8</v>
      </c>
      <c r="E369" s="6">
        <v>6</v>
      </c>
      <c r="F369" s="6">
        <v>21</v>
      </c>
      <c r="G369" s="6">
        <v>368</v>
      </c>
      <c r="H369" s="7"/>
    </row>
    <row r="370" spans="1:8">
      <c r="A370" s="4" t="s">
        <v>222</v>
      </c>
      <c r="B370" s="5">
        <v>388</v>
      </c>
      <c r="C370" s="6">
        <v>4</v>
      </c>
      <c r="D370" s="6">
        <v>8</v>
      </c>
      <c r="E370" s="6">
        <v>9</v>
      </c>
      <c r="F370" s="6">
        <v>21</v>
      </c>
      <c r="G370" s="6">
        <v>369</v>
      </c>
      <c r="H370" s="7"/>
    </row>
    <row r="371" spans="1:8">
      <c r="A371" s="4" t="str">
        <f>HYPERLINK("https://scryfall.com/card/emn/162/ishkanah-grafwidow","Ishkanah, Grafwidow")</f>
        <v>Ishkanah, Grafwidow</v>
      </c>
      <c r="B371" s="5">
        <v>394</v>
      </c>
      <c r="C371" s="6">
        <v>3</v>
      </c>
      <c r="D371" s="6">
        <v>9</v>
      </c>
      <c r="E371" s="6">
        <v>9</v>
      </c>
      <c r="F371" s="6">
        <v>21</v>
      </c>
      <c r="G371" s="6">
        <v>370</v>
      </c>
      <c r="H371" s="7"/>
    </row>
    <row r="372" spans="1:8">
      <c r="A372" s="4" t="s">
        <v>228</v>
      </c>
      <c r="B372" s="5">
        <v>404</v>
      </c>
      <c r="C372" s="6">
        <v>5</v>
      </c>
      <c r="D372" s="6">
        <v>9</v>
      </c>
      <c r="E372" s="6">
        <v>7</v>
      </c>
      <c r="F372" s="6">
        <v>21</v>
      </c>
      <c r="G372" s="6">
        <v>371</v>
      </c>
      <c r="H372" s="7"/>
    </row>
    <row r="373" spans="1:8">
      <c r="A373" s="4" t="s">
        <v>229</v>
      </c>
      <c r="B373" s="5">
        <v>405</v>
      </c>
      <c r="C373" s="6">
        <v>5</v>
      </c>
      <c r="D373" s="6">
        <v>9</v>
      </c>
      <c r="E373" s="6">
        <v>7</v>
      </c>
      <c r="F373" s="6">
        <v>21</v>
      </c>
      <c r="G373" s="6">
        <v>372</v>
      </c>
      <c r="H373" s="7"/>
    </row>
    <row r="374" spans="1:8">
      <c r="A374" s="4" t="str">
        <f>HYPERLINK("https://scryfall.com/card/c17/38/inalla-archmage-ritualist","Inalla, Archmage Ritualist")</f>
        <v>Inalla, Archmage Ritualist</v>
      </c>
      <c r="B374" s="5">
        <v>409</v>
      </c>
      <c r="C374" s="6">
        <v>7</v>
      </c>
      <c r="D374" s="6">
        <v>9</v>
      </c>
      <c r="E374" s="6">
        <v>5</v>
      </c>
      <c r="F374" s="6">
        <v>21</v>
      </c>
      <c r="G374" s="6">
        <v>373</v>
      </c>
      <c r="H374" s="7"/>
    </row>
    <row r="375" spans="1:8">
      <c r="A375" s="4" t="s">
        <v>234</v>
      </c>
      <c r="B375" s="5">
        <v>413</v>
      </c>
      <c r="C375" s="6">
        <v>7</v>
      </c>
      <c r="D375" s="6">
        <v>5</v>
      </c>
      <c r="E375" s="6">
        <v>9</v>
      </c>
      <c r="F375" s="6">
        <v>21</v>
      </c>
      <c r="G375" s="6">
        <v>374</v>
      </c>
      <c r="H375" s="7"/>
    </row>
    <row r="376" spans="1:8">
      <c r="A376" s="4" t="s">
        <v>244</v>
      </c>
      <c r="B376" s="5">
        <v>425</v>
      </c>
      <c r="C376" s="6">
        <v>4</v>
      </c>
      <c r="D376" s="6">
        <v>10</v>
      </c>
      <c r="E376" s="6">
        <v>7</v>
      </c>
      <c r="F376" s="6">
        <v>21</v>
      </c>
      <c r="G376" s="6">
        <v>375</v>
      </c>
      <c r="H376" s="7"/>
    </row>
    <row r="377" spans="1:8">
      <c r="A377" s="4" t="s">
        <v>248</v>
      </c>
      <c r="B377" s="5">
        <v>433</v>
      </c>
      <c r="C377" s="6">
        <v>5</v>
      </c>
      <c r="D377" s="6">
        <v>8</v>
      </c>
      <c r="E377" s="6">
        <v>8</v>
      </c>
      <c r="F377" s="6">
        <v>21</v>
      </c>
      <c r="G377" s="6">
        <v>376</v>
      </c>
      <c r="H377" s="7"/>
    </row>
    <row r="378" spans="1:8">
      <c r="A378" s="4" t="s">
        <v>250</v>
      </c>
      <c r="B378" s="5">
        <v>435</v>
      </c>
      <c r="C378" s="6">
        <v>5</v>
      </c>
      <c r="D378" s="6">
        <v>9</v>
      </c>
      <c r="E378" s="6">
        <v>7</v>
      </c>
      <c r="F378" s="6">
        <v>21</v>
      </c>
      <c r="G378" s="6">
        <v>377</v>
      </c>
      <c r="H378" s="7"/>
    </row>
    <row r="379" spans="1:8">
      <c r="A379" s="4" t="s">
        <v>262</v>
      </c>
      <c r="B379" s="5">
        <v>454</v>
      </c>
      <c r="C379" s="6">
        <v>7</v>
      </c>
      <c r="D379" s="6">
        <v>5</v>
      </c>
      <c r="E379" s="6">
        <v>9</v>
      </c>
      <c r="F379" s="6">
        <v>21</v>
      </c>
      <c r="G379" s="6">
        <v>378</v>
      </c>
      <c r="H379" s="7"/>
    </row>
    <row r="380" spans="1:8">
      <c r="A380" s="4" t="s">
        <v>263</v>
      </c>
      <c r="B380" s="5">
        <v>455</v>
      </c>
      <c r="C380" s="6">
        <v>4</v>
      </c>
      <c r="D380" s="6">
        <v>7</v>
      </c>
      <c r="E380" s="6">
        <v>10</v>
      </c>
      <c r="F380" s="6">
        <v>21</v>
      </c>
      <c r="G380" s="6">
        <v>379</v>
      </c>
      <c r="H380" s="7"/>
    </row>
    <row r="381" spans="1:8">
      <c r="A381" s="4" t="str">
        <f>HYPERLINK("https://scryfall.com/card/akh/207/temmet-vizier-of-naktamun","Temmet, Vizier of Naktamun")</f>
        <v>Temmet, Vizier of Naktamun</v>
      </c>
      <c r="B381" s="5">
        <v>459</v>
      </c>
      <c r="C381" s="6">
        <v>4</v>
      </c>
      <c r="D381" s="6">
        <v>10</v>
      </c>
      <c r="E381" s="6">
        <v>7</v>
      </c>
      <c r="F381" s="6">
        <v>21</v>
      </c>
      <c r="G381" s="6">
        <v>380</v>
      </c>
      <c r="H381" s="7"/>
    </row>
    <row r="382" spans="1:8">
      <c r="A382" s="4" t="str">
        <f>HYPERLINK("https://scryfall.com/card/aer/28/baral-chief-of-compliance","Baral, Chief of Compliance")</f>
        <v>Baral, Chief of Compliance</v>
      </c>
      <c r="B382" s="5">
        <v>464</v>
      </c>
      <c r="C382" s="6">
        <v>10</v>
      </c>
      <c r="D382" s="6">
        <v>5</v>
      </c>
      <c r="E382" s="6">
        <v>6</v>
      </c>
      <c r="F382" s="6">
        <v>21</v>
      </c>
      <c r="G382" s="6">
        <v>381</v>
      </c>
      <c r="H382" s="7"/>
    </row>
    <row r="383" spans="1:8">
      <c r="A383" s="4" t="str">
        <f>HYPERLINK("https://scryfall.com/card/bfz/217/omnath-locus-of-rage","Omnath, Locus of Rage")</f>
        <v>Omnath, Locus of Rage</v>
      </c>
      <c r="B383" s="5">
        <v>465</v>
      </c>
      <c r="C383" s="6">
        <v>6</v>
      </c>
      <c r="D383" s="6">
        <v>9</v>
      </c>
      <c r="E383" s="6">
        <v>6</v>
      </c>
      <c r="F383" s="6">
        <v>21</v>
      </c>
      <c r="G383" s="6">
        <v>382</v>
      </c>
      <c r="H383" s="7"/>
    </row>
    <row r="384" spans="1:8">
      <c r="A384" s="4" t="s">
        <v>273</v>
      </c>
      <c r="B384" s="5">
        <v>472</v>
      </c>
      <c r="C384" s="6">
        <v>5</v>
      </c>
      <c r="D384" s="6">
        <v>9</v>
      </c>
      <c r="E384" s="6">
        <v>7</v>
      </c>
      <c r="F384" s="6">
        <v>21</v>
      </c>
      <c r="G384" s="6">
        <v>383</v>
      </c>
      <c r="H384" s="7"/>
    </row>
    <row r="385" spans="1:8">
      <c r="A385" s="4" t="str">
        <f>HYPERLINK("https://scryfall.com/card/cm2/12/ishai-ojutai-dragonspeaker","Ishai, Ojutai Dragonspeaker")</f>
        <v>Ishai, Ojutai Dragonspeaker</v>
      </c>
      <c r="B385" s="5">
        <v>473</v>
      </c>
      <c r="C385" s="6">
        <v>5</v>
      </c>
      <c r="D385" s="6">
        <v>6</v>
      </c>
      <c r="E385" s="6">
        <v>10</v>
      </c>
      <c r="F385" s="6">
        <v>21</v>
      </c>
      <c r="G385" s="6">
        <v>384</v>
      </c>
      <c r="H385" s="7"/>
    </row>
    <row r="386" spans="1:8">
      <c r="A386" s="4" t="s">
        <v>278</v>
      </c>
      <c r="B386" s="5">
        <v>483</v>
      </c>
      <c r="C386" s="6">
        <v>3</v>
      </c>
      <c r="D386" s="6">
        <v>9</v>
      </c>
      <c r="E386" s="6">
        <v>9</v>
      </c>
      <c r="F386" s="6">
        <v>21</v>
      </c>
      <c r="G386" s="6">
        <v>385</v>
      </c>
      <c r="H386" s="7"/>
    </row>
    <row r="387" spans="1:8">
      <c r="A387" s="4" t="s">
        <v>280</v>
      </c>
      <c r="B387" s="5">
        <v>485</v>
      </c>
      <c r="C387" s="6">
        <v>8</v>
      </c>
      <c r="D387" s="6">
        <v>6</v>
      </c>
      <c r="E387" s="6">
        <v>7</v>
      </c>
      <c r="F387" s="6">
        <v>21</v>
      </c>
      <c r="G387" s="6">
        <v>386</v>
      </c>
      <c r="H387" s="7"/>
    </row>
    <row r="388" spans="1:8">
      <c r="A388" s="4" t="str">
        <f>HYPERLINK("https://scryfall.com/card/m20/212/kykar-winds-fury","Kykar, Wind's Fury")</f>
        <v>Kykar, Wind's Fury</v>
      </c>
      <c r="B388" s="5">
        <v>490</v>
      </c>
      <c r="C388" s="6">
        <v>9</v>
      </c>
      <c r="D388" s="6">
        <v>6</v>
      </c>
      <c r="E388" s="6">
        <v>6</v>
      </c>
      <c r="F388" s="6">
        <v>21</v>
      </c>
      <c r="G388" s="6">
        <v>387</v>
      </c>
      <c r="H388" s="7"/>
    </row>
    <row r="389" spans="1:8">
      <c r="A389" s="4" t="str">
        <f>HYPERLINK("https://scryfall.com/card/c16/224/sydri-galvanic-genius","Sydri, Galvanic Genius")</f>
        <v>Sydri, Galvanic Genius</v>
      </c>
      <c r="B389" s="5">
        <v>496</v>
      </c>
      <c r="C389" s="6">
        <v>6</v>
      </c>
      <c r="D389" s="6">
        <v>6</v>
      </c>
      <c r="E389" s="6">
        <v>9</v>
      </c>
      <c r="F389" s="6">
        <v>21</v>
      </c>
      <c r="G389" s="6">
        <v>388</v>
      </c>
      <c r="H389" s="7"/>
    </row>
    <row r="390" spans="1:8">
      <c r="A390" s="4" t="str">
        <f>HYPERLINK("https://scryfall.com/card/rna/185/judith-the-scourge-diva","Judith, the Scourge Diva")</f>
        <v>Judith, the Scourge Diva</v>
      </c>
      <c r="B390" s="5">
        <v>514</v>
      </c>
      <c r="C390" s="6">
        <v>5</v>
      </c>
      <c r="D390" s="6">
        <v>7</v>
      </c>
      <c r="E390" s="6">
        <v>9</v>
      </c>
      <c r="F390" s="6">
        <v>21</v>
      </c>
      <c r="G390" s="6">
        <v>389</v>
      </c>
      <c r="H390" s="7"/>
    </row>
    <row r="391" spans="1:8">
      <c r="A391" s="4" t="s">
        <v>310</v>
      </c>
      <c r="B391" s="5">
        <v>527</v>
      </c>
      <c r="C391" s="6">
        <v>5</v>
      </c>
      <c r="D391" s="6">
        <v>6</v>
      </c>
      <c r="E391" s="6">
        <v>10</v>
      </c>
      <c r="F391" s="6">
        <v>21</v>
      </c>
      <c r="G391" s="6">
        <v>390</v>
      </c>
      <c r="H391" s="7"/>
    </row>
    <row r="392" spans="1:8">
      <c r="A392" s="4" t="s">
        <v>311</v>
      </c>
      <c r="B392" s="5">
        <v>528</v>
      </c>
      <c r="C392" s="6">
        <v>6</v>
      </c>
      <c r="D392" s="6">
        <v>8</v>
      </c>
      <c r="E392" s="6">
        <v>7</v>
      </c>
      <c r="F392" s="6">
        <v>21</v>
      </c>
      <c r="G392" s="6">
        <v>391</v>
      </c>
      <c r="H392" s="7"/>
    </row>
    <row r="393" spans="1:8">
      <c r="A393" s="4" t="s">
        <v>315</v>
      </c>
      <c r="B393" s="5">
        <v>533</v>
      </c>
      <c r="C393" s="6">
        <v>3</v>
      </c>
      <c r="D393" s="6">
        <v>10</v>
      </c>
      <c r="E393" s="6">
        <v>8</v>
      </c>
      <c r="F393" s="6">
        <v>21</v>
      </c>
      <c r="G393" s="6">
        <v>392</v>
      </c>
      <c r="H393" s="7"/>
    </row>
    <row r="394" spans="1:8">
      <c r="A394" s="4" t="str">
        <f>HYPERLINK("https://scryfall.com/card/c20/16/tayam-luminous-enigma","Tayam, Luminous Enigma")</f>
        <v>Tayam, Luminous Enigma</v>
      </c>
      <c r="B394" s="5">
        <v>541</v>
      </c>
      <c r="C394" s="6">
        <v>4</v>
      </c>
      <c r="D394" s="6">
        <v>8</v>
      </c>
      <c r="E394" s="6">
        <v>9</v>
      </c>
      <c r="F394" s="6">
        <v>21</v>
      </c>
      <c r="G394" s="6">
        <v>393</v>
      </c>
      <c r="H394" s="7"/>
    </row>
    <row r="395" spans="1:8">
      <c r="A395" s="4" t="str">
        <f>HYPERLINK("https://scryfall.com/card/iko/192/kinnan-bonder-prodigy","Kinnan, Bonder Prodigy")</f>
        <v>Kinnan, Bonder Prodigy</v>
      </c>
      <c r="B395" s="5">
        <v>543</v>
      </c>
      <c r="C395" s="6">
        <v>8</v>
      </c>
      <c r="D395" s="6">
        <v>8</v>
      </c>
      <c r="E395" s="6">
        <v>5</v>
      </c>
      <c r="F395" s="6">
        <v>21</v>
      </c>
      <c r="G395" s="6">
        <v>394</v>
      </c>
      <c r="H395" s="7"/>
    </row>
    <row r="396" spans="1:8">
      <c r="A396" s="4" t="s">
        <v>322</v>
      </c>
      <c r="B396" s="5">
        <v>549</v>
      </c>
      <c r="C396" s="6">
        <v>4</v>
      </c>
      <c r="D396" s="6">
        <v>7</v>
      </c>
      <c r="E396" s="6">
        <v>10</v>
      </c>
      <c r="F396" s="6">
        <v>21</v>
      </c>
      <c r="G396" s="6">
        <v>395</v>
      </c>
      <c r="H396" s="7"/>
    </row>
    <row r="397" spans="1:8">
      <c r="A397" s="4" t="s">
        <v>323</v>
      </c>
      <c r="B397" s="5">
        <v>550</v>
      </c>
      <c r="C397" s="6">
        <v>3</v>
      </c>
      <c r="D397" s="6">
        <v>8</v>
      </c>
      <c r="E397" s="6">
        <v>10</v>
      </c>
      <c r="F397" s="6">
        <v>21</v>
      </c>
      <c r="G397" s="6">
        <v>396</v>
      </c>
      <c r="H397" s="7"/>
    </row>
    <row r="398" spans="1:8">
      <c r="A398" s="4" t="str">
        <f>HYPERLINK("https://scryfall.com/card/iko/231/umori-the-collector","Umori, the Collector")</f>
        <v>Umori, the Collector</v>
      </c>
      <c r="B398" s="5">
        <v>553</v>
      </c>
      <c r="C398" s="6">
        <v>4</v>
      </c>
      <c r="D398" s="6">
        <v>10</v>
      </c>
      <c r="E398" s="6">
        <v>7</v>
      </c>
      <c r="F398" s="6">
        <v>21</v>
      </c>
      <c r="G398" s="6">
        <v>397</v>
      </c>
      <c r="H398" s="7"/>
    </row>
    <row r="399" spans="1:8">
      <c r="A399" s="4" t="s">
        <v>328</v>
      </c>
      <c r="B399" s="5">
        <v>562</v>
      </c>
      <c r="C399" s="6">
        <v>4</v>
      </c>
      <c r="D399" s="6">
        <v>7</v>
      </c>
      <c r="E399" s="6">
        <v>10</v>
      </c>
      <c r="F399" s="6">
        <v>21</v>
      </c>
      <c r="G399" s="6">
        <v>398</v>
      </c>
      <c r="H399" s="7"/>
    </row>
    <row r="400" spans="1:8">
      <c r="A400" s="4" t="str">
        <f>HYPERLINK("https://scryfall.com/card/cm2/157/ghave-guru-of-spores","Ghave, Guru of Spores")</f>
        <v>Ghave, Guru of Spores</v>
      </c>
      <c r="B400" s="5">
        <v>567</v>
      </c>
      <c r="C400" s="6">
        <v>6</v>
      </c>
      <c r="D400" s="6">
        <v>9</v>
      </c>
      <c r="E400" s="6">
        <v>6</v>
      </c>
      <c r="F400" s="6">
        <v>21</v>
      </c>
      <c r="G400" s="6">
        <v>399</v>
      </c>
      <c r="H400" s="7"/>
    </row>
    <row r="401" spans="1:8">
      <c r="A401" s="4" t="s">
        <v>343</v>
      </c>
      <c r="B401" s="5">
        <v>581</v>
      </c>
      <c r="C401" s="6">
        <v>7</v>
      </c>
      <c r="D401" s="6">
        <v>7</v>
      </c>
      <c r="E401" s="6">
        <v>7</v>
      </c>
      <c r="F401" s="6">
        <v>21</v>
      </c>
      <c r="G401" s="6">
        <v>400</v>
      </c>
      <c r="H401" s="7"/>
    </row>
    <row r="402" spans="1:8">
      <c r="A402" s="4" t="str">
        <f>HYPERLINK("https://scryfall.com/card/c20/20/zaxara-the-exemplary","Zaxara, the Exemplary")</f>
        <v>Zaxara, the Exemplary</v>
      </c>
      <c r="B402" s="5">
        <v>584</v>
      </c>
      <c r="C402" s="6">
        <v>5</v>
      </c>
      <c r="D402" s="6">
        <v>10</v>
      </c>
      <c r="E402" s="6">
        <v>6</v>
      </c>
      <c r="F402" s="6">
        <v>21</v>
      </c>
      <c r="G402" s="6">
        <v>401</v>
      </c>
      <c r="H402" s="7"/>
    </row>
    <row r="403" spans="1:8">
      <c r="A403" s="4" t="s">
        <v>352</v>
      </c>
      <c r="B403" s="5">
        <v>593</v>
      </c>
      <c r="C403" s="6">
        <v>4</v>
      </c>
      <c r="D403" s="6">
        <v>7</v>
      </c>
      <c r="E403" s="6">
        <v>10</v>
      </c>
      <c r="F403" s="6">
        <v>21</v>
      </c>
      <c r="G403" s="6">
        <v>402</v>
      </c>
      <c r="H403" s="7"/>
    </row>
    <row r="404" spans="1:8">
      <c r="A404" s="4" t="s">
        <v>354</v>
      </c>
      <c r="B404" s="5">
        <v>596</v>
      </c>
      <c r="C404" s="6">
        <v>5</v>
      </c>
      <c r="D404" s="6">
        <v>10</v>
      </c>
      <c r="E404" s="6">
        <v>6</v>
      </c>
      <c r="F404" s="6">
        <v>21</v>
      </c>
      <c r="G404" s="6">
        <v>403</v>
      </c>
      <c r="H404" s="7"/>
    </row>
    <row r="405" spans="1:8">
      <c r="A405" s="4" t="str">
        <f>HYPERLINK("https://scryfall.com/card/c18/45/tawnos-urzas-apprentice","Tawnos, Urza's Apprentice")</f>
        <v>Tawnos, Urza's Apprentice</v>
      </c>
      <c r="B405" s="5">
        <v>608</v>
      </c>
      <c r="C405" s="6">
        <v>6</v>
      </c>
      <c r="D405" s="6">
        <v>9</v>
      </c>
      <c r="E405" s="6">
        <v>6</v>
      </c>
      <c r="F405" s="6">
        <v>21</v>
      </c>
      <c r="G405" s="6">
        <v>404</v>
      </c>
      <c r="H405" s="7"/>
    </row>
    <row r="406" spans="1:8">
      <c r="A406" s="4" t="s">
        <v>365</v>
      </c>
      <c r="B406" s="5">
        <v>617</v>
      </c>
      <c r="C406" s="6">
        <v>4</v>
      </c>
      <c r="D406" s="6">
        <v>10</v>
      </c>
      <c r="E406" s="6">
        <v>7</v>
      </c>
      <c r="F406" s="6">
        <v>21</v>
      </c>
      <c r="G406" s="6">
        <v>405</v>
      </c>
      <c r="H406" s="7"/>
    </row>
    <row r="407" spans="1:8">
      <c r="A407" s="4" t="s">
        <v>366</v>
      </c>
      <c r="B407" s="5">
        <v>618</v>
      </c>
      <c r="C407" s="6">
        <v>4</v>
      </c>
      <c r="D407" s="6">
        <v>9</v>
      </c>
      <c r="E407" s="6">
        <v>8</v>
      </c>
      <c r="F407" s="6">
        <v>21</v>
      </c>
      <c r="G407" s="6">
        <v>406</v>
      </c>
      <c r="H407" s="7"/>
    </row>
    <row r="408" spans="1:8">
      <c r="A408" s="4" t="str">
        <f>HYPERLINK("https://scryfall.com/card/cm2/169/vorel-of-the-hull-clade","Vorel of the Hull Clade")</f>
        <v>Vorel of the Hull Clade</v>
      </c>
      <c r="B408" s="5">
        <v>622</v>
      </c>
      <c r="C408" s="6">
        <v>4</v>
      </c>
      <c r="D408" s="6">
        <v>10</v>
      </c>
      <c r="E408" s="6">
        <v>7</v>
      </c>
      <c r="F408" s="6">
        <v>21</v>
      </c>
      <c r="G408" s="6">
        <v>407</v>
      </c>
      <c r="H408" s="7"/>
    </row>
    <row r="409" spans="1:8">
      <c r="A409" s="4" t="str">
        <f>HYPERLINK("https://scryfall.com/card/dom/172/marwyn-the-nurturer","Marwyn, the Nurturer")</f>
        <v>Marwyn, the Nurturer</v>
      </c>
      <c r="B409" s="5">
        <v>624</v>
      </c>
      <c r="C409" s="6">
        <v>4</v>
      </c>
      <c r="D409" s="6">
        <v>7</v>
      </c>
      <c r="E409" s="6">
        <v>10</v>
      </c>
      <c r="F409" s="6">
        <v>21</v>
      </c>
      <c r="G409" s="6">
        <v>408</v>
      </c>
      <c r="H409" s="7"/>
    </row>
    <row r="410" spans="1:8">
      <c r="A410" s="4" t="s">
        <v>384</v>
      </c>
      <c r="B410" s="5">
        <v>647</v>
      </c>
      <c r="C410" s="6">
        <v>3</v>
      </c>
      <c r="D410" s="6">
        <v>8</v>
      </c>
      <c r="E410" s="6">
        <v>10</v>
      </c>
      <c r="F410" s="6">
        <v>21</v>
      </c>
      <c r="G410" s="6">
        <v>409</v>
      </c>
      <c r="H410" s="7"/>
    </row>
    <row r="411" spans="1:8">
      <c r="A411" s="4" t="s">
        <v>387</v>
      </c>
      <c r="B411" s="5">
        <v>650</v>
      </c>
      <c r="C411" s="6">
        <v>5</v>
      </c>
      <c r="D411" s="6">
        <v>10</v>
      </c>
      <c r="E411" s="6">
        <v>6</v>
      </c>
      <c r="F411" s="6">
        <v>21</v>
      </c>
      <c r="G411" s="6">
        <v>410</v>
      </c>
      <c r="H411" s="7"/>
    </row>
    <row r="412" spans="1:8">
      <c r="A412" s="4" t="s">
        <v>390</v>
      </c>
      <c r="B412" s="5">
        <v>654</v>
      </c>
      <c r="C412" s="6">
        <v>4</v>
      </c>
      <c r="D412" s="6">
        <v>7</v>
      </c>
      <c r="E412" s="6">
        <v>10</v>
      </c>
      <c r="F412" s="6">
        <v>21</v>
      </c>
      <c r="G412" s="6">
        <v>411</v>
      </c>
      <c r="H412" s="7"/>
    </row>
    <row r="413" spans="1:8">
      <c r="A413" s="4" t="s">
        <v>394</v>
      </c>
      <c r="B413" s="5">
        <v>664</v>
      </c>
      <c r="C413" s="6">
        <v>7</v>
      </c>
      <c r="D413" s="6">
        <v>7</v>
      </c>
      <c r="E413" s="6">
        <v>7</v>
      </c>
      <c r="F413" s="6">
        <v>21</v>
      </c>
      <c r="G413" s="6">
        <v>412</v>
      </c>
      <c r="H413" s="7"/>
    </row>
    <row r="414" spans="1:8">
      <c r="A414" s="4" t="str">
        <f>HYPERLINK("https://scryfall.com/card/scg/139/sliver-overlord","Sliver Overlord")</f>
        <v>Sliver Overlord</v>
      </c>
      <c r="B414" s="5">
        <v>674</v>
      </c>
      <c r="C414" s="6">
        <v>6</v>
      </c>
      <c r="D414" s="6">
        <v>10</v>
      </c>
      <c r="E414" s="6">
        <v>5</v>
      </c>
      <c r="F414" s="6">
        <v>21</v>
      </c>
      <c r="G414" s="6">
        <v>413</v>
      </c>
      <c r="H414" s="7"/>
    </row>
    <row r="415" spans="1:8">
      <c r="A415" s="4" t="s">
        <v>403</v>
      </c>
      <c r="B415" s="5">
        <v>678</v>
      </c>
      <c r="C415" s="6">
        <v>4</v>
      </c>
      <c r="D415" s="6">
        <v>8</v>
      </c>
      <c r="E415" s="6">
        <v>9</v>
      </c>
      <c r="F415" s="6">
        <v>21</v>
      </c>
      <c r="G415" s="6">
        <v>414</v>
      </c>
      <c r="H415" s="7"/>
    </row>
    <row r="416" spans="1:8">
      <c r="A416" s="4" t="str">
        <f>HYPERLINK("https://scryfall.com/card/m20/36/sephara-skys-blade","Sephara, Sky's Blade")</f>
        <v>Sephara, Sky's Blade</v>
      </c>
      <c r="B416" s="5">
        <v>682</v>
      </c>
      <c r="C416" s="6">
        <v>4</v>
      </c>
      <c r="D416" s="6">
        <v>8</v>
      </c>
      <c r="E416" s="6">
        <v>9</v>
      </c>
      <c r="F416" s="6">
        <v>21</v>
      </c>
      <c r="G416" s="6">
        <v>415</v>
      </c>
      <c r="H416" s="7"/>
    </row>
    <row r="417" spans="1:8">
      <c r="A417" s="4" t="s">
        <v>405</v>
      </c>
      <c r="B417" s="5">
        <v>684</v>
      </c>
      <c r="C417" s="6">
        <v>6</v>
      </c>
      <c r="D417" s="6">
        <v>9</v>
      </c>
      <c r="E417" s="6">
        <v>6</v>
      </c>
      <c r="F417" s="6">
        <v>21</v>
      </c>
      <c r="G417" s="6">
        <v>416</v>
      </c>
      <c r="H417" s="7"/>
    </row>
    <row r="418" spans="1:8">
      <c r="A418" s="4" t="s">
        <v>407</v>
      </c>
      <c r="B418" s="5">
        <v>687</v>
      </c>
      <c r="C418" s="6">
        <v>4</v>
      </c>
      <c r="D418" s="6">
        <v>7</v>
      </c>
      <c r="E418" s="6">
        <v>10</v>
      </c>
      <c r="F418" s="6">
        <v>21</v>
      </c>
      <c r="G418" s="6">
        <v>417</v>
      </c>
      <c r="H418" s="7"/>
    </row>
    <row r="419" spans="1:8">
      <c r="A419" s="4" t="s">
        <v>411</v>
      </c>
      <c r="B419" s="5">
        <v>692</v>
      </c>
      <c r="C419" s="6">
        <v>3</v>
      </c>
      <c r="D419" s="6">
        <v>9</v>
      </c>
      <c r="E419" s="6">
        <v>9</v>
      </c>
      <c r="F419" s="6">
        <v>21</v>
      </c>
      <c r="G419" s="6">
        <v>418</v>
      </c>
      <c r="H419" s="7"/>
    </row>
    <row r="420" spans="1:8">
      <c r="A420" s="4" t="s">
        <v>414</v>
      </c>
      <c r="B420" s="5">
        <v>695</v>
      </c>
      <c r="C420" s="6">
        <v>5</v>
      </c>
      <c r="D420" s="6">
        <v>8</v>
      </c>
      <c r="E420" s="6">
        <v>8</v>
      </c>
      <c r="F420" s="6">
        <v>21</v>
      </c>
      <c r="G420" s="6">
        <v>419</v>
      </c>
      <c r="H420" s="7"/>
    </row>
    <row r="421" spans="1:8">
      <c r="A421" s="4" t="s">
        <v>419</v>
      </c>
      <c r="B421" s="5">
        <v>703</v>
      </c>
      <c r="C421" s="6">
        <v>7</v>
      </c>
      <c r="D421" s="6">
        <v>8</v>
      </c>
      <c r="E421" s="6">
        <v>6</v>
      </c>
      <c r="F421" s="6">
        <v>21</v>
      </c>
      <c r="G421" s="6">
        <v>420</v>
      </c>
      <c r="H421" s="7"/>
    </row>
    <row r="422" spans="1:8">
      <c r="A422" s="4" t="s">
        <v>421</v>
      </c>
      <c r="B422" s="5">
        <v>705</v>
      </c>
      <c r="C422" s="6">
        <v>4</v>
      </c>
      <c r="D422" s="6">
        <v>9</v>
      </c>
      <c r="E422" s="6">
        <v>8</v>
      </c>
      <c r="F422" s="6">
        <v>21</v>
      </c>
      <c r="G422" s="6">
        <v>421</v>
      </c>
      <c r="H422" s="7"/>
    </row>
    <row r="423" spans="1:8">
      <c r="A423" s="4" t="s">
        <v>424</v>
      </c>
      <c r="B423" s="5">
        <v>708</v>
      </c>
      <c r="C423" s="6">
        <v>6</v>
      </c>
      <c r="D423" s="6">
        <v>9</v>
      </c>
      <c r="E423" s="6">
        <v>6</v>
      </c>
      <c r="F423" s="6">
        <v>21</v>
      </c>
      <c r="G423" s="6">
        <v>422</v>
      </c>
      <c r="H423" s="7"/>
    </row>
    <row r="424" spans="1:8">
      <c r="A424" s="4" t="s">
        <v>456</v>
      </c>
      <c r="B424" s="5">
        <v>750</v>
      </c>
      <c r="C424" s="6">
        <v>5</v>
      </c>
      <c r="D424" s="6">
        <v>9</v>
      </c>
      <c r="E424" s="6">
        <v>7</v>
      </c>
      <c r="F424" s="6">
        <v>21</v>
      </c>
      <c r="G424" s="6">
        <v>423</v>
      </c>
      <c r="H424" s="7"/>
    </row>
    <row r="425" spans="1:8">
      <c r="A425" s="4" t="str">
        <f>HYPERLINK("https://scryfall.com/card/arb/124/uril-the-miststalker","Uril, the Miststalker")</f>
        <v>Uril, the Miststalker</v>
      </c>
      <c r="B425" s="5">
        <v>767</v>
      </c>
      <c r="C425" s="6">
        <v>6</v>
      </c>
      <c r="D425" s="6">
        <v>8</v>
      </c>
      <c r="E425" s="6">
        <v>7</v>
      </c>
      <c r="F425" s="6">
        <v>21</v>
      </c>
      <c r="G425" s="6">
        <v>424</v>
      </c>
      <c r="H425" s="7"/>
    </row>
    <row r="426" spans="1:8">
      <c r="A426" s="4" t="str">
        <f>HYPERLINK("https://scryfall.com/card/m20/172/gargos-vicious-watcher","Gargos, Vicious Watcher")</f>
        <v>Gargos, Vicious Watcher</v>
      </c>
      <c r="B426" s="5">
        <v>782</v>
      </c>
      <c r="C426" s="6">
        <v>4</v>
      </c>
      <c r="D426" s="6">
        <v>10</v>
      </c>
      <c r="E426" s="6">
        <v>7</v>
      </c>
      <c r="F426" s="6">
        <v>21</v>
      </c>
      <c r="G426" s="6">
        <v>425</v>
      </c>
      <c r="H426" s="7"/>
    </row>
    <row r="427" spans="1:8">
      <c r="A427" s="4" t="s">
        <v>490</v>
      </c>
      <c r="B427" s="5">
        <v>800</v>
      </c>
      <c r="C427" s="6">
        <v>4</v>
      </c>
      <c r="D427" s="6">
        <v>8</v>
      </c>
      <c r="E427" s="6">
        <v>9</v>
      </c>
      <c r="F427" s="6">
        <v>21</v>
      </c>
      <c r="G427" s="6">
        <v>426</v>
      </c>
      <c r="H427" s="7"/>
    </row>
    <row r="428" spans="1:8">
      <c r="A428" s="4" t="s">
        <v>491</v>
      </c>
      <c r="B428" s="5">
        <v>801</v>
      </c>
      <c r="C428" s="6">
        <v>3</v>
      </c>
      <c r="D428" s="6">
        <v>10</v>
      </c>
      <c r="E428" s="6">
        <v>8</v>
      </c>
      <c r="F428" s="6">
        <v>21</v>
      </c>
      <c r="G428" s="6">
        <v>427</v>
      </c>
      <c r="H428" s="7"/>
    </row>
    <row r="429" spans="1:8">
      <c r="A429" s="4" t="s">
        <v>502</v>
      </c>
      <c r="B429" s="5">
        <v>819</v>
      </c>
      <c r="C429" s="6">
        <v>4</v>
      </c>
      <c r="D429" s="6">
        <v>7</v>
      </c>
      <c r="E429" s="6">
        <v>10</v>
      </c>
      <c r="F429" s="6">
        <v>21</v>
      </c>
      <c r="G429" s="6">
        <v>428</v>
      </c>
      <c r="H429" s="7"/>
    </row>
    <row r="430" spans="1:8">
      <c r="A430" s="4" t="s">
        <v>527</v>
      </c>
      <c r="B430" s="5">
        <v>859</v>
      </c>
      <c r="C430" s="6">
        <v>4</v>
      </c>
      <c r="D430" s="6">
        <v>9</v>
      </c>
      <c r="E430" s="6">
        <v>8</v>
      </c>
      <c r="F430" s="6">
        <v>21</v>
      </c>
      <c r="G430" s="6">
        <v>429</v>
      </c>
      <c r="H430" s="7"/>
    </row>
    <row r="431" spans="1:8">
      <c r="A431" s="4" t="s">
        <v>576</v>
      </c>
      <c r="B431" s="5">
        <v>936</v>
      </c>
      <c r="C431" s="6">
        <v>5</v>
      </c>
      <c r="D431" s="6">
        <v>8</v>
      </c>
      <c r="E431" s="6">
        <v>8</v>
      </c>
      <c r="F431" s="6">
        <v>21</v>
      </c>
      <c r="G431" s="6">
        <v>430</v>
      </c>
      <c r="H431" s="7"/>
    </row>
    <row r="432" spans="1:8">
      <c r="A432" s="4" t="s">
        <v>585</v>
      </c>
      <c r="B432" s="5">
        <v>949</v>
      </c>
      <c r="C432" s="6">
        <v>4</v>
      </c>
      <c r="D432" s="6">
        <v>10</v>
      </c>
      <c r="E432" s="6">
        <v>7</v>
      </c>
      <c r="F432" s="6">
        <v>21</v>
      </c>
      <c r="G432" s="6">
        <v>431</v>
      </c>
      <c r="H432" s="7"/>
    </row>
    <row r="433" spans="1:8">
      <c r="A433" s="4" t="s">
        <v>617</v>
      </c>
      <c r="B433" s="5">
        <v>1018</v>
      </c>
      <c r="C433" s="6">
        <v>7</v>
      </c>
      <c r="D433" s="6">
        <v>8</v>
      </c>
      <c r="E433" s="6">
        <v>6</v>
      </c>
      <c r="F433" s="6">
        <v>21</v>
      </c>
      <c r="G433" s="6">
        <v>432</v>
      </c>
      <c r="H433" s="7"/>
    </row>
    <row r="434" spans="1:8">
      <c r="A434" s="4" t="str">
        <f>HYPERLINK("https://scryfall.com/card/m15/211/sliver-hivelord","Sliver Hivelord")</f>
        <v>Sliver Hivelord</v>
      </c>
      <c r="B434" s="5">
        <v>1062</v>
      </c>
      <c r="C434" s="6">
        <v>5</v>
      </c>
      <c r="D434" s="6">
        <v>10</v>
      </c>
      <c r="E434" s="6">
        <v>6</v>
      </c>
      <c r="F434" s="6">
        <v>21</v>
      </c>
      <c r="G434" s="6">
        <v>433</v>
      </c>
      <c r="H434" s="7"/>
    </row>
    <row r="435" spans="1:8">
      <c r="A435" s="4" t="s">
        <v>48</v>
      </c>
      <c r="B435" s="5">
        <v>75</v>
      </c>
      <c r="C435" s="6">
        <v>3</v>
      </c>
      <c r="D435" s="6">
        <v>7</v>
      </c>
      <c r="E435" s="6">
        <v>10</v>
      </c>
      <c r="F435" s="6">
        <v>20</v>
      </c>
      <c r="G435" s="6">
        <v>434</v>
      </c>
      <c r="H435" s="7"/>
    </row>
    <row r="436" spans="1:8">
      <c r="A436" s="4" t="s">
        <v>55</v>
      </c>
      <c r="B436" s="5">
        <v>85</v>
      </c>
      <c r="C436" s="6">
        <v>5</v>
      </c>
      <c r="D436" s="6">
        <v>7</v>
      </c>
      <c r="E436" s="6">
        <v>8</v>
      </c>
      <c r="F436" s="6">
        <v>20</v>
      </c>
      <c r="G436" s="6">
        <v>435</v>
      </c>
      <c r="H436" s="7"/>
    </row>
    <row r="437" spans="1:8">
      <c r="A437" s="4" t="str">
        <f>HYPERLINK("https://scryfall.com/card/bbd/6/okaun-eye-of-chaos","Okaun, Eye of Chaos")</f>
        <v>Okaun, Eye of Chaos</v>
      </c>
      <c r="B437" s="5">
        <v>101</v>
      </c>
      <c r="C437" s="6">
        <v>3</v>
      </c>
      <c r="D437" s="6">
        <v>10</v>
      </c>
      <c r="E437" s="6">
        <v>7</v>
      </c>
      <c r="F437" s="6">
        <v>20</v>
      </c>
      <c r="G437" s="6">
        <v>436</v>
      </c>
      <c r="H437" s="7"/>
    </row>
    <row r="438" spans="1:8">
      <c r="A438" s="4" t="s">
        <v>72</v>
      </c>
      <c r="B438" s="5">
        <v>114</v>
      </c>
      <c r="C438" s="6">
        <v>2</v>
      </c>
      <c r="D438" s="6">
        <v>10</v>
      </c>
      <c r="E438" s="6">
        <v>8</v>
      </c>
      <c r="F438" s="6">
        <v>20</v>
      </c>
      <c r="G438" s="6">
        <v>437</v>
      </c>
      <c r="H438" s="7"/>
    </row>
    <row r="439" spans="1:8">
      <c r="A439" s="4" t="str">
        <f>HYPERLINK("https://scryfall.com/card/thb/150/purphoros-bronze-blooded","Purphoros, Broze-Blooded")</f>
        <v>Purphoros, Broze-Blooded</v>
      </c>
      <c r="B439" s="5">
        <v>141</v>
      </c>
      <c r="C439" s="6">
        <v>3</v>
      </c>
      <c r="D439" s="6">
        <v>9</v>
      </c>
      <c r="E439" s="6">
        <v>8</v>
      </c>
      <c r="F439" s="6">
        <v>20</v>
      </c>
      <c r="G439" s="6">
        <v>438</v>
      </c>
      <c r="H439" s="7"/>
    </row>
    <row r="440" spans="1:8">
      <c r="A440" s="4" t="s">
        <v>97</v>
      </c>
      <c r="B440" s="5">
        <v>160</v>
      </c>
      <c r="C440" s="6">
        <v>5</v>
      </c>
      <c r="D440" s="6">
        <v>8</v>
      </c>
      <c r="E440" s="6">
        <v>7</v>
      </c>
      <c r="F440" s="6">
        <v>20</v>
      </c>
      <c r="G440" s="6">
        <v>439</v>
      </c>
      <c r="H440" s="7"/>
    </row>
    <row r="441" spans="1:8">
      <c r="A441" s="4" t="str">
        <f>HYPERLINK("https://scryfall.com/card/rix/174/zacama-primal-calamity","Zacama, Primal Calamity")</f>
        <v>Zacama, Primal Calamity</v>
      </c>
      <c r="B441" s="5">
        <v>163</v>
      </c>
      <c r="C441" s="6">
        <v>7</v>
      </c>
      <c r="D441" s="6">
        <v>5</v>
      </c>
      <c r="E441" s="6">
        <v>8</v>
      </c>
      <c r="F441" s="6">
        <v>20</v>
      </c>
      <c r="G441" s="6">
        <v>440</v>
      </c>
      <c r="H441" s="7"/>
    </row>
    <row r="442" spans="1:8">
      <c r="A442" s="4" t="s">
        <v>105</v>
      </c>
      <c r="B442" s="5">
        <v>177</v>
      </c>
      <c r="C442" s="6">
        <v>3</v>
      </c>
      <c r="D442" s="6">
        <v>8</v>
      </c>
      <c r="E442" s="6">
        <v>9</v>
      </c>
      <c r="F442" s="6">
        <v>20</v>
      </c>
      <c r="G442" s="6">
        <v>441</v>
      </c>
      <c r="H442" s="7"/>
    </row>
    <row r="443" spans="1:8">
      <c r="A443" s="4" t="s">
        <v>107</v>
      </c>
      <c r="B443" s="5">
        <v>181</v>
      </c>
      <c r="C443" s="6">
        <v>5</v>
      </c>
      <c r="D443" s="6">
        <v>7</v>
      </c>
      <c r="E443" s="6">
        <v>8</v>
      </c>
      <c r="F443" s="6">
        <v>20</v>
      </c>
      <c r="G443" s="6">
        <v>442</v>
      </c>
      <c r="H443" s="7"/>
    </row>
    <row r="444" spans="1:8">
      <c r="A444" s="4" t="str">
        <f>HYPERLINK("https://scryfall.com/card/thb/125/anax-hardened-in-the-forge","Anax, Hardened in the Forge")</f>
        <v>Anax, Hardened in the Forge</v>
      </c>
      <c r="B444" s="5">
        <v>203</v>
      </c>
      <c r="C444" s="6">
        <v>4</v>
      </c>
      <c r="D444" s="6">
        <v>8</v>
      </c>
      <c r="E444" s="6">
        <v>8</v>
      </c>
      <c r="F444" s="6">
        <v>20</v>
      </c>
      <c r="G444" s="6">
        <v>443</v>
      </c>
      <c r="H444" s="7"/>
    </row>
    <row r="445" spans="1:8">
      <c r="A445" s="4" t="s">
        <v>116</v>
      </c>
      <c r="B445" s="5">
        <v>204</v>
      </c>
      <c r="C445" s="6">
        <v>6</v>
      </c>
      <c r="D445" s="6">
        <v>7</v>
      </c>
      <c r="E445" s="6">
        <v>7</v>
      </c>
      <c r="F445" s="6">
        <v>20</v>
      </c>
      <c r="G445" s="6">
        <v>444</v>
      </c>
      <c r="H445" s="7"/>
    </row>
    <row r="446" spans="1:8">
      <c r="A446" s="4" t="s">
        <v>119</v>
      </c>
      <c r="B446" s="5">
        <v>207</v>
      </c>
      <c r="C446" s="6">
        <v>4</v>
      </c>
      <c r="D446" s="6">
        <v>8</v>
      </c>
      <c r="E446" s="6">
        <v>8</v>
      </c>
      <c r="F446" s="6">
        <v>20</v>
      </c>
      <c r="G446" s="6">
        <v>445</v>
      </c>
      <c r="H446" s="7"/>
    </row>
    <row r="447" spans="1:8">
      <c r="A447" s="4" t="s">
        <v>122</v>
      </c>
      <c r="B447" s="5">
        <v>210</v>
      </c>
      <c r="C447" s="6">
        <v>5</v>
      </c>
      <c r="D447" s="6">
        <v>5</v>
      </c>
      <c r="E447" s="6">
        <v>10</v>
      </c>
      <c r="F447" s="6">
        <v>20</v>
      </c>
      <c r="G447" s="6">
        <v>446</v>
      </c>
      <c r="H447" s="7"/>
    </row>
    <row r="448" spans="1:8">
      <c r="A448" s="4" t="s">
        <v>125</v>
      </c>
      <c r="B448" s="5">
        <v>214</v>
      </c>
      <c r="C448" s="6">
        <v>6</v>
      </c>
      <c r="D448" s="6">
        <v>7</v>
      </c>
      <c r="E448" s="6">
        <v>7</v>
      </c>
      <c r="F448" s="6">
        <v>20</v>
      </c>
      <c r="G448" s="6">
        <v>447</v>
      </c>
      <c r="H448" s="7"/>
    </row>
    <row r="449" spans="1:8">
      <c r="A449" s="4" t="str">
        <f>HYPERLINK("https://scryfall.com/card/c18/52/yuriko-the-tigers-shadow","Yuriko, the Tiger's Shadow")</f>
        <v>Yuriko, the Tiger's Shadow</v>
      </c>
      <c r="B449" s="5">
        <v>215</v>
      </c>
      <c r="C449" s="6">
        <v>8</v>
      </c>
      <c r="D449" s="6">
        <v>5</v>
      </c>
      <c r="E449" s="6">
        <v>7</v>
      </c>
      <c r="F449" s="6">
        <v>20</v>
      </c>
      <c r="G449" s="6">
        <v>448</v>
      </c>
      <c r="H449" s="7"/>
    </row>
    <row r="450" spans="1:8">
      <c r="A450" s="10" t="s">
        <v>126</v>
      </c>
      <c r="B450" s="5">
        <v>217</v>
      </c>
      <c r="C450" s="11">
        <v>6</v>
      </c>
      <c r="D450" s="11">
        <v>8</v>
      </c>
      <c r="E450" s="11">
        <v>6</v>
      </c>
      <c r="F450" s="11">
        <v>20</v>
      </c>
      <c r="G450" s="6">
        <v>449</v>
      </c>
      <c r="H450" s="7"/>
    </row>
    <row r="451" spans="1:8">
      <c r="A451" s="4" t="str">
        <f>HYPERLINK("https://scryfall.com/card/pca/101/maelstrom-wanderer","Maelstrom Wanderer")</f>
        <v>Maelstrom Wanderer</v>
      </c>
      <c r="B451" s="5">
        <v>222</v>
      </c>
      <c r="C451" s="6">
        <v>7</v>
      </c>
      <c r="D451" s="6">
        <v>5</v>
      </c>
      <c r="E451" s="6">
        <v>8</v>
      </c>
      <c r="F451" s="6">
        <v>20</v>
      </c>
      <c r="G451" s="6">
        <v>450</v>
      </c>
      <c r="H451" s="7"/>
    </row>
    <row r="452" spans="1:8">
      <c r="A452" s="4" t="s">
        <v>135</v>
      </c>
      <c r="B452" s="5">
        <v>228</v>
      </c>
      <c r="C452" s="6">
        <v>4</v>
      </c>
      <c r="D452" s="6">
        <v>8</v>
      </c>
      <c r="E452" s="6">
        <v>8</v>
      </c>
      <c r="F452" s="6">
        <v>20</v>
      </c>
      <c r="G452" s="6">
        <v>451</v>
      </c>
      <c r="H452" s="7"/>
    </row>
    <row r="453" spans="1:8">
      <c r="A453" s="4" t="s">
        <v>137</v>
      </c>
      <c r="B453" s="5">
        <v>230</v>
      </c>
      <c r="C453" s="6">
        <v>2</v>
      </c>
      <c r="D453" s="6">
        <v>8</v>
      </c>
      <c r="E453" s="6">
        <v>10</v>
      </c>
      <c r="F453" s="6">
        <v>20</v>
      </c>
      <c r="G453" s="6">
        <v>452</v>
      </c>
      <c r="H453" s="7"/>
    </row>
    <row r="454" spans="1:8">
      <c r="A454" s="4" t="str">
        <f>HYPERLINK("https://scryfall.com/card/dds/1/jhoira-of-the-ghitu","Jhoira of the Ghitu")</f>
        <v>Jhoira of the Ghitu</v>
      </c>
      <c r="B454" s="5">
        <v>242</v>
      </c>
      <c r="C454" s="6">
        <v>7</v>
      </c>
      <c r="D454" s="6">
        <v>8</v>
      </c>
      <c r="E454" s="6">
        <v>5</v>
      </c>
      <c r="F454" s="6">
        <v>20</v>
      </c>
      <c r="G454" s="6">
        <v>453</v>
      </c>
      <c r="H454" s="7"/>
    </row>
    <row r="455" spans="1:8">
      <c r="A455" s="4" t="str">
        <f>HYPERLINK("https://scryfall.com/card/ktk/206/surrak-dragonclaw","Surrak Dragonclaw")</f>
        <v>Surrak Dragonclaw</v>
      </c>
      <c r="B455" s="5">
        <v>246</v>
      </c>
      <c r="C455" s="6">
        <v>4</v>
      </c>
      <c r="D455" s="6">
        <v>8</v>
      </c>
      <c r="E455" s="6">
        <v>8</v>
      </c>
      <c r="F455" s="6">
        <v>20</v>
      </c>
      <c r="G455" s="6">
        <v>454</v>
      </c>
      <c r="H455" s="7"/>
    </row>
    <row r="456" spans="1:8">
      <c r="A456" s="4" t="str">
        <f>HYPERLINK("https://scryfall.com/card/cm2/165/skullbriar-the-walking-grave","Skullbriar, the Walking Grave")</f>
        <v>Skullbriar, the Walking Grave</v>
      </c>
      <c r="B456" s="5">
        <v>250</v>
      </c>
      <c r="C456" s="6">
        <v>6</v>
      </c>
      <c r="D456" s="6">
        <v>7</v>
      </c>
      <c r="E456" s="6">
        <v>7</v>
      </c>
      <c r="F456" s="6">
        <v>20</v>
      </c>
      <c r="G456" s="6">
        <v>455</v>
      </c>
      <c r="H456" s="7"/>
    </row>
    <row r="457" spans="1:8">
      <c r="A457" s="10" t="s">
        <v>147</v>
      </c>
      <c r="B457" s="5">
        <v>254</v>
      </c>
      <c r="C457" s="11">
        <v>5</v>
      </c>
      <c r="D457" s="11">
        <v>8</v>
      </c>
      <c r="E457" s="11">
        <v>7</v>
      </c>
      <c r="F457" s="11">
        <v>20</v>
      </c>
      <c r="G457" s="6">
        <v>456</v>
      </c>
      <c r="H457" s="7"/>
    </row>
    <row r="458" spans="1:8">
      <c r="A458" s="4" t="str">
        <f>HYPERLINK("https://scryfall.com/card/rna/195/prime-speaker-vannifar","Prime Speaker Vannifar")</f>
        <v>Prime Speaker Vannifar</v>
      </c>
      <c r="B458" s="5">
        <v>260</v>
      </c>
      <c r="C458" s="6">
        <v>8</v>
      </c>
      <c r="D458" s="6">
        <v>6</v>
      </c>
      <c r="E458" s="6">
        <v>6</v>
      </c>
      <c r="F458" s="6">
        <v>20</v>
      </c>
      <c r="G458" s="6">
        <v>457</v>
      </c>
      <c r="H458" s="7"/>
    </row>
    <row r="459" spans="1:8">
      <c r="A459" s="4" t="str">
        <f>HYPERLINK("https://scryfall.com/card/bng/152/phenax-god-of-deception","Phenax, God of Deception")</f>
        <v>Phenax, God of Deception</v>
      </c>
      <c r="B459" s="5">
        <v>264</v>
      </c>
      <c r="C459" s="6">
        <v>4</v>
      </c>
      <c r="D459" s="6">
        <v>6</v>
      </c>
      <c r="E459" s="6">
        <v>10</v>
      </c>
      <c r="F459" s="6">
        <v>20</v>
      </c>
      <c r="G459" s="6">
        <v>458</v>
      </c>
      <c r="H459" s="7"/>
    </row>
    <row r="460" spans="1:8">
      <c r="A460" s="4" t="str">
        <f>HYPERLINK("https://scryfall.com/card/ima/108/sheoldred-whispering-one","Sheoldred, Whispering One")</f>
        <v>Sheoldred, Whispering One</v>
      </c>
      <c r="B460" s="5">
        <v>277</v>
      </c>
      <c r="C460" s="6">
        <v>3</v>
      </c>
      <c r="D460" s="6">
        <v>7</v>
      </c>
      <c r="E460" s="6">
        <v>10</v>
      </c>
      <c r="F460" s="6">
        <v>20</v>
      </c>
      <c r="G460" s="6">
        <v>459</v>
      </c>
      <c r="H460" s="7"/>
    </row>
    <row r="461" spans="1:8">
      <c r="A461" s="10" t="s">
        <v>160</v>
      </c>
      <c r="B461" s="5">
        <v>284</v>
      </c>
      <c r="C461" s="11">
        <v>6</v>
      </c>
      <c r="D461" s="11">
        <v>7</v>
      </c>
      <c r="E461" s="11">
        <v>7</v>
      </c>
      <c r="F461" s="11">
        <v>20</v>
      </c>
      <c r="G461" s="6">
        <v>460</v>
      </c>
      <c r="H461" s="7"/>
    </row>
    <row r="462" spans="1:8">
      <c r="A462" s="4" t="s">
        <v>162</v>
      </c>
      <c r="B462" s="5">
        <v>286</v>
      </c>
      <c r="C462" s="6">
        <v>6</v>
      </c>
      <c r="D462" s="6">
        <v>8</v>
      </c>
      <c r="E462" s="6">
        <v>6</v>
      </c>
      <c r="F462" s="6">
        <v>20</v>
      </c>
      <c r="G462" s="6">
        <v>461</v>
      </c>
      <c r="H462" s="7"/>
    </row>
    <row r="463" spans="1:8">
      <c r="A463" s="4" t="s">
        <v>170</v>
      </c>
      <c r="B463" s="5">
        <v>300</v>
      </c>
      <c r="C463" s="6">
        <v>5</v>
      </c>
      <c r="D463" s="6">
        <v>7</v>
      </c>
      <c r="E463" s="6">
        <v>8</v>
      </c>
      <c r="F463" s="6">
        <v>20</v>
      </c>
      <c r="G463" s="6">
        <v>462</v>
      </c>
      <c r="H463" s="7"/>
    </row>
    <row r="464" spans="1:8">
      <c r="A464" s="4" t="str">
        <f>HYPERLINK("https://scryfall.com/card/ala/185/rafiq-of-the-many","Rafiq of the Many")</f>
        <v>Rafiq of the Many</v>
      </c>
      <c r="B464" s="5">
        <v>318</v>
      </c>
      <c r="C464" s="6">
        <v>6</v>
      </c>
      <c r="D464" s="6">
        <v>7</v>
      </c>
      <c r="E464" s="6">
        <v>7</v>
      </c>
      <c r="F464" s="6">
        <v>20</v>
      </c>
      <c r="G464" s="6">
        <v>463</v>
      </c>
      <c r="H464" s="7"/>
    </row>
    <row r="465" spans="1:8">
      <c r="A465" s="4" t="s">
        <v>182</v>
      </c>
      <c r="B465" s="5">
        <v>323</v>
      </c>
      <c r="C465" s="6">
        <v>3</v>
      </c>
      <c r="D465" s="6">
        <v>8</v>
      </c>
      <c r="E465" s="6">
        <v>9</v>
      </c>
      <c r="F465" s="6">
        <v>20</v>
      </c>
      <c r="G465" s="6">
        <v>464</v>
      </c>
      <c r="H465" s="7"/>
    </row>
    <row r="466" spans="1:8">
      <c r="A466" s="4" t="str">
        <f>HYPERLINK("https://scryfall.com/card/sok/53/sakashima-the-impostor","Sakashima the Impostor")</f>
        <v>Sakashima the Impostor</v>
      </c>
      <c r="B466" s="5">
        <v>325</v>
      </c>
      <c r="C466" s="6">
        <v>4</v>
      </c>
      <c r="D466" s="6">
        <v>10</v>
      </c>
      <c r="E466" s="6">
        <v>6</v>
      </c>
      <c r="F466" s="6">
        <v>20</v>
      </c>
      <c r="G466" s="6">
        <v>465</v>
      </c>
      <c r="H466" s="7"/>
    </row>
    <row r="467" spans="1:8">
      <c r="A467" s="4" t="str">
        <f>HYPERLINK("https://scryfall.com/card/shm/260/reaper-king","Reaper King")</f>
        <v>Reaper King</v>
      </c>
      <c r="B467" s="5">
        <v>328</v>
      </c>
      <c r="C467" s="6">
        <v>4</v>
      </c>
      <c r="D467" s="6">
        <v>9</v>
      </c>
      <c r="E467" s="6">
        <v>7</v>
      </c>
      <c r="F467" s="6">
        <v>20</v>
      </c>
      <c r="G467" s="6">
        <v>466</v>
      </c>
      <c r="H467" s="7"/>
    </row>
    <row r="468" spans="1:8">
      <c r="A468" s="4" t="str">
        <f>HYPERLINK("https://scryfall.com/card/iko/381/snapdax-apex-of-the-hunt","Snapdax, Apex of the Hunt")</f>
        <v>Snapdax, Apex of the Hunt</v>
      </c>
      <c r="B468" s="5">
        <v>335</v>
      </c>
      <c r="C468" s="6">
        <v>4</v>
      </c>
      <c r="D468" s="6">
        <v>6</v>
      </c>
      <c r="E468" s="6">
        <v>10</v>
      </c>
      <c r="F468" s="6">
        <v>20</v>
      </c>
      <c r="G468" s="6">
        <v>467</v>
      </c>
      <c r="H468" s="7"/>
    </row>
    <row r="469" spans="1:8">
      <c r="A469" s="4" t="s">
        <v>187</v>
      </c>
      <c r="B469" s="5">
        <v>336</v>
      </c>
      <c r="C469" s="6">
        <v>5</v>
      </c>
      <c r="D469" s="6">
        <v>8</v>
      </c>
      <c r="E469" s="6">
        <v>7</v>
      </c>
      <c r="F469" s="6">
        <v>20</v>
      </c>
      <c r="G469" s="6">
        <v>468</v>
      </c>
      <c r="H469" s="7"/>
    </row>
    <row r="470" spans="1:8">
      <c r="A470" s="4" t="str">
        <f>HYPERLINK("https://scryfall.com/card/ima/136/kiki-jiki-mirror-breaker","Kiki-Jiki, Mirror Breaker")</f>
        <v>Kiki-Jiki, Mirror Breaker</v>
      </c>
      <c r="B470" s="5">
        <v>337</v>
      </c>
      <c r="C470" s="6">
        <v>6</v>
      </c>
      <c r="D470" s="6">
        <v>8</v>
      </c>
      <c r="E470" s="6">
        <v>6</v>
      </c>
      <c r="F470" s="6">
        <v>20</v>
      </c>
      <c r="G470" s="6">
        <v>469</v>
      </c>
      <c r="H470" s="7"/>
    </row>
    <row r="471" spans="1:8">
      <c r="A471" s="4" t="str">
        <f>HYPERLINK("https://scryfall.com/card/m20/210/kaalia-zenith-seeker","Kaalia, Zenith Seeker")</f>
        <v>Kaalia, Zenith Seeker</v>
      </c>
      <c r="B471" s="5">
        <v>339</v>
      </c>
      <c r="C471" s="6">
        <v>3</v>
      </c>
      <c r="D471" s="6">
        <v>10</v>
      </c>
      <c r="E471" s="6">
        <v>7</v>
      </c>
      <c r="F471" s="6">
        <v>20</v>
      </c>
      <c r="G471" s="6">
        <v>470</v>
      </c>
      <c r="H471" s="7"/>
    </row>
    <row r="472" spans="1:8">
      <c r="A472" s="4" t="s">
        <v>189</v>
      </c>
      <c r="B472" s="5">
        <v>341</v>
      </c>
      <c r="C472" s="6">
        <v>5</v>
      </c>
      <c r="D472" s="6">
        <v>8</v>
      </c>
      <c r="E472" s="6">
        <v>7</v>
      </c>
      <c r="F472" s="6">
        <v>20</v>
      </c>
      <c r="G472" s="6">
        <v>471</v>
      </c>
      <c r="H472" s="7"/>
    </row>
    <row r="473" spans="1:8">
      <c r="A473" s="4" t="s">
        <v>190</v>
      </c>
      <c r="B473" s="5">
        <v>342</v>
      </c>
      <c r="C473" s="6">
        <v>5</v>
      </c>
      <c r="D473" s="6">
        <v>7</v>
      </c>
      <c r="E473" s="6">
        <v>8</v>
      </c>
      <c r="F473" s="6">
        <v>20</v>
      </c>
      <c r="G473" s="6">
        <v>472</v>
      </c>
      <c r="H473" s="7"/>
    </row>
    <row r="474" spans="1:8">
      <c r="A474" s="4" t="str">
        <f>HYPERLINK("https://scryfall.com/card/c18/40/estrid-the-masked","Estrid, the Masked")</f>
        <v>Estrid, the Masked</v>
      </c>
      <c r="B474" s="5">
        <v>348</v>
      </c>
      <c r="C474" s="6">
        <v>5</v>
      </c>
      <c r="D474" s="6">
        <v>8</v>
      </c>
      <c r="E474" s="6">
        <v>7</v>
      </c>
      <c r="F474" s="6">
        <v>20</v>
      </c>
      <c r="G474" s="6">
        <v>473</v>
      </c>
      <c r="H474" s="7"/>
    </row>
    <row r="475" spans="1:8">
      <c r="A475" s="4" t="s">
        <v>199</v>
      </c>
      <c r="B475" s="5">
        <v>355</v>
      </c>
      <c r="C475" s="6">
        <v>3</v>
      </c>
      <c r="D475" s="6">
        <v>7</v>
      </c>
      <c r="E475" s="6">
        <v>10</v>
      </c>
      <c r="F475" s="6">
        <v>20</v>
      </c>
      <c r="G475" s="6">
        <v>474</v>
      </c>
      <c r="H475" s="7"/>
    </row>
    <row r="476" spans="1:8">
      <c r="A476" s="4" t="str">
        <f>HYPERLINK("https://scryfall.com/card/iko/275/zilortha-strength-incarnate","Zilortha, Strength Incarnate")</f>
        <v>Zilortha, Strength Incarnate</v>
      </c>
      <c r="B476" s="5">
        <v>357</v>
      </c>
      <c r="C476" s="6">
        <v>2</v>
      </c>
      <c r="D476" s="6">
        <v>8</v>
      </c>
      <c r="E476" s="6">
        <v>10</v>
      </c>
      <c r="F476" s="6">
        <v>20</v>
      </c>
      <c r="G476" s="6">
        <v>475</v>
      </c>
      <c r="H476" s="7"/>
    </row>
    <row r="477" spans="1:8">
      <c r="A477" s="4" t="str">
        <f>HYPERLINK("https://scryfall.com/card/cma/157/titania-protector-of-argoth","Titania, Protector of Argoth")</f>
        <v>Titania, Protector of Argoth</v>
      </c>
      <c r="B477" s="5">
        <v>359</v>
      </c>
      <c r="C477" s="6">
        <v>4</v>
      </c>
      <c r="D477" s="6">
        <v>8</v>
      </c>
      <c r="E477" s="6">
        <v>8</v>
      </c>
      <c r="F477" s="6">
        <v>20</v>
      </c>
      <c r="G477" s="6">
        <v>476</v>
      </c>
      <c r="H477" s="7"/>
    </row>
    <row r="478" spans="1:8">
      <c r="A478" s="4" t="s">
        <v>203</v>
      </c>
      <c r="B478" s="5">
        <v>361</v>
      </c>
      <c r="C478" s="6">
        <v>6</v>
      </c>
      <c r="D478" s="6">
        <v>8</v>
      </c>
      <c r="E478" s="6">
        <v>6</v>
      </c>
      <c r="F478" s="6">
        <v>20</v>
      </c>
      <c r="G478" s="6">
        <v>477</v>
      </c>
      <c r="H478" s="7"/>
    </row>
    <row r="479" spans="1:8">
      <c r="A479" s="4" t="str">
        <f>HYPERLINK("https://scryfall.com/card/m20/211/kethis-the-hidden-hand","Kethis, the Hidden Hand")</f>
        <v>Kethis, the Hidden Hand</v>
      </c>
      <c r="B479" s="5">
        <v>365</v>
      </c>
      <c r="C479" s="6">
        <v>5</v>
      </c>
      <c r="D479" s="6">
        <v>8</v>
      </c>
      <c r="E479" s="6">
        <v>7</v>
      </c>
      <c r="F479" s="6">
        <v>20</v>
      </c>
      <c r="G479" s="6">
        <v>478</v>
      </c>
      <c r="H479" s="7"/>
    </row>
    <row r="480" spans="1:8">
      <c r="A480" s="4" t="s">
        <v>205</v>
      </c>
      <c r="B480" s="5">
        <v>368</v>
      </c>
      <c r="C480" s="6">
        <v>3</v>
      </c>
      <c r="D480" s="6">
        <v>10</v>
      </c>
      <c r="E480" s="6">
        <v>7</v>
      </c>
      <c r="F480" s="6">
        <v>20</v>
      </c>
      <c r="G480" s="6">
        <v>479</v>
      </c>
      <c r="H480" s="7"/>
    </row>
    <row r="481" spans="1:8">
      <c r="A481" s="4" t="s">
        <v>207</v>
      </c>
      <c r="B481" s="5">
        <v>371</v>
      </c>
      <c r="C481" s="6">
        <v>2</v>
      </c>
      <c r="D481" s="6">
        <v>8</v>
      </c>
      <c r="E481" s="6">
        <v>10</v>
      </c>
      <c r="F481" s="6">
        <v>20</v>
      </c>
      <c r="G481" s="6">
        <v>480</v>
      </c>
      <c r="H481" s="7"/>
    </row>
    <row r="482" spans="1:8">
      <c r="A482" s="4" t="s">
        <v>209</v>
      </c>
      <c r="B482" s="5">
        <v>373</v>
      </c>
      <c r="C482" s="6">
        <v>3</v>
      </c>
      <c r="D482" s="6">
        <v>9</v>
      </c>
      <c r="E482" s="6">
        <v>8</v>
      </c>
      <c r="F482" s="6">
        <v>20</v>
      </c>
      <c r="G482" s="6">
        <v>481</v>
      </c>
      <c r="H482" s="7"/>
    </row>
    <row r="483" spans="1:8">
      <c r="A483" s="10" t="s">
        <v>211</v>
      </c>
      <c r="B483" s="5">
        <v>375</v>
      </c>
      <c r="C483" s="11">
        <v>6</v>
      </c>
      <c r="D483" s="11">
        <v>7</v>
      </c>
      <c r="E483" s="11">
        <v>7</v>
      </c>
      <c r="F483" s="11">
        <v>20</v>
      </c>
      <c r="G483" s="6">
        <v>482</v>
      </c>
      <c r="H483" s="7"/>
    </row>
    <row r="484" spans="1:8">
      <c r="A484" s="4" t="s">
        <v>218</v>
      </c>
      <c r="B484" s="5">
        <v>383</v>
      </c>
      <c r="C484" s="6">
        <v>2</v>
      </c>
      <c r="D484" s="6">
        <v>8</v>
      </c>
      <c r="E484" s="6">
        <v>10</v>
      </c>
      <c r="F484" s="6">
        <v>20</v>
      </c>
      <c r="G484" s="6">
        <v>483</v>
      </c>
      <c r="H484" s="7"/>
    </row>
    <row r="485" spans="1:8">
      <c r="A485" s="4" t="s">
        <v>224</v>
      </c>
      <c r="B485" s="5">
        <v>396</v>
      </c>
      <c r="C485" s="6">
        <v>4</v>
      </c>
      <c r="D485" s="6">
        <v>8</v>
      </c>
      <c r="E485" s="6">
        <v>8</v>
      </c>
      <c r="F485" s="6">
        <v>20</v>
      </c>
      <c r="G485" s="6">
        <v>484</v>
      </c>
      <c r="H485" s="7"/>
    </row>
    <row r="486" spans="1:8">
      <c r="A486" s="4" t="s">
        <v>227</v>
      </c>
      <c r="B486" s="5">
        <v>402</v>
      </c>
      <c r="C486" s="6">
        <v>2</v>
      </c>
      <c r="D486" s="6">
        <v>8</v>
      </c>
      <c r="E486" s="6">
        <v>10</v>
      </c>
      <c r="F486" s="6">
        <v>20</v>
      </c>
      <c r="G486" s="6">
        <v>485</v>
      </c>
      <c r="H486" s="7"/>
    </row>
    <row r="487" spans="1:8">
      <c r="A487" s="4" t="str">
        <f>HYPERLINK("https://scryfall.com/card/thb/185/nylea-keen-eyed","Nylea, Keen-Eyed")</f>
        <v>Nylea, Keen-Eyed</v>
      </c>
      <c r="B487" s="5">
        <v>403</v>
      </c>
      <c r="C487" s="6">
        <v>5</v>
      </c>
      <c r="D487" s="6">
        <v>7</v>
      </c>
      <c r="E487" s="6">
        <v>8</v>
      </c>
      <c r="F487" s="6">
        <v>20</v>
      </c>
      <c r="G487" s="6">
        <v>486</v>
      </c>
      <c r="H487" s="7"/>
    </row>
    <row r="488" spans="1:8">
      <c r="A488" s="4" t="s">
        <v>230</v>
      </c>
      <c r="B488" s="5">
        <v>406</v>
      </c>
      <c r="C488" s="6">
        <v>7</v>
      </c>
      <c r="D488" s="6">
        <v>6</v>
      </c>
      <c r="E488" s="6">
        <v>7</v>
      </c>
      <c r="F488" s="6">
        <v>20</v>
      </c>
      <c r="G488" s="6">
        <v>487</v>
      </c>
      <c r="H488" s="7"/>
    </row>
    <row r="489" spans="1:8">
      <c r="A489" s="4" t="str">
        <f>HYPERLINK("https://scryfall.com/card/dgm/112/varolz-the-scar-striped","Varolz, the Scar-Striped")</f>
        <v>Varolz, the Scar-Striped</v>
      </c>
      <c r="B489" s="5">
        <v>407</v>
      </c>
      <c r="C489" s="6">
        <v>6</v>
      </c>
      <c r="D489" s="6">
        <v>7</v>
      </c>
      <c r="E489" s="6">
        <v>7</v>
      </c>
      <c r="F489" s="6">
        <v>20</v>
      </c>
      <c r="G489" s="6">
        <v>488</v>
      </c>
      <c r="H489" s="7"/>
    </row>
    <row r="490" spans="1:8">
      <c r="A490" s="4" t="s">
        <v>232</v>
      </c>
      <c r="B490" s="5">
        <v>410</v>
      </c>
      <c r="C490" s="6">
        <v>3</v>
      </c>
      <c r="D490" s="6">
        <v>10</v>
      </c>
      <c r="E490" s="6">
        <v>7</v>
      </c>
      <c r="F490" s="6">
        <v>20</v>
      </c>
      <c r="G490" s="6">
        <v>489</v>
      </c>
      <c r="H490" s="7"/>
    </row>
    <row r="491" spans="1:8">
      <c r="A491" s="4" t="str">
        <f>HYPERLINK("https://scryfall.com/card/kld/59/padeem-consul-of-innovation","Padeem, Consul of Innovation")</f>
        <v>Padeem, Consul of Innovation</v>
      </c>
      <c r="B491" s="5">
        <v>412</v>
      </c>
      <c r="C491" s="6">
        <v>5</v>
      </c>
      <c r="D491" s="6">
        <v>6</v>
      </c>
      <c r="E491" s="6">
        <v>9</v>
      </c>
      <c r="F491" s="6">
        <v>20</v>
      </c>
      <c r="G491" s="6">
        <v>490</v>
      </c>
      <c r="H491" s="7"/>
    </row>
    <row r="492" spans="1:8">
      <c r="A492" s="4" t="s">
        <v>243</v>
      </c>
      <c r="B492" s="5">
        <v>424</v>
      </c>
      <c r="C492" s="6">
        <v>6</v>
      </c>
      <c r="D492" s="6">
        <v>6</v>
      </c>
      <c r="E492" s="6">
        <v>8</v>
      </c>
      <c r="F492" s="6">
        <v>20</v>
      </c>
      <c r="G492" s="6">
        <v>491</v>
      </c>
      <c r="H492" s="7"/>
    </row>
    <row r="493" spans="1:8">
      <c r="A493" s="4" t="str">
        <f>HYPERLINK("https://scryfall.com/card/cma/185/mazirek-kraul-death-priest","Mazirek, Kraul Death Priest")</f>
        <v>Mazirek, Kraul Death Priest</v>
      </c>
      <c r="B493" s="5">
        <v>429</v>
      </c>
      <c r="C493" s="6">
        <v>5</v>
      </c>
      <c r="D493" s="6">
        <v>7</v>
      </c>
      <c r="E493" s="6">
        <v>8</v>
      </c>
      <c r="F493" s="6">
        <v>20</v>
      </c>
      <c r="G493" s="6">
        <v>492</v>
      </c>
      <c r="H493" s="7"/>
    </row>
    <row r="494" spans="1:8">
      <c r="A494" s="4" t="str">
        <f>HYPERLINK("https://scryfall.com/card/c17/43/mirri-weatherlight-duelist","Mirri, Weatherlight Duelist")</f>
        <v>Mirri, Weatherlight Duelist</v>
      </c>
      <c r="B494" s="5">
        <v>438</v>
      </c>
      <c r="C494" s="6">
        <v>5</v>
      </c>
      <c r="D494" s="6">
        <v>7</v>
      </c>
      <c r="E494" s="6">
        <v>8</v>
      </c>
      <c r="F494" s="6">
        <v>20</v>
      </c>
      <c r="G494" s="6">
        <v>493</v>
      </c>
      <c r="H494" s="7"/>
    </row>
    <row r="495" spans="1:8">
      <c r="A495" s="4" t="s">
        <v>253</v>
      </c>
      <c r="B495" s="5">
        <v>440</v>
      </c>
      <c r="C495" s="6">
        <v>4</v>
      </c>
      <c r="D495" s="6">
        <v>9</v>
      </c>
      <c r="E495" s="6">
        <v>7</v>
      </c>
      <c r="F495" s="6">
        <v>20</v>
      </c>
      <c r="G495" s="6">
        <v>494</v>
      </c>
      <c r="H495" s="7"/>
    </row>
    <row r="496" spans="1:8">
      <c r="A496" s="4" t="s">
        <v>254</v>
      </c>
      <c r="B496" s="5">
        <v>442</v>
      </c>
      <c r="C496" s="6">
        <v>6</v>
      </c>
      <c r="D496" s="6">
        <v>7</v>
      </c>
      <c r="E496" s="6">
        <v>7</v>
      </c>
      <c r="F496" s="6">
        <v>20</v>
      </c>
      <c r="G496" s="6">
        <v>495</v>
      </c>
      <c r="H496" s="7"/>
    </row>
    <row r="497" spans="1:8">
      <c r="A497" s="4" t="str">
        <f>HYPERLINK("https://scryfall.com/card/c17/35/arahbo-roar-of-the-world","Arahbo, Roar of the World")</f>
        <v>Arahbo, Roar of the World</v>
      </c>
      <c r="B497" s="5">
        <v>443</v>
      </c>
      <c r="C497" s="6">
        <v>5</v>
      </c>
      <c r="D497" s="6">
        <v>10</v>
      </c>
      <c r="E497" s="6">
        <v>5</v>
      </c>
      <c r="F497" s="6">
        <v>20</v>
      </c>
      <c r="G497" s="6">
        <v>496</v>
      </c>
      <c r="H497" s="7"/>
    </row>
    <row r="498" spans="1:8">
      <c r="A498" s="4" t="s">
        <v>256</v>
      </c>
      <c r="B498" s="5">
        <v>446</v>
      </c>
      <c r="C498" s="6">
        <v>5</v>
      </c>
      <c r="D498" s="6">
        <v>6</v>
      </c>
      <c r="E498" s="6">
        <v>9</v>
      </c>
      <c r="F498" s="6">
        <v>20</v>
      </c>
      <c r="G498" s="6">
        <v>497</v>
      </c>
      <c r="H498" s="7"/>
    </row>
    <row r="499" spans="1:8">
      <c r="A499" s="4" t="str">
        <f>HYPERLINK("https://scryfall.com/card/mm3/204/zur-the-enchanter","Zur the Enchanter")</f>
        <v>Zur the Enchanter</v>
      </c>
      <c r="B499" s="5">
        <v>449</v>
      </c>
      <c r="C499" s="6">
        <v>7</v>
      </c>
      <c r="D499" s="6">
        <v>5</v>
      </c>
      <c r="E499" s="6">
        <v>8</v>
      </c>
      <c r="F499" s="6">
        <v>20</v>
      </c>
      <c r="G499" s="6">
        <v>498</v>
      </c>
      <c r="H499" s="7"/>
    </row>
    <row r="500" spans="1:8">
      <c r="A500" s="4" t="s">
        <v>260</v>
      </c>
      <c r="B500" s="5">
        <v>452</v>
      </c>
      <c r="C500" s="6">
        <v>4</v>
      </c>
      <c r="D500" s="6">
        <v>8</v>
      </c>
      <c r="E500" s="6">
        <v>8</v>
      </c>
      <c r="F500" s="6">
        <v>20</v>
      </c>
      <c r="G500" s="6">
        <v>499</v>
      </c>
      <c r="H500" s="7"/>
    </row>
    <row r="501" spans="1:8">
      <c r="A501" s="4" t="s">
        <v>261</v>
      </c>
      <c r="B501" s="5">
        <v>453</v>
      </c>
      <c r="C501" s="6">
        <v>4</v>
      </c>
      <c r="D501" s="6">
        <v>10</v>
      </c>
      <c r="E501" s="6">
        <v>6</v>
      </c>
      <c r="F501" s="6">
        <v>20</v>
      </c>
      <c r="G501" s="6">
        <v>500</v>
      </c>
      <c r="H501" s="7"/>
    </row>
    <row r="502" spans="1:8">
      <c r="A502" s="4" t="s">
        <v>268</v>
      </c>
      <c r="B502" s="5">
        <v>463</v>
      </c>
      <c r="C502" s="6">
        <v>4</v>
      </c>
      <c r="D502" s="6">
        <v>10</v>
      </c>
      <c r="E502" s="6">
        <v>6</v>
      </c>
      <c r="F502" s="6">
        <v>20</v>
      </c>
      <c r="G502" s="6">
        <v>501</v>
      </c>
      <c r="H502" s="7"/>
    </row>
    <row r="503" spans="1:8">
      <c r="A503" s="4" t="s">
        <v>270</v>
      </c>
      <c r="B503" s="5">
        <v>469</v>
      </c>
      <c r="C503" s="6">
        <v>4</v>
      </c>
      <c r="D503" s="6">
        <v>6</v>
      </c>
      <c r="E503" s="6">
        <v>10</v>
      </c>
      <c r="F503" s="6">
        <v>20</v>
      </c>
      <c r="G503" s="6">
        <v>502</v>
      </c>
      <c r="H503" s="7"/>
    </row>
    <row r="504" spans="1:8">
      <c r="A504" s="4" t="str">
        <f>HYPERLINK("https://scryfall.com/card/c13/221/thraximundar","Thraximundar")</f>
        <v>Thraximundar</v>
      </c>
      <c r="B504" s="5">
        <v>480</v>
      </c>
      <c r="C504" s="6">
        <v>3</v>
      </c>
      <c r="D504" s="6">
        <v>8</v>
      </c>
      <c r="E504" s="6">
        <v>9</v>
      </c>
      <c r="F504" s="6">
        <v>20</v>
      </c>
      <c r="G504" s="6">
        <v>503</v>
      </c>
      <c r="H504" s="7"/>
    </row>
    <row r="505" spans="1:8">
      <c r="A505" s="4" t="str">
        <f>HYPERLINK("https://scryfall.com/card/iko/378/brokkos-apex-of-forever","Brokkos, Apex of Forever")</f>
        <v>Brokkos, Apex of Forever</v>
      </c>
      <c r="B505" s="5">
        <v>481</v>
      </c>
      <c r="C505" s="6">
        <v>5</v>
      </c>
      <c r="D505" s="6">
        <v>5</v>
      </c>
      <c r="E505" s="6">
        <v>10</v>
      </c>
      <c r="F505" s="6">
        <v>20</v>
      </c>
      <c r="G505" s="6">
        <v>504</v>
      </c>
      <c r="H505" s="7"/>
    </row>
    <row r="506" spans="1:8">
      <c r="A506" s="4" t="s">
        <v>284</v>
      </c>
      <c r="B506" s="5">
        <v>492</v>
      </c>
      <c r="C506" s="6">
        <v>6</v>
      </c>
      <c r="D506" s="6">
        <v>8</v>
      </c>
      <c r="E506" s="6">
        <v>6</v>
      </c>
      <c r="F506" s="6">
        <v>20</v>
      </c>
      <c r="G506" s="6">
        <v>505</v>
      </c>
      <c r="H506" s="7"/>
    </row>
    <row r="507" spans="1:8">
      <c r="A507" s="4" t="s">
        <v>288</v>
      </c>
      <c r="B507" s="5">
        <v>500</v>
      </c>
      <c r="C507" s="6">
        <v>5</v>
      </c>
      <c r="D507" s="6">
        <v>8</v>
      </c>
      <c r="E507" s="6">
        <v>7</v>
      </c>
      <c r="F507" s="6">
        <v>20</v>
      </c>
      <c r="G507" s="6">
        <v>506</v>
      </c>
      <c r="H507" s="7"/>
    </row>
    <row r="508" spans="1:8">
      <c r="A508" s="4" t="s">
        <v>290</v>
      </c>
      <c r="B508" s="5">
        <v>502</v>
      </c>
      <c r="C508" s="6">
        <v>2</v>
      </c>
      <c r="D508" s="6">
        <v>10</v>
      </c>
      <c r="E508" s="6">
        <v>8</v>
      </c>
      <c r="F508" s="6">
        <v>20</v>
      </c>
      <c r="G508" s="6">
        <v>507</v>
      </c>
      <c r="H508" s="7"/>
    </row>
    <row r="509" spans="1:8">
      <c r="A509" s="4" t="s">
        <v>291</v>
      </c>
      <c r="B509" s="5">
        <v>503</v>
      </c>
      <c r="C509" s="6">
        <v>4</v>
      </c>
      <c r="D509" s="6">
        <v>8</v>
      </c>
      <c r="E509" s="6">
        <v>8</v>
      </c>
      <c r="F509" s="6">
        <v>20</v>
      </c>
      <c r="G509" s="6">
        <v>508</v>
      </c>
      <c r="H509" s="7"/>
    </row>
    <row r="510" spans="1:8">
      <c r="A510" s="4" t="s">
        <v>294</v>
      </c>
      <c r="B510" s="5">
        <v>507</v>
      </c>
      <c r="C510" s="6">
        <v>4</v>
      </c>
      <c r="D510" s="6">
        <v>7</v>
      </c>
      <c r="E510" s="6">
        <v>9</v>
      </c>
      <c r="F510" s="6">
        <v>20</v>
      </c>
      <c r="G510" s="6">
        <v>509</v>
      </c>
      <c r="H510" s="7"/>
    </row>
    <row r="511" spans="1:8">
      <c r="A511" s="4" t="s">
        <v>297</v>
      </c>
      <c r="B511" s="5">
        <v>510</v>
      </c>
      <c r="C511" s="6">
        <v>4</v>
      </c>
      <c r="D511" s="6">
        <v>8</v>
      </c>
      <c r="E511" s="6">
        <v>8</v>
      </c>
      <c r="F511" s="6">
        <v>20</v>
      </c>
      <c r="G511" s="6">
        <v>510</v>
      </c>
      <c r="H511" s="7"/>
    </row>
    <row r="512" spans="1:8">
      <c r="A512" s="4" t="s">
        <v>298</v>
      </c>
      <c r="B512" s="5">
        <v>511</v>
      </c>
      <c r="C512" s="6">
        <v>3</v>
      </c>
      <c r="D512" s="6">
        <v>8</v>
      </c>
      <c r="E512" s="6">
        <v>9</v>
      </c>
      <c r="F512" s="6">
        <v>20</v>
      </c>
      <c r="G512" s="6">
        <v>511</v>
      </c>
      <c r="H512" s="7"/>
    </row>
    <row r="513" spans="1:8">
      <c r="A513" s="4" t="s">
        <v>300</v>
      </c>
      <c r="B513" s="5">
        <v>513</v>
      </c>
      <c r="C513" s="6">
        <v>6</v>
      </c>
      <c r="D513" s="6">
        <v>8</v>
      </c>
      <c r="E513" s="6">
        <v>6</v>
      </c>
      <c r="F513" s="6">
        <v>20</v>
      </c>
      <c r="G513" s="6">
        <v>512</v>
      </c>
      <c r="H513" s="7"/>
    </row>
    <row r="514" spans="1:8">
      <c r="A514" s="4" t="s">
        <v>309</v>
      </c>
      <c r="B514" s="5">
        <v>526</v>
      </c>
      <c r="C514" s="6">
        <v>5</v>
      </c>
      <c r="D514" s="6">
        <v>6</v>
      </c>
      <c r="E514" s="6">
        <v>9</v>
      </c>
      <c r="F514" s="6">
        <v>20</v>
      </c>
      <c r="G514" s="6">
        <v>513</v>
      </c>
      <c r="H514" s="7"/>
    </row>
    <row r="515" spans="1:8">
      <c r="A515" s="4" t="s">
        <v>312</v>
      </c>
      <c r="B515" s="5">
        <v>530</v>
      </c>
      <c r="C515" s="6">
        <v>5</v>
      </c>
      <c r="D515" s="6">
        <v>10</v>
      </c>
      <c r="E515" s="6">
        <v>5</v>
      </c>
      <c r="F515" s="6">
        <v>20</v>
      </c>
      <c r="G515" s="6">
        <v>514</v>
      </c>
      <c r="H515" s="7"/>
    </row>
    <row r="516" spans="1:8">
      <c r="A516" s="4" t="s">
        <v>318</v>
      </c>
      <c r="B516" s="5">
        <v>539</v>
      </c>
      <c r="C516" s="6">
        <v>5</v>
      </c>
      <c r="D516" s="6">
        <v>10</v>
      </c>
      <c r="E516" s="6">
        <v>5</v>
      </c>
      <c r="F516" s="6">
        <v>20</v>
      </c>
      <c r="G516" s="6">
        <v>515</v>
      </c>
      <c r="H516" s="7"/>
    </row>
    <row r="517" spans="1:8">
      <c r="A517" s="4" t="s">
        <v>325</v>
      </c>
      <c r="B517" s="5">
        <v>555</v>
      </c>
      <c r="C517" s="6">
        <v>6</v>
      </c>
      <c r="D517" s="6">
        <v>7</v>
      </c>
      <c r="E517" s="6">
        <v>7</v>
      </c>
      <c r="F517" s="6">
        <v>20</v>
      </c>
      <c r="G517" s="6">
        <v>516</v>
      </c>
      <c r="H517" s="7"/>
    </row>
    <row r="518" spans="1:8">
      <c r="A518" s="4" t="s">
        <v>326</v>
      </c>
      <c r="B518" s="5">
        <v>557</v>
      </c>
      <c r="C518" s="6">
        <v>2</v>
      </c>
      <c r="D518" s="6">
        <v>8</v>
      </c>
      <c r="E518" s="6">
        <v>10</v>
      </c>
      <c r="F518" s="6">
        <v>20</v>
      </c>
      <c r="G518" s="6">
        <v>517</v>
      </c>
      <c r="H518" s="7"/>
    </row>
    <row r="519" spans="1:8">
      <c r="A519" s="4" t="s">
        <v>329</v>
      </c>
      <c r="B519" s="5">
        <v>563</v>
      </c>
      <c r="C519" s="6">
        <v>3</v>
      </c>
      <c r="D519" s="6">
        <v>7</v>
      </c>
      <c r="E519" s="6">
        <v>10</v>
      </c>
      <c r="F519" s="6">
        <v>20</v>
      </c>
      <c r="G519" s="6">
        <v>518</v>
      </c>
      <c r="H519" s="7"/>
    </row>
    <row r="520" spans="1:8">
      <c r="A520" s="4" t="s">
        <v>339</v>
      </c>
      <c r="B520" s="5">
        <v>575</v>
      </c>
      <c r="C520" s="6">
        <v>4</v>
      </c>
      <c r="D520" s="6">
        <v>6</v>
      </c>
      <c r="E520" s="6">
        <v>10</v>
      </c>
      <c r="F520" s="6">
        <v>20</v>
      </c>
      <c r="G520" s="6">
        <v>519</v>
      </c>
      <c r="H520" s="7"/>
    </row>
    <row r="521" spans="1:8">
      <c r="A521" s="4" t="str">
        <f>HYPERLINK("https://scryfall.com/card/c16/35/kydele-chosen-of-kruphix","Kydele, Chosen of Kruphix")</f>
        <v>Kydele, Chosen of Kruphix</v>
      </c>
      <c r="B521" s="5">
        <v>582</v>
      </c>
      <c r="C521" s="6">
        <v>7</v>
      </c>
      <c r="D521" s="6">
        <v>8</v>
      </c>
      <c r="E521" s="6">
        <v>5</v>
      </c>
      <c r="F521" s="6">
        <v>20</v>
      </c>
      <c r="G521" s="6">
        <v>520</v>
      </c>
      <c r="H521" s="7"/>
    </row>
    <row r="522" spans="1:8">
      <c r="A522" s="4" t="s">
        <v>350</v>
      </c>
      <c r="B522" s="5">
        <v>590</v>
      </c>
      <c r="C522" s="6">
        <v>5</v>
      </c>
      <c r="D522" s="6">
        <v>9</v>
      </c>
      <c r="E522" s="6">
        <v>6</v>
      </c>
      <c r="F522" s="6">
        <v>20</v>
      </c>
      <c r="G522" s="6">
        <v>521</v>
      </c>
      <c r="H522" s="7"/>
    </row>
    <row r="523" spans="1:8">
      <c r="A523" s="4" t="str">
        <f>HYPERLINK("https://scryfall.com/card/iko/233/zirda-the-dawnwaker","Zirda, the Dawnwaker")</f>
        <v>Zirda, the Dawnwaker</v>
      </c>
      <c r="B523" s="5">
        <v>595</v>
      </c>
      <c r="C523" s="6">
        <v>5</v>
      </c>
      <c r="D523" s="6">
        <v>7</v>
      </c>
      <c r="E523" s="6">
        <v>8</v>
      </c>
      <c r="F523" s="6">
        <v>20</v>
      </c>
      <c r="G523" s="6">
        <v>522</v>
      </c>
      <c r="H523" s="7"/>
    </row>
    <row r="524" spans="1:8">
      <c r="A524" s="4" t="s">
        <v>358</v>
      </c>
      <c r="B524" s="5">
        <v>602</v>
      </c>
      <c r="C524" s="6">
        <v>5</v>
      </c>
      <c r="D524" s="6">
        <v>7</v>
      </c>
      <c r="E524" s="6">
        <v>8</v>
      </c>
      <c r="F524" s="6">
        <v>20</v>
      </c>
      <c r="G524" s="6">
        <v>523</v>
      </c>
      <c r="H524" s="7"/>
    </row>
    <row r="525" spans="1:8">
      <c r="A525" s="4" t="s">
        <v>359</v>
      </c>
      <c r="B525" s="5">
        <v>605</v>
      </c>
      <c r="C525" s="6">
        <v>7</v>
      </c>
      <c r="D525" s="6">
        <v>7</v>
      </c>
      <c r="E525" s="6">
        <v>6</v>
      </c>
      <c r="F525" s="6">
        <v>20</v>
      </c>
      <c r="G525" s="6">
        <v>524</v>
      </c>
      <c r="H525" s="7"/>
    </row>
    <row r="526" spans="1:8">
      <c r="A526" s="4" t="str">
        <f>HYPERLINK("https://scryfall.com/card/c19/42/ghired-conclave-exile","Ghired, Conclave Exile")</f>
        <v>Ghired, Conclave Exile</v>
      </c>
      <c r="B526" s="5">
        <v>610</v>
      </c>
      <c r="C526" s="6">
        <v>5</v>
      </c>
      <c r="D526" s="6">
        <v>9</v>
      </c>
      <c r="E526" s="6">
        <v>6</v>
      </c>
      <c r="F526" s="6">
        <v>20</v>
      </c>
      <c r="G526" s="6">
        <v>525</v>
      </c>
      <c r="H526" s="7"/>
    </row>
    <row r="527" spans="1:8">
      <c r="A527" s="4" t="s">
        <v>364</v>
      </c>
      <c r="B527" s="5">
        <v>616</v>
      </c>
      <c r="C527" s="6">
        <v>4</v>
      </c>
      <c r="D527" s="6">
        <v>8</v>
      </c>
      <c r="E527" s="6">
        <v>8</v>
      </c>
      <c r="F527" s="6">
        <v>20</v>
      </c>
      <c r="G527" s="6">
        <v>526</v>
      </c>
      <c r="H527" s="7"/>
    </row>
    <row r="528" spans="1:8">
      <c r="A528" s="4" t="s">
        <v>369</v>
      </c>
      <c r="B528" s="5">
        <v>621</v>
      </c>
      <c r="C528" s="6">
        <v>5</v>
      </c>
      <c r="D528" s="6">
        <v>7</v>
      </c>
      <c r="E528" s="6">
        <v>8</v>
      </c>
      <c r="F528" s="6">
        <v>20</v>
      </c>
      <c r="G528" s="6">
        <v>527</v>
      </c>
      <c r="H528" s="7"/>
    </row>
    <row r="529" spans="1:8">
      <c r="A529" s="4" t="s">
        <v>370</v>
      </c>
      <c r="B529" s="5">
        <v>626</v>
      </c>
      <c r="C529" s="6">
        <v>5</v>
      </c>
      <c r="D529" s="6">
        <v>8</v>
      </c>
      <c r="E529" s="6">
        <v>7</v>
      </c>
      <c r="F529" s="6">
        <v>20</v>
      </c>
      <c r="G529" s="6">
        <v>528</v>
      </c>
      <c r="H529" s="7"/>
    </row>
    <row r="530" spans="1:8">
      <c r="A530" s="4" t="s">
        <v>372</v>
      </c>
      <c r="B530" s="5">
        <v>628</v>
      </c>
      <c r="C530" s="6">
        <v>5</v>
      </c>
      <c r="D530" s="6">
        <v>7</v>
      </c>
      <c r="E530" s="6">
        <v>8</v>
      </c>
      <c r="F530" s="6">
        <v>20</v>
      </c>
      <c r="G530" s="6">
        <v>529</v>
      </c>
      <c r="H530" s="7"/>
    </row>
    <row r="531" spans="1:8">
      <c r="A531" s="4" t="s">
        <v>375</v>
      </c>
      <c r="B531" s="5">
        <v>632</v>
      </c>
      <c r="C531" s="6">
        <v>4</v>
      </c>
      <c r="D531" s="6">
        <v>8</v>
      </c>
      <c r="E531" s="6">
        <v>8</v>
      </c>
      <c r="F531" s="6">
        <v>20</v>
      </c>
      <c r="G531" s="6">
        <v>530</v>
      </c>
      <c r="H531" s="7"/>
    </row>
    <row r="532" spans="1:8">
      <c r="A532" s="4" t="s">
        <v>377</v>
      </c>
      <c r="B532" s="5">
        <v>637</v>
      </c>
      <c r="C532" s="6">
        <v>5</v>
      </c>
      <c r="D532" s="6">
        <v>7</v>
      </c>
      <c r="E532" s="6">
        <v>8</v>
      </c>
      <c r="F532" s="6">
        <v>20</v>
      </c>
      <c r="G532" s="6">
        <v>531</v>
      </c>
      <c r="H532" s="7"/>
    </row>
    <row r="533" spans="1:8">
      <c r="A533" s="4" t="s">
        <v>386</v>
      </c>
      <c r="B533" s="5">
        <v>649</v>
      </c>
      <c r="C533" s="6">
        <v>3</v>
      </c>
      <c r="D533" s="6">
        <v>10</v>
      </c>
      <c r="E533" s="6">
        <v>7</v>
      </c>
      <c r="F533" s="6">
        <v>20</v>
      </c>
      <c r="G533" s="6">
        <v>532</v>
      </c>
      <c r="H533" s="7"/>
    </row>
    <row r="534" spans="1:8">
      <c r="A534" s="4" t="s">
        <v>388</v>
      </c>
      <c r="B534" s="5">
        <v>651</v>
      </c>
      <c r="C534" s="6">
        <v>4</v>
      </c>
      <c r="D534" s="6">
        <v>8</v>
      </c>
      <c r="E534" s="6">
        <v>8</v>
      </c>
      <c r="F534" s="6">
        <v>20</v>
      </c>
      <c r="G534" s="6">
        <v>533</v>
      </c>
      <c r="H534" s="7"/>
    </row>
    <row r="535" spans="1:8">
      <c r="A535" s="4" t="s">
        <v>397</v>
      </c>
      <c r="B535" s="5">
        <v>668</v>
      </c>
      <c r="C535" s="6">
        <v>4</v>
      </c>
      <c r="D535" s="6">
        <v>8</v>
      </c>
      <c r="E535" s="6">
        <v>8</v>
      </c>
      <c r="F535" s="6">
        <v>20</v>
      </c>
      <c r="G535" s="6">
        <v>534</v>
      </c>
      <c r="H535" s="7"/>
    </row>
    <row r="536" spans="1:8">
      <c r="A536" s="4" t="s">
        <v>398</v>
      </c>
      <c r="B536" s="5">
        <v>670</v>
      </c>
      <c r="C536" s="6">
        <v>3</v>
      </c>
      <c r="D536" s="6">
        <v>8</v>
      </c>
      <c r="E536" s="6">
        <v>9</v>
      </c>
      <c r="F536" s="6">
        <v>20</v>
      </c>
      <c r="G536" s="6">
        <v>535</v>
      </c>
      <c r="H536" s="7"/>
    </row>
    <row r="537" spans="1:8">
      <c r="A537" s="4" t="str">
        <f>HYPERLINK("https://scryfall.com/card/eld/101/rankle-master-of-pranks","Rankle, Master of Pranks")</f>
        <v>Rankle, Master of Pranks</v>
      </c>
      <c r="B537" s="5">
        <v>673</v>
      </c>
      <c r="C537" s="6">
        <v>5</v>
      </c>
      <c r="D537" s="6">
        <v>6</v>
      </c>
      <c r="E537" s="6">
        <v>9</v>
      </c>
      <c r="F537" s="6">
        <v>20</v>
      </c>
      <c r="G537" s="6">
        <v>536</v>
      </c>
      <c r="H537" s="7"/>
    </row>
    <row r="538" spans="1:8">
      <c r="A538" s="4" t="str">
        <f>HYPERLINK("https://scryfall.com/card/c13/199/mayael-the-anima","Mayael the Anima")</f>
        <v>Mayael the Anima</v>
      </c>
      <c r="B538" s="5">
        <v>675</v>
      </c>
      <c r="C538" s="6">
        <v>3</v>
      </c>
      <c r="D538" s="6">
        <v>9</v>
      </c>
      <c r="E538" s="6">
        <v>8</v>
      </c>
      <c r="F538" s="6">
        <v>20</v>
      </c>
      <c r="G538" s="6">
        <v>537</v>
      </c>
      <c r="H538" s="7"/>
    </row>
    <row r="539" spans="1:8">
      <c r="A539" s="4" t="str">
        <f>HYPERLINK("https://scryfall.com/card/c15/230/prime-speaker-zegana","Prime Speaker Zegana")</f>
        <v>Prime Speaker Zegana</v>
      </c>
      <c r="B539" s="5">
        <v>680</v>
      </c>
      <c r="C539" s="6">
        <v>5</v>
      </c>
      <c r="D539" s="6">
        <v>7</v>
      </c>
      <c r="E539" s="6">
        <v>8</v>
      </c>
      <c r="F539" s="6">
        <v>20</v>
      </c>
      <c r="G539" s="6">
        <v>538</v>
      </c>
      <c r="H539" s="7"/>
    </row>
    <row r="540" spans="1:8">
      <c r="A540" s="4" t="s">
        <v>406</v>
      </c>
      <c r="B540" s="5">
        <v>685</v>
      </c>
      <c r="C540" s="6">
        <v>5</v>
      </c>
      <c r="D540" s="6">
        <v>9</v>
      </c>
      <c r="E540" s="6">
        <v>6</v>
      </c>
      <c r="F540" s="6">
        <v>20</v>
      </c>
      <c r="G540" s="6">
        <v>539</v>
      </c>
      <c r="H540" s="7"/>
    </row>
    <row r="541" spans="1:8">
      <c r="A541" s="10" t="s">
        <v>408</v>
      </c>
      <c r="B541" s="5">
        <v>689</v>
      </c>
      <c r="C541" s="11">
        <v>6</v>
      </c>
      <c r="D541" s="11">
        <v>7</v>
      </c>
      <c r="E541" s="11">
        <v>7</v>
      </c>
      <c r="F541" s="11">
        <v>20</v>
      </c>
      <c r="G541" s="6">
        <v>540</v>
      </c>
      <c r="H541" s="7"/>
    </row>
    <row r="542" spans="1:8">
      <c r="A542" s="4" t="s">
        <v>413</v>
      </c>
      <c r="B542" s="5">
        <v>694</v>
      </c>
      <c r="C542" s="6">
        <v>5</v>
      </c>
      <c r="D542" s="6">
        <v>8</v>
      </c>
      <c r="E542" s="6">
        <v>7</v>
      </c>
      <c r="F542" s="6">
        <v>20</v>
      </c>
      <c r="G542" s="6">
        <v>541</v>
      </c>
      <c r="H542" s="7"/>
    </row>
    <row r="543" spans="1:8">
      <c r="A543" s="4" t="s">
        <v>416</v>
      </c>
      <c r="B543" s="5">
        <v>697</v>
      </c>
      <c r="C543" s="6">
        <v>3</v>
      </c>
      <c r="D543" s="6">
        <v>8</v>
      </c>
      <c r="E543" s="6">
        <v>9</v>
      </c>
      <c r="F543" s="6">
        <v>20</v>
      </c>
      <c r="G543" s="6">
        <v>542</v>
      </c>
      <c r="H543" s="7"/>
    </row>
    <row r="544" spans="1:8">
      <c r="A544" s="4" t="s">
        <v>422</v>
      </c>
      <c r="B544" s="5">
        <v>706</v>
      </c>
      <c r="C544" s="6">
        <v>2</v>
      </c>
      <c r="D544" s="6">
        <v>8</v>
      </c>
      <c r="E544" s="6">
        <v>10</v>
      </c>
      <c r="F544" s="6">
        <v>20</v>
      </c>
      <c r="G544" s="6">
        <v>543</v>
      </c>
      <c r="H544" s="7"/>
    </row>
    <row r="545" spans="1:8">
      <c r="A545" s="4" t="s">
        <v>429</v>
      </c>
      <c r="B545" s="5">
        <v>717</v>
      </c>
      <c r="C545" s="6">
        <v>3</v>
      </c>
      <c r="D545" s="6">
        <v>9</v>
      </c>
      <c r="E545" s="6">
        <v>8</v>
      </c>
      <c r="F545" s="6">
        <v>20</v>
      </c>
      <c r="G545" s="6">
        <v>544</v>
      </c>
      <c r="H545" s="7"/>
    </row>
    <row r="546" spans="1:8">
      <c r="A546" s="4" t="s">
        <v>430</v>
      </c>
      <c r="B546" s="5">
        <v>718</v>
      </c>
      <c r="C546" s="6">
        <v>3</v>
      </c>
      <c r="D546" s="6">
        <v>8</v>
      </c>
      <c r="E546" s="6">
        <v>9</v>
      </c>
      <c r="F546" s="6">
        <v>20</v>
      </c>
      <c r="G546" s="6">
        <v>545</v>
      </c>
      <c r="H546" s="7"/>
    </row>
    <row r="547" spans="1:8">
      <c r="A547" s="4" t="str">
        <f>HYPERLINK("https://scryfall.com/card/dom/58/naban-dean-of-iteration","Naban, Dean of Iteration")</f>
        <v>Naban, Dean of Iteration</v>
      </c>
      <c r="B547" s="5">
        <v>719</v>
      </c>
      <c r="C547" s="6">
        <v>3</v>
      </c>
      <c r="D547" s="6">
        <v>8</v>
      </c>
      <c r="E547" s="6">
        <v>9</v>
      </c>
      <c r="F547" s="6">
        <v>20</v>
      </c>
      <c r="G547" s="6">
        <v>546</v>
      </c>
      <c r="H547" s="7"/>
    </row>
    <row r="548" spans="1:8">
      <c r="A548" s="4" t="s">
        <v>431</v>
      </c>
      <c r="B548" s="5">
        <v>721</v>
      </c>
      <c r="C548" s="6">
        <v>7</v>
      </c>
      <c r="D548" s="6">
        <v>7</v>
      </c>
      <c r="E548" s="6">
        <v>6</v>
      </c>
      <c r="F548" s="6">
        <v>20</v>
      </c>
      <c r="G548" s="6">
        <v>547</v>
      </c>
      <c r="H548" s="7"/>
    </row>
    <row r="549" spans="1:8">
      <c r="A549" s="4" t="s">
        <v>433</v>
      </c>
      <c r="B549" s="5">
        <v>723</v>
      </c>
      <c r="C549" s="6">
        <v>3</v>
      </c>
      <c r="D549" s="6">
        <v>9</v>
      </c>
      <c r="E549" s="6">
        <v>8</v>
      </c>
      <c r="F549" s="6">
        <v>20</v>
      </c>
      <c r="G549" s="6">
        <v>548</v>
      </c>
      <c r="H549" s="7"/>
    </row>
    <row r="550" spans="1:8">
      <c r="A550" s="4" t="s">
        <v>435</v>
      </c>
      <c r="B550" s="5">
        <v>725</v>
      </c>
      <c r="C550" s="6">
        <v>5</v>
      </c>
      <c r="D550" s="6">
        <v>8</v>
      </c>
      <c r="E550" s="6">
        <v>7</v>
      </c>
      <c r="F550" s="6">
        <v>20</v>
      </c>
      <c r="G550" s="6">
        <v>549</v>
      </c>
      <c r="H550" s="7"/>
    </row>
    <row r="551" spans="1:8">
      <c r="A551" s="4" t="s">
        <v>437</v>
      </c>
      <c r="B551" s="5">
        <v>727</v>
      </c>
      <c r="C551" s="6">
        <v>3</v>
      </c>
      <c r="D551" s="6">
        <v>10</v>
      </c>
      <c r="E551" s="6">
        <v>7</v>
      </c>
      <c r="F551" s="6">
        <v>20</v>
      </c>
      <c r="G551" s="6">
        <v>550</v>
      </c>
      <c r="H551" s="7"/>
    </row>
    <row r="552" spans="1:8">
      <c r="A552" s="4" t="s">
        <v>450</v>
      </c>
      <c r="B552" s="5">
        <v>741</v>
      </c>
      <c r="C552" s="6">
        <v>6</v>
      </c>
      <c r="D552" s="6">
        <v>7</v>
      </c>
      <c r="E552" s="6">
        <v>7</v>
      </c>
      <c r="F552" s="6">
        <v>20</v>
      </c>
      <c r="G552" s="6">
        <v>551</v>
      </c>
      <c r="H552" s="7"/>
    </row>
    <row r="553" spans="1:8">
      <c r="A553" s="4" t="s">
        <v>454</v>
      </c>
      <c r="B553" s="5">
        <v>746</v>
      </c>
      <c r="C553" s="6">
        <v>4</v>
      </c>
      <c r="D553" s="6">
        <v>7</v>
      </c>
      <c r="E553" s="6">
        <v>9</v>
      </c>
      <c r="F553" s="6">
        <v>20</v>
      </c>
      <c r="G553" s="6">
        <v>552</v>
      </c>
      <c r="H553" s="7"/>
    </row>
    <row r="554" spans="1:8">
      <c r="A554" s="4" t="str">
        <f>HYPERLINK("https://scryfall.com/card/m19/69/sai-master-thopterist","Sai, Master Thopterist")</f>
        <v>Sai, Master Thopterist</v>
      </c>
      <c r="B554" s="5">
        <v>747</v>
      </c>
      <c r="C554" s="6">
        <v>6</v>
      </c>
      <c r="D554" s="6">
        <v>6</v>
      </c>
      <c r="E554" s="6">
        <v>8</v>
      </c>
      <c r="F554" s="6">
        <v>20</v>
      </c>
      <c r="G554" s="6">
        <v>553</v>
      </c>
      <c r="H554" s="7"/>
    </row>
    <row r="555" spans="1:8">
      <c r="A555" s="4" t="s">
        <v>463</v>
      </c>
      <c r="B555" s="5">
        <v>760</v>
      </c>
      <c r="C555" s="6">
        <v>5</v>
      </c>
      <c r="D555" s="6">
        <v>7</v>
      </c>
      <c r="E555" s="6">
        <v>8</v>
      </c>
      <c r="F555" s="6">
        <v>20</v>
      </c>
      <c r="G555" s="6">
        <v>554</v>
      </c>
      <c r="H555" s="7"/>
    </row>
    <row r="556" spans="1:8">
      <c r="A556" s="4" t="s">
        <v>464</v>
      </c>
      <c r="B556" s="5">
        <v>761</v>
      </c>
      <c r="C556" s="6">
        <v>2</v>
      </c>
      <c r="D556" s="6">
        <v>10</v>
      </c>
      <c r="E556" s="6">
        <v>8</v>
      </c>
      <c r="F556" s="6">
        <v>20</v>
      </c>
      <c r="G556" s="6">
        <v>555</v>
      </c>
      <c r="H556" s="7"/>
    </row>
    <row r="557" spans="1:8">
      <c r="A557" s="4" t="s">
        <v>465</v>
      </c>
      <c r="B557" s="5">
        <v>762</v>
      </c>
      <c r="C557" s="6">
        <v>3</v>
      </c>
      <c r="D557" s="6">
        <v>7</v>
      </c>
      <c r="E557" s="6">
        <v>10</v>
      </c>
      <c r="F557" s="6">
        <v>20</v>
      </c>
      <c r="G557" s="6">
        <v>556</v>
      </c>
      <c r="H557" s="7"/>
    </row>
    <row r="558" spans="1:8">
      <c r="A558" s="4" t="s">
        <v>468</v>
      </c>
      <c r="B558" s="5">
        <v>765</v>
      </c>
      <c r="C558" s="6">
        <v>5</v>
      </c>
      <c r="D558" s="6">
        <v>8</v>
      </c>
      <c r="E558" s="6">
        <v>7</v>
      </c>
      <c r="F558" s="6">
        <v>20</v>
      </c>
      <c r="G558" s="6">
        <v>557</v>
      </c>
      <c r="H558" s="7"/>
    </row>
    <row r="559" spans="1:8">
      <c r="A559" s="4" t="s">
        <v>476</v>
      </c>
      <c r="B559" s="5">
        <v>777</v>
      </c>
      <c r="C559" s="6">
        <v>5</v>
      </c>
      <c r="D559" s="6">
        <v>6</v>
      </c>
      <c r="E559" s="6">
        <v>9</v>
      </c>
      <c r="F559" s="6">
        <v>20</v>
      </c>
      <c r="G559" s="6">
        <v>558</v>
      </c>
      <c r="H559" s="7"/>
    </row>
    <row r="560" spans="1:8">
      <c r="A560" s="4" t="s">
        <v>480</v>
      </c>
      <c r="B560" s="5">
        <v>783</v>
      </c>
      <c r="C560" s="6">
        <v>3</v>
      </c>
      <c r="D560" s="6">
        <v>8</v>
      </c>
      <c r="E560" s="6">
        <v>9</v>
      </c>
      <c r="F560" s="6">
        <v>20</v>
      </c>
      <c r="G560" s="6">
        <v>559</v>
      </c>
      <c r="H560" s="7"/>
    </row>
    <row r="561" spans="1:8">
      <c r="A561" s="4" t="s">
        <v>481</v>
      </c>
      <c r="B561" s="5">
        <v>785</v>
      </c>
      <c r="C561" s="6">
        <v>3</v>
      </c>
      <c r="D561" s="6">
        <v>7</v>
      </c>
      <c r="E561" s="6">
        <v>10</v>
      </c>
      <c r="F561" s="6">
        <v>20</v>
      </c>
      <c r="G561" s="6">
        <v>560</v>
      </c>
      <c r="H561" s="7"/>
    </row>
    <row r="562" spans="1:8">
      <c r="A562" s="4" t="str">
        <f>HYPERLINK("https://scryfall.com/card/cm2/13/reyhan-last-of-the-abzan","Reyhan, Last of the Abzan")</f>
        <v>Reyhan, Last of the Abzan</v>
      </c>
      <c r="B562" s="5">
        <v>786</v>
      </c>
      <c r="C562" s="6">
        <v>5</v>
      </c>
      <c r="D562" s="6">
        <v>7</v>
      </c>
      <c r="E562" s="6">
        <v>8</v>
      </c>
      <c r="F562" s="6">
        <v>20</v>
      </c>
      <c r="G562" s="6">
        <v>561</v>
      </c>
      <c r="H562" s="7"/>
    </row>
    <row r="563" spans="1:8">
      <c r="A563" s="4" t="str">
        <f>HYPERLINK("https://scryfall.com/card/dom/59/naru-meha-master-wizard","Naru Meha, Master Wizard")</f>
        <v>Naru Meha, Master Wizard</v>
      </c>
      <c r="B563" s="5">
        <v>804</v>
      </c>
      <c r="C563" s="6">
        <v>6</v>
      </c>
      <c r="D563" s="6">
        <v>7</v>
      </c>
      <c r="E563" s="6">
        <v>7</v>
      </c>
      <c r="F563" s="6">
        <v>20</v>
      </c>
      <c r="G563" s="6">
        <v>562</v>
      </c>
      <c r="H563" s="7"/>
    </row>
    <row r="564" spans="1:8">
      <c r="A564" s="4" t="s">
        <v>494</v>
      </c>
      <c r="B564" s="5">
        <v>808</v>
      </c>
      <c r="C564" s="6">
        <v>4</v>
      </c>
      <c r="D564" s="6">
        <v>7</v>
      </c>
      <c r="E564" s="6">
        <v>9</v>
      </c>
      <c r="F564" s="6">
        <v>20</v>
      </c>
      <c r="G564" s="6">
        <v>563</v>
      </c>
      <c r="H564" s="7"/>
    </row>
    <row r="565" spans="1:8">
      <c r="A565" s="4" t="s">
        <v>499</v>
      </c>
      <c r="B565" s="5">
        <v>815</v>
      </c>
      <c r="C565" s="6">
        <v>3</v>
      </c>
      <c r="D565" s="6">
        <v>8</v>
      </c>
      <c r="E565" s="6">
        <v>9</v>
      </c>
      <c r="F565" s="6">
        <v>20</v>
      </c>
      <c r="G565" s="6">
        <v>564</v>
      </c>
      <c r="H565" s="7"/>
    </row>
    <row r="566" spans="1:8">
      <c r="A566" s="4" t="s">
        <v>506</v>
      </c>
      <c r="B566" s="5">
        <v>826</v>
      </c>
      <c r="C566" s="6">
        <v>5</v>
      </c>
      <c r="D566" s="6">
        <v>8</v>
      </c>
      <c r="E566" s="6">
        <v>7</v>
      </c>
      <c r="F566" s="6">
        <v>20</v>
      </c>
      <c r="G566" s="6">
        <v>565</v>
      </c>
      <c r="H566" s="7"/>
    </row>
    <row r="567" spans="1:8">
      <c r="A567" s="4" t="str">
        <f>HYPERLINK("https://scryfall.com/card/m15/209/yisan-the-wanderer-bard","Yisan, the Wanderer Bard")</f>
        <v>Yisan, the Wanderer Bard</v>
      </c>
      <c r="B567" s="5">
        <v>829</v>
      </c>
      <c r="C567" s="6">
        <v>8</v>
      </c>
      <c r="D567" s="6">
        <v>6</v>
      </c>
      <c r="E567" s="6">
        <v>6</v>
      </c>
      <c r="F567" s="6">
        <v>20</v>
      </c>
      <c r="G567" s="6">
        <v>566</v>
      </c>
      <c r="H567" s="7"/>
    </row>
    <row r="568" spans="1:8">
      <c r="A568" s="4" t="s">
        <v>508</v>
      </c>
      <c r="B568" s="5">
        <v>832</v>
      </c>
      <c r="C568" s="6">
        <v>5</v>
      </c>
      <c r="D568" s="6">
        <v>7</v>
      </c>
      <c r="E568" s="6">
        <v>8</v>
      </c>
      <c r="F568" s="6">
        <v>20</v>
      </c>
      <c r="G568" s="6">
        <v>567</v>
      </c>
      <c r="H568" s="7"/>
    </row>
    <row r="569" spans="1:8">
      <c r="A569" s="4" t="s">
        <v>509</v>
      </c>
      <c r="B569" s="5">
        <v>833</v>
      </c>
      <c r="C569" s="6">
        <v>3</v>
      </c>
      <c r="D569" s="6">
        <v>8</v>
      </c>
      <c r="E569" s="6">
        <v>9</v>
      </c>
      <c r="F569" s="6">
        <v>20</v>
      </c>
      <c r="G569" s="6">
        <v>568</v>
      </c>
      <c r="H569" s="7"/>
    </row>
    <row r="570" spans="1:8">
      <c r="A570" s="4" t="s">
        <v>512</v>
      </c>
      <c r="B570" s="5">
        <v>839</v>
      </c>
      <c r="C570" s="6">
        <v>3</v>
      </c>
      <c r="D570" s="6">
        <v>8</v>
      </c>
      <c r="E570" s="6">
        <v>9</v>
      </c>
      <c r="F570" s="6">
        <v>20</v>
      </c>
      <c r="G570" s="6">
        <v>569</v>
      </c>
      <c r="H570" s="7"/>
    </row>
    <row r="571" spans="1:8">
      <c r="A571" s="4" t="s">
        <v>531</v>
      </c>
      <c r="B571" s="5">
        <v>867</v>
      </c>
      <c r="C571" s="6">
        <v>5</v>
      </c>
      <c r="D571" s="6">
        <v>7</v>
      </c>
      <c r="E571" s="6">
        <v>8</v>
      </c>
      <c r="F571" s="6">
        <v>20</v>
      </c>
      <c r="G571" s="6">
        <v>570</v>
      </c>
      <c r="H571" s="7"/>
    </row>
    <row r="572" spans="1:8">
      <c r="A572" s="4" t="s">
        <v>534</v>
      </c>
      <c r="B572" s="5">
        <v>872</v>
      </c>
      <c r="C572" s="6">
        <v>3</v>
      </c>
      <c r="D572" s="6">
        <v>9</v>
      </c>
      <c r="E572" s="6">
        <v>8</v>
      </c>
      <c r="F572" s="6">
        <v>20</v>
      </c>
      <c r="G572" s="6">
        <v>571</v>
      </c>
      <c r="H572" s="7"/>
    </row>
    <row r="573" spans="1:8">
      <c r="A573" s="4" t="str">
        <f>HYPERLINK("https://scryfall.com/card/eld/75/ayara-first-of-locthwain","Ayara, First of Locthwain")</f>
        <v>Ayara, First of Locthwain</v>
      </c>
      <c r="B573" s="5">
        <v>875</v>
      </c>
      <c r="C573" s="6">
        <v>4</v>
      </c>
      <c r="D573" s="6">
        <v>7</v>
      </c>
      <c r="E573" s="6">
        <v>9</v>
      </c>
      <c r="F573" s="6">
        <v>20</v>
      </c>
      <c r="G573" s="6">
        <v>572</v>
      </c>
      <c r="H573" s="7"/>
    </row>
    <row r="574" spans="1:8">
      <c r="A574" s="4" t="str">
        <f>HYPERLINK("https://scryfall.com/card/iko/354/keruga-the-macrosage","Keruga, the Macrosage")</f>
        <v>Keruga, the Macrosage</v>
      </c>
      <c r="B574" s="5">
        <v>876</v>
      </c>
      <c r="C574" s="6">
        <v>5</v>
      </c>
      <c r="D574" s="6">
        <v>8</v>
      </c>
      <c r="E574" s="6">
        <v>7</v>
      </c>
      <c r="F574" s="6">
        <v>20</v>
      </c>
      <c r="G574" s="6">
        <v>573</v>
      </c>
      <c r="H574" s="7"/>
    </row>
    <row r="575" spans="1:8">
      <c r="A575" s="4" t="s">
        <v>545</v>
      </c>
      <c r="B575" s="5">
        <v>889</v>
      </c>
      <c r="C575" s="6">
        <v>3</v>
      </c>
      <c r="D575" s="6">
        <v>10</v>
      </c>
      <c r="E575" s="6">
        <v>7</v>
      </c>
      <c r="F575" s="6">
        <v>20</v>
      </c>
      <c r="G575" s="6">
        <v>574</v>
      </c>
      <c r="H575" s="7"/>
    </row>
    <row r="576" spans="1:8">
      <c r="A576" s="4" t="s">
        <v>546</v>
      </c>
      <c r="B576" s="5">
        <v>891</v>
      </c>
      <c r="C576" s="6">
        <v>3</v>
      </c>
      <c r="D576" s="6">
        <v>10</v>
      </c>
      <c r="E576" s="6">
        <v>7</v>
      </c>
      <c r="F576" s="6">
        <v>20</v>
      </c>
      <c r="G576" s="6">
        <v>575</v>
      </c>
      <c r="H576" s="7"/>
    </row>
    <row r="577" spans="1:8">
      <c r="A577" s="4" t="s">
        <v>547</v>
      </c>
      <c r="B577" s="5">
        <v>895</v>
      </c>
      <c r="C577" s="6">
        <v>5</v>
      </c>
      <c r="D577" s="6">
        <v>8</v>
      </c>
      <c r="E577" s="6">
        <v>7</v>
      </c>
      <c r="F577" s="6">
        <v>20</v>
      </c>
      <c r="G577" s="6">
        <v>576</v>
      </c>
      <c r="H577" s="7"/>
    </row>
    <row r="578" spans="1:8">
      <c r="A578" s="12" t="s">
        <v>552</v>
      </c>
      <c r="B578" s="5">
        <v>901</v>
      </c>
      <c r="C578" s="11">
        <v>4</v>
      </c>
      <c r="D578" s="11">
        <v>9</v>
      </c>
      <c r="E578" s="11">
        <v>7</v>
      </c>
      <c r="F578" s="11">
        <v>20</v>
      </c>
      <c r="G578" s="6">
        <v>577</v>
      </c>
      <c r="H578" s="7"/>
    </row>
    <row r="579" spans="1:8">
      <c r="A579" s="4" t="s">
        <v>558</v>
      </c>
      <c r="B579" s="5">
        <v>910</v>
      </c>
      <c r="C579" s="6">
        <v>6</v>
      </c>
      <c r="D579" s="6">
        <v>8</v>
      </c>
      <c r="E579" s="6">
        <v>6</v>
      </c>
      <c r="F579" s="6">
        <v>20</v>
      </c>
      <c r="G579" s="6">
        <v>578</v>
      </c>
      <c r="H579" s="7"/>
    </row>
    <row r="580" spans="1:8">
      <c r="A580" s="4" t="s">
        <v>563</v>
      </c>
      <c r="B580" s="5">
        <v>919</v>
      </c>
      <c r="C580" s="6">
        <v>5</v>
      </c>
      <c r="D580" s="6">
        <v>8</v>
      </c>
      <c r="E580" s="6">
        <v>7</v>
      </c>
      <c r="F580" s="6">
        <v>20</v>
      </c>
      <c r="G580" s="6">
        <v>579</v>
      </c>
      <c r="H580" s="7"/>
    </row>
    <row r="581" spans="1:8">
      <c r="A581" s="4" t="s">
        <v>565</v>
      </c>
      <c r="B581" s="5">
        <v>922</v>
      </c>
      <c r="C581" s="6">
        <v>6</v>
      </c>
      <c r="D581" s="6">
        <v>8</v>
      </c>
      <c r="E581" s="6">
        <v>6</v>
      </c>
      <c r="F581" s="6">
        <v>20</v>
      </c>
      <c r="G581" s="6">
        <v>580</v>
      </c>
      <c r="H581" s="7"/>
    </row>
    <row r="582" spans="1:8">
      <c r="A582" s="4" t="str">
        <f>HYPERLINK("https://scryfall.com/card/uma/76/talrand-sky-summoner","Talrand, Sky Summoner")</f>
        <v>Talrand, Sky Summoner</v>
      </c>
      <c r="B582" s="5">
        <v>926</v>
      </c>
      <c r="C582" s="6">
        <v>7</v>
      </c>
      <c r="D582" s="6">
        <v>6</v>
      </c>
      <c r="E582" s="6">
        <v>7</v>
      </c>
      <c r="F582" s="6">
        <v>20</v>
      </c>
      <c r="G582" s="6">
        <v>581</v>
      </c>
      <c r="H582" s="7"/>
    </row>
    <row r="583" spans="1:8">
      <c r="A583" s="4" t="s">
        <v>582</v>
      </c>
      <c r="B583" s="5">
        <v>944</v>
      </c>
      <c r="C583" s="6">
        <v>3</v>
      </c>
      <c r="D583" s="6">
        <v>10</v>
      </c>
      <c r="E583" s="6">
        <v>7</v>
      </c>
      <c r="F583" s="6">
        <v>20</v>
      </c>
      <c r="G583" s="6">
        <v>582</v>
      </c>
      <c r="H583" s="7"/>
    </row>
    <row r="584" spans="1:8">
      <c r="A584" s="4" t="s">
        <v>590</v>
      </c>
      <c r="B584" s="5">
        <v>963</v>
      </c>
      <c r="C584" s="6">
        <v>7</v>
      </c>
      <c r="D584" s="6">
        <v>7</v>
      </c>
      <c r="E584" s="6">
        <v>6</v>
      </c>
      <c r="F584" s="6">
        <v>20</v>
      </c>
      <c r="G584" s="6">
        <v>583</v>
      </c>
      <c r="H584" s="7"/>
    </row>
    <row r="585" spans="1:8">
      <c r="A585" s="4" t="s">
        <v>594</v>
      </c>
      <c r="B585" s="5">
        <v>977</v>
      </c>
      <c r="C585" s="6">
        <v>4</v>
      </c>
      <c r="D585" s="6">
        <v>8</v>
      </c>
      <c r="E585" s="6">
        <v>8</v>
      </c>
      <c r="F585" s="6">
        <v>20</v>
      </c>
      <c r="G585" s="6">
        <v>584</v>
      </c>
      <c r="H585" s="7"/>
    </row>
    <row r="586" spans="1:8">
      <c r="A586" s="4" t="str">
        <f>HYPERLINK("https://scryfall.com/card/eld/107/syr-konrad-the-grim","Syr Konrad, the Grim")</f>
        <v>Syr Konrad, the Grim</v>
      </c>
      <c r="B586" s="5">
        <v>994</v>
      </c>
      <c r="C586" s="6">
        <v>6</v>
      </c>
      <c r="D586" s="6">
        <v>8</v>
      </c>
      <c r="E586" s="6">
        <v>6</v>
      </c>
      <c r="F586" s="6">
        <v>20</v>
      </c>
      <c r="G586" s="6">
        <v>585</v>
      </c>
      <c r="H586" s="7"/>
    </row>
    <row r="587" spans="1:8">
      <c r="A587" s="4" t="s">
        <v>614</v>
      </c>
      <c r="B587" s="5">
        <v>1015</v>
      </c>
      <c r="C587" s="6">
        <v>6</v>
      </c>
      <c r="D587" s="6">
        <v>7</v>
      </c>
      <c r="E587" s="6">
        <v>7</v>
      </c>
      <c r="F587" s="6">
        <v>20</v>
      </c>
      <c r="G587" s="6">
        <v>586</v>
      </c>
      <c r="H587" s="7"/>
    </row>
    <row r="588" spans="1:8">
      <c r="A588" s="4" t="s">
        <v>615</v>
      </c>
      <c r="B588" s="5">
        <v>1016</v>
      </c>
      <c r="C588" s="6">
        <v>4</v>
      </c>
      <c r="D588" s="6">
        <v>7</v>
      </c>
      <c r="E588" s="6">
        <v>9</v>
      </c>
      <c r="F588" s="6">
        <v>20</v>
      </c>
      <c r="G588" s="6">
        <v>587</v>
      </c>
      <c r="H588" s="7"/>
    </row>
    <row r="589" spans="1:8">
      <c r="A589" s="4" t="s">
        <v>616</v>
      </c>
      <c r="B589" s="5">
        <v>1017</v>
      </c>
      <c r="C589" s="6">
        <v>4</v>
      </c>
      <c r="D589" s="6">
        <v>7</v>
      </c>
      <c r="E589" s="6">
        <v>9</v>
      </c>
      <c r="F589" s="6">
        <v>20</v>
      </c>
      <c r="G589" s="6">
        <v>588</v>
      </c>
      <c r="H589" s="7"/>
    </row>
    <row r="590" spans="1:8">
      <c r="A590" s="4" t="s">
        <v>619</v>
      </c>
      <c r="B590" s="5">
        <v>1020</v>
      </c>
      <c r="C590" s="6">
        <v>4</v>
      </c>
      <c r="D590" s="6">
        <v>8</v>
      </c>
      <c r="E590" s="6">
        <v>8</v>
      </c>
      <c r="F590" s="6">
        <v>20</v>
      </c>
      <c r="G590" s="6">
        <v>589</v>
      </c>
      <c r="H590" s="7"/>
    </row>
    <row r="591" spans="1:8">
      <c r="A591" s="4" t="s">
        <v>620</v>
      </c>
      <c r="B591" s="5">
        <v>1021</v>
      </c>
      <c r="C591" s="6">
        <v>3</v>
      </c>
      <c r="D591" s="6">
        <v>7</v>
      </c>
      <c r="E591" s="6">
        <v>10</v>
      </c>
      <c r="F591" s="6">
        <v>20</v>
      </c>
      <c r="G591" s="6">
        <v>590</v>
      </c>
      <c r="H591" s="7"/>
    </row>
    <row r="592" spans="1:8">
      <c r="A592" s="4" t="s">
        <v>641</v>
      </c>
      <c r="B592" s="5">
        <v>1063</v>
      </c>
      <c r="C592" s="6">
        <v>3</v>
      </c>
      <c r="D592" s="6">
        <v>7</v>
      </c>
      <c r="E592" s="6">
        <v>10</v>
      </c>
      <c r="F592" s="6">
        <v>20</v>
      </c>
      <c r="G592" s="6">
        <v>591</v>
      </c>
      <c r="H592" s="7"/>
    </row>
    <row r="593" spans="1:8">
      <c r="A593" s="4" t="s">
        <v>650</v>
      </c>
      <c r="B593" s="5">
        <v>1078</v>
      </c>
      <c r="C593" s="6">
        <v>4</v>
      </c>
      <c r="D593" s="6">
        <v>7</v>
      </c>
      <c r="E593" s="6">
        <v>9</v>
      </c>
      <c r="F593" s="6">
        <v>20</v>
      </c>
      <c r="G593" s="6">
        <v>592</v>
      </c>
      <c r="H593" s="7"/>
    </row>
    <row r="594" spans="1:8">
      <c r="A594" s="4" t="s">
        <v>669</v>
      </c>
      <c r="B594" s="5">
        <v>1109</v>
      </c>
      <c r="C594" s="6">
        <v>4</v>
      </c>
      <c r="D594" s="6">
        <v>6</v>
      </c>
      <c r="E594" s="6">
        <v>10</v>
      </c>
      <c r="F594" s="6">
        <v>20</v>
      </c>
      <c r="G594" s="6">
        <v>593</v>
      </c>
      <c r="H594" s="7"/>
    </row>
    <row r="595" spans="1:8">
      <c r="A595" s="4" t="s">
        <v>678</v>
      </c>
      <c r="B595" s="5">
        <v>1126</v>
      </c>
      <c r="C595" s="6">
        <v>4</v>
      </c>
      <c r="D595" s="6">
        <v>8</v>
      </c>
      <c r="E595" s="6">
        <v>8</v>
      </c>
      <c r="F595" s="6">
        <v>20</v>
      </c>
      <c r="G595" s="6">
        <v>594</v>
      </c>
      <c r="H595" s="7"/>
    </row>
    <row r="596" spans="1:8">
      <c r="A596" s="4" t="s">
        <v>695</v>
      </c>
      <c r="B596" s="5">
        <v>1150</v>
      </c>
      <c r="C596" s="6">
        <v>3</v>
      </c>
      <c r="D596" s="6">
        <v>7</v>
      </c>
      <c r="E596" s="6">
        <v>10</v>
      </c>
      <c r="F596" s="6">
        <v>20</v>
      </c>
      <c r="G596" s="6">
        <v>595</v>
      </c>
      <c r="H596" s="7"/>
    </row>
    <row r="597" spans="1:8">
      <c r="A597" s="4" t="str">
        <f>HYPERLINK("https://scryfall.com/card/uma/7/ulamog-the-infinite-gyre","Ulamog, the Infinite Gyre")</f>
        <v>Ulamog, the Infinite Gyre</v>
      </c>
      <c r="B597" s="5">
        <v>106</v>
      </c>
      <c r="C597" s="6">
        <v>6</v>
      </c>
      <c r="D597" s="6">
        <v>5</v>
      </c>
      <c r="E597" s="6">
        <v>8</v>
      </c>
      <c r="F597" s="6">
        <v>19</v>
      </c>
      <c r="G597" s="6">
        <v>596</v>
      </c>
      <c r="H597" s="7"/>
    </row>
    <row r="598" spans="1:8">
      <c r="A598" s="4" t="str">
        <f>HYPERLINK("https://scryfall.com/card/war/208/niv-mizzet-reborn","Niv-Mizzet Reborn")</f>
        <v>Niv-Mizzet Reborn</v>
      </c>
      <c r="B598" s="5">
        <v>153</v>
      </c>
      <c r="C598" s="6">
        <v>6</v>
      </c>
      <c r="D598" s="6">
        <v>7</v>
      </c>
      <c r="E598" s="6">
        <v>6</v>
      </c>
      <c r="F598" s="6">
        <v>19</v>
      </c>
      <c r="G598" s="6">
        <v>597</v>
      </c>
      <c r="H598" s="7"/>
    </row>
    <row r="599" spans="1:8">
      <c r="A599" s="4" t="str">
        <f>HYPERLINK("https://scryfall.com/card/ima/206/rosheen-meanderer","Rosheen Meanderer")</f>
        <v>Rosheen Meanderer</v>
      </c>
      <c r="B599" s="5">
        <v>200</v>
      </c>
      <c r="C599" s="6">
        <v>2</v>
      </c>
      <c r="D599" s="6">
        <v>9</v>
      </c>
      <c r="E599" s="6">
        <v>8</v>
      </c>
      <c r="F599" s="6">
        <v>19</v>
      </c>
      <c r="G599" s="6">
        <v>598</v>
      </c>
      <c r="H599" s="7"/>
    </row>
    <row r="600" spans="1:8">
      <c r="A600" s="4" t="s">
        <v>124</v>
      </c>
      <c r="B600" s="5">
        <v>213</v>
      </c>
      <c r="C600" s="6">
        <v>5</v>
      </c>
      <c r="D600" s="6">
        <v>9</v>
      </c>
      <c r="E600" s="6">
        <v>5</v>
      </c>
      <c r="F600" s="6">
        <v>19</v>
      </c>
      <c r="G600" s="6">
        <v>599</v>
      </c>
      <c r="H600" s="7"/>
    </row>
    <row r="601" spans="1:8">
      <c r="A601" s="4" t="s">
        <v>133</v>
      </c>
      <c r="B601" s="5">
        <v>226</v>
      </c>
      <c r="C601" s="6">
        <v>5</v>
      </c>
      <c r="D601" s="6">
        <v>8</v>
      </c>
      <c r="E601" s="6">
        <v>6</v>
      </c>
      <c r="F601" s="6">
        <v>19</v>
      </c>
      <c r="G601" s="6">
        <v>600</v>
      </c>
      <c r="H601" s="7"/>
    </row>
    <row r="602" spans="1:8">
      <c r="A602" s="4" t="str">
        <f>HYPERLINK("https://scryfall.com/card/c14/19/teferi-temporal-archmage","Teferi, Temporal Archmage")</f>
        <v>Teferi, Temporal Archmage</v>
      </c>
      <c r="B602" s="5">
        <v>238</v>
      </c>
      <c r="C602" s="6">
        <v>10</v>
      </c>
      <c r="D602" s="6">
        <v>5</v>
      </c>
      <c r="E602" s="6">
        <v>4</v>
      </c>
      <c r="F602" s="6">
        <v>19</v>
      </c>
      <c r="G602" s="6">
        <v>601</v>
      </c>
      <c r="H602" s="7"/>
    </row>
    <row r="603" spans="1:8">
      <c r="A603" s="4" t="str">
        <f>HYPERLINK("https://scryfall.com/card/jou/154/pharika-god-of-affliction","Pharika, God of Affliction")</f>
        <v>Pharika, God of Affliction</v>
      </c>
      <c r="B603" s="5">
        <v>247</v>
      </c>
      <c r="C603" s="6">
        <v>2</v>
      </c>
      <c r="D603" s="6">
        <v>7</v>
      </c>
      <c r="E603" s="6">
        <v>10</v>
      </c>
      <c r="F603" s="6">
        <v>19</v>
      </c>
      <c r="G603" s="6">
        <v>602</v>
      </c>
      <c r="H603" s="7"/>
    </row>
    <row r="604" spans="1:8">
      <c r="A604" s="4" t="str">
        <f>HYPERLINK("https://scryfall.com/card/mm3/55/venser-shaper-savant","Venser, Shaper Savant")</f>
        <v>Venser, Shaper Savant</v>
      </c>
      <c r="B604" s="5">
        <v>269</v>
      </c>
      <c r="C604" s="6">
        <v>6</v>
      </c>
      <c r="D604" s="6">
        <v>5</v>
      </c>
      <c r="E604" s="6">
        <v>8</v>
      </c>
      <c r="F604" s="6">
        <v>19</v>
      </c>
      <c r="G604" s="6">
        <v>603</v>
      </c>
      <c r="H604" s="7"/>
    </row>
    <row r="605" spans="1:8">
      <c r="A605" s="4" t="s">
        <v>152</v>
      </c>
      <c r="B605" s="5">
        <v>271</v>
      </c>
      <c r="C605" s="6">
        <v>3</v>
      </c>
      <c r="D605" s="6">
        <v>8</v>
      </c>
      <c r="E605" s="6">
        <v>8</v>
      </c>
      <c r="F605" s="6">
        <v>19</v>
      </c>
      <c r="G605" s="6">
        <v>604</v>
      </c>
      <c r="H605" s="7"/>
    </row>
    <row r="606" spans="1:8">
      <c r="A606" s="4" t="str">
        <f>HYPERLINK("https://scryfall.com/card/soi/5/archangel-avacyn-avacyn-the-purifier","Archangel Avacyn")</f>
        <v>Archangel Avacyn</v>
      </c>
      <c r="B606" s="5">
        <v>275</v>
      </c>
      <c r="C606" s="6">
        <v>4</v>
      </c>
      <c r="D606" s="6">
        <v>5</v>
      </c>
      <c r="E606" s="6">
        <v>10</v>
      </c>
      <c r="F606" s="6">
        <v>19</v>
      </c>
      <c r="G606" s="6">
        <v>605</v>
      </c>
      <c r="H606" s="7"/>
    </row>
    <row r="607" spans="1:8">
      <c r="A607" s="4" t="str">
        <f>HYPERLINK("https://scryfall.com/card/inv/237/captain-sisay","Captain Sisay")</f>
        <v>Captain Sisay</v>
      </c>
      <c r="B607" s="5">
        <v>278</v>
      </c>
      <c r="C607" s="6">
        <v>7</v>
      </c>
      <c r="D607" s="6">
        <v>9</v>
      </c>
      <c r="E607" s="6">
        <v>3</v>
      </c>
      <c r="F607" s="6">
        <v>19</v>
      </c>
      <c r="G607" s="6">
        <v>606</v>
      </c>
      <c r="H607" s="7"/>
    </row>
    <row r="608" spans="1:8">
      <c r="A608" s="4" t="s">
        <v>166</v>
      </c>
      <c r="B608" s="5">
        <v>290</v>
      </c>
      <c r="C608" s="6">
        <v>7</v>
      </c>
      <c r="D608" s="6">
        <v>6</v>
      </c>
      <c r="E608" s="6">
        <v>6</v>
      </c>
      <c r="F608" s="6">
        <v>19</v>
      </c>
      <c r="G608" s="6">
        <v>607</v>
      </c>
      <c r="H608" s="7"/>
    </row>
    <row r="609" spans="1:8">
      <c r="A609" s="4" t="str">
        <f>HYPERLINK("https://scryfall.com/card/hou/146/the-scorpion-god","The Scorpion God")</f>
        <v>The Scorpion God</v>
      </c>
      <c r="B609" s="5">
        <v>295</v>
      </c>
      <c r="C609" s="6">
        <v>4</v>
      </c>
      <c r="D609" s="6">
        <v>6</v>
      </c>
      <c r="E609" s="6">
        <v>9</v>
      </c>
      <c r="F609" s="6">
        <v>19</v>
      </c>
      <c r="G609" s="6">
        <v>608</v>
      </c>
      <c r="H609" s="7"/>
    </row>
    <row r="610" spans="1:8">
      <c r="A610" s="4" t="s">
        <v>177</v>
      </c>
      <c r="B610" s="5">
        <v>312</v>
      </c>
      <c r="C610" s="6">
        <v>2</v>
      </c>
      <c r="D610" s="6">
        <v>9</v>
      </c>
      <c r="E610" s="6">
        <v>8</v>
      </c>
      <c r="F610" s="6">
        <v>19</v>
      </c>
      <c r="G610" s="6">
        <v>609</v>
      </c>
      <c r="H610" s="7"/>
    </row>
    <row r="611" spans="1:8">
      <c r="A611" s="4" t="s">
        <v>180</v>
      </c>
      <c r="B611" s="5">
        <v>316</v>
      </c>
      <c r="C611" s="6">
        <v>3</v>
      </c>
      <c r="D611" s="6">
        <v>7</v>
      </c>
      <c r="E611" s="6">
        <v>9</v>
      </c>
      <c r="F611" s="6">
        <v>19</v>
      </c>
      <c r="G611" s="6">
        <v>610</v>
      </c>
      <c r="H611" s="7"/>
    </row>
    <row r="612" spans="1:8">
      <c r="A612" s="4" t="str">
        <f>HYPERLINK("https://scryfall.com/card/c15/227/melek-izzet-paragon","Melek, Izzet Paragon")</f>
        <v>Melek, Izzet Paragon</v>
      </c>
      <c r="B612" s="5">
        <v>327</v>
      </c>
      <c r="C612" s="6">
        <v>3</v>
      </c>
      <c r="D612" s="6">
        <v>8</v>
      </c>
      <c r="E612" s="6">
        <v>8</v>
      </c>
      <c r="F612" s="6">
        <v>19</v>
      </c>
      <c r="G612" s="6">
        <v>611</v>
      </c>
      <c r="H612" s="7"/>
    </row>
    <row r="613" spans="1:8">
      <c r="A613" s="4" t="str">
        <f>HYPERLINK("https://scryfall.com/card/c18/48/varina-lich-queen","Varina, Lich Queen")</f>
        <v>Varina, Lich Queen</v>
      </c>
      <c r="B613" s="5">
        <v>329</v>
      </c>
      <c r="C613" s="6">
        <v>5</v>
      </c>
      <c r="D613" s="6">
        <v>10</v>
      </c>
      <c r="E613" s="6">
        <v>4</v>
      </c>
      <c r="F613" s="6">
        <v>19</v>
      </c>
      <c r="G613" s="6">
        <v>612</v>
      </c>
      <c r="H613" s="7"/>
    </row>
    <row r="614" spans="1:8">
      <c r="A614" s="4" t="str">
        <f>HYPERLINK("https://scryfall.com/card/gk1/26/niv-mizzet-the-firemind","Niv-Mizzet, the Firemind")</f>
        <v>Niv-Mizzet, the Firemind</v>
      </c>
      <c r="B614" s="5">
        <v>379</v>
      </c>
      <c r="C614" s="6">
        <v>6</v>
      </c>
      <c r="D614" s="6">
        <v>8</v>
      </c>
      <c r="E614" s="6">
        <v>5</v>
      </c>
      <c r="F614" s="6">
        <v>19</v>
      </c>
      <c r="G614" s="6">
        <v>613</v>
      </c>
      <c r="H614" s="7"/>
    </row>
    <row r="615" spans="1:8">
      <c r="A615" s="10" t="s">
        <v>216</v>
      </c>
      <c r="B615" s="5">
        <v>381</v>
      </c>
      <c r="C615" s="11">
        <v>5</v>
      </c>
      <c r="D615" s="11">
        <v>7</v>
      </c>
      <c r="E615" s="11">
        <v>7</v>
      </c>
      <c r="F615" s="11">
        <v>19</v>
      </c>
      <c r="G615" s="6">
        <v>614</v>
      </c>
      <c r="H615" s="7"/>
    </row>
    <row r="616" spans="1:8">
      <c r="A616" s="4" t="s">
        <v>223</v>
      </c>
      <c r="B616" s="5">
        <v>392</v>
      </c>
      <c r="C616" s="6">
        <v>2</v>
      </c>
      <c r="D616" s="6">
        <v>10</v>
      </c>
      <c r="E616" s="6">
        <v>7</v>
      </c>
      <c r="F616" s="6">
        <v>19</v>
      </c>
      <c r="G616" s="6">
        <v>615</v>
      </c>
      <c r="H616" s="7"/>
    </row>
    <row r="617" spans="1:8">
      <c r="A617" s="10" t="s">
        <v>225</v>
      </c>
      <c r="B617" s="5">
        <v>397</v>
      </c>
      <c r="C617" s="11">
        <v>4</v>
      </c>
      <c r="D617" s="11">
        <v>7</v>
      </c>
      <c r="E617" s="11">
        <v>8</v>
      </c>
      <c r="F617" s="11">
        <v>19</v>
      </c>
      <c r="G617" s="6">
        <v>616</v>
      </c>
      <c r="H617" s="7"/>
    </row>
    <row r="618" spans="1:8">
      <c r="A618" s="4" t="str">
        <f>HYPERLINK("https://scryfall.com/card/bok/45/patron-of-the-moon","Patron of the Moon")</f>
        <v>Patron of the Moon</v>
      </c>
      <c r="B618" s="5">
        <v>398</v>
      </c>
      <c r="C618" s="6">
        <v>3</v>
      </c>
      <c r="D618" s="6">
        <v>8</v>
      </c>
      <c r="E618" s="6">
        <v>8</v>
      </c>
      <c r="F618" s="6">
        <v>19</v>
      </c>
      <c r="G618" s="6">
        <v>617</v>
      </c>
      <c r="H618" s="7"/>
    </row>
    <row r="619" spans="1:8">
      <c r="A619" s="4" t="s">
        <v>226</v>
      </c>
      <c r="B619" s="5">
        <v>401</v>
      </c>
      <c r="C619" s="6">
        <v>3</v>
      </c>
      <c r="D619" s="6">
        <v>7</v>
      </c>
      <c r="E619" s="6">
        <v>9</v>
      </c>
      <c r="F619" s="6">
        <v>19</v>
      </c>
      <c r="G619" s="6">
        <v>618</v>
      </c>
      <c r="H619" s="7"/>
    </row>
    <row r="620" spans="1:8">
      <c r="A620" s="4" t="s">
        <v>233</v>
      </c>
      <c r="B620" s="5">
        <v>411</v>
      </c>
      <c r="C620" s="6">
        <v>2</v>
      </c>
      <c r="D620" s="6">
        <v>8</v>
      </c>
      <c r="E620" s="6">
        <v>9</v>
      </c>
      <c r="F620" s="6">
        <v>19</v>
      </c>
      <c r="G620" s="6">
        <v>619</v>
      </c>
      <c r="H620" s="7"/>
    </row>
    <row r="621" spans="1:8">
      <c r="A621" s="4" t="str">
        <f>HYPERLINK("https://scryfall.com/card/bok/138/patron-of-the-orochi","Patron of the Orochi")</f>
        <v>Patron of the Orochi</v>
      </c>
      <c r="B621" s="5">
        <v>414</v>
      </c>
      <c r="C621" s="6">
        <v>3</v>
      </c>
      <c r="D621" s="6">
        <v>8</v>
      </c>
      <c r="E621" s="6">
        <v>8</v>
      </c>
      <c r="F621" s="6">
        <v>19</v>
      </c>
      <c r="G621" s="6">
        <v>620</v>
      </c>
      <c r="H621" s="7"/>
    </row>
    <row r="622" spans="1:8">
      <c r="A622" s="4" t="s">
        <v>241</v>
      </c>
      <c r="B622" s="5">
        <v>422</v>
      </c>
      <c r="C622" s="6">
        <v>3</v>
      </c>
      <c r="D622" s="6">
        <v>8</v>
      </c>
      <c r="E622" s="6">
        <v>8</v>
      </c>
      <c r="F622" s="6">
        <v>19</v>
      </c>
      <c r="G622" s="6">
        <v>621</v>
      </c>
      <c r="H622" s="7"/>
    </row>
    <row r="623" spans="1:8">
      <c r="A623" s="4" t="s">
        <v>245</v>
      </c>
      <c r="B623" s="5">
        <v>427</v>
      </c>
      <c r="C623" s="6">
        <v>4</v>
      </c>
      <c r="D623" s="6">
        <v>7</v>
      </c>
      <c r="E623" s="6">
        <v>8</v>
      </c>
      <c r="F623" s="6">
        <v>19</v>
      </c>
      <c r="G623" s="6">
        <v>622</v>
      </c>
      <c r="H623" s="7"/>
    </row>
    <row r="624" spans="1:8">
      <c r="A624" s="4" t="s">
        <v>246</v>
      </c>
      <c r="B624" s="5">
        <v>431</v>
      </c>
      <c r="C624" s="6">
        <v>6</v>
      </c>
      <c r="D624" s="6">
        <v>8</v>
      </c>
      <c r="E624" s="6">
        <v>5</v>
      </c>
      <c r="F624" s="6">
        <v>19</v>
      </c>
      <c r="G624" s="6">
        <v>623</v>
      </c>
      <c r="H624" s="7"/>
    </row>
    <row r="625" spans="1:8">
      <c r="A625" s="4" t="s">
        <v>251</v>
      </c>
      <c r="B625" s="5">
        <v>436</v>
      </c>
      <c r="C625" s="6">
        <v>3</v>
      </c>
      <c r="D625" s="6">
        <v>7</v>
      </c>
      <c r="E625" s="6">
        <v>9</v>
      </c>
      <c r="F625" s="6">
        <v>19</v>
      </c>
      <c r="G625" s="6">
        <v>624</v>
      </c>
      <c r="H625" s="7"/>
    </row>
    <row r="626" spans="1:8">
      <c r="A626" s="4" t="str">
        <f>HYPERLINK("https://scryfall.com/card/c17/46/taigam-ojutai-master","Taigam, Ojutai Master")</f>
        <v>Taigam, Ojutai Master</v>
      </c>
      <c r="B626" s="5">
        <v>439</v>
      </c>
      <c r="C626" s="6">
        <v>6</v>
      </c>
      <c r="D626" s="6">
        <v>6</v>
      </c>
      <c r="E626" s="6">
        <v>7</v>
      </c>
      <c r="F626" s="6">
        <v>19</v>
      </c>
      <c r="G626" s="6">
        <v>625</v>
      </c>
      <c r="H626" s="7"/>
    </row>
    <row r="627" spans="1:8">
      <c r="A627" s="4" t="str">
        <f>HYPERLINK("https://scryfall.com/card/c17/184/niv-mizzet-dracogenius","Niv-Mizzet, Dracogenius")</f>
        <v>Niv-Mizzet, Dracogenius</v>
      </c>
      <c r="B627" s="5">
        <v>450</v>
      </c>
      <c r="C627" s="6">
        <v>3</v>
      </c>
      <c r="D627" s="6">
        <v>8</v>
      </c>
      <c r="E627" s="6">
        <v>8</v>
      </c>
      <c r="F627" s="6">
        <v>19</v>
      </c>
      <c r="G627" s="6">
        <v>626</v>
      </c>
      <c r="H627" s="7"/>
    </row>
    <row r="628" spans="1:8">
      <c r="A628" s="4" t="s">
        <v>267</v>
      </c>
      <c r="B628" s="5">
        <v>462</v>
      </c>
      <c r="C628" s="6">
        <v>4</v>
      </c>
      <c r="D628" s="6">
        <v>7</v>
      </c>
      <c r="E628" s="6">
        <v>8</v>
      </c>
      <c r="F628" s="6">
        <v>19</v>
      </c>
      <c r="G628" s="6">
        <v>627</v>
      </c>
      <c r="H628" s="7"/>
    </row>
    <row r="629" spans="1:8">
      <c r="A629" s="4" t="str">
        <f>HYPERLINK("https://scryfall.com/card/war/163/god-eternal-rhonas","God-Eternal Rhonas")</f>
        <v>God-Eternal Rhonas</v>
      </c>
      <c r="B629" s="5">
        <v>466</v>
      </c>
      <c r="C629" s="6">
        <v>2</v>
      </c>
      <c r="D629" s="6">
        <v>8</v>
      </c>
      <c r="E629" s="6">
        <v>9</v>
      </c>
      <c r="F629" s="6">
        <v>19</v>
      </c>
      <c r="G629" s="6">
        <v>628</v>
      </c>
      <c r="H629" s="7"/>
    </row>
    <row r="630" spans="1:8">
      <c r="A630" s="4" t="str">
        <f>HYPERLINK("https://scryfall.com/card/ala/193/sedris-the-traitor-king","Sedris, the Traitor King")</f>
        <v>Sedris, the Traitor King</v>
      </c>
      <c r="B630" s="5">
        <v>482</v>
      </c>
      <c r="C630" s="6">
        <v>2</v>
      </c>
      <c r="D630" s="6">
        <v>9</v>
      </c>
      <c r="E630" s="6">
        <v>8</v>
      </c>
      <c r="F630" s="6">
        <v>19</v>
      </c>
      <c r="G630" s="6">
        <v>629</v>
      </c>
      <c r="H630" s="7"/>
    </row>
    <row r="631" spans="1:8">
      <c r="A631" s="4" t="s">
        <v>285</v>
      </c>
      <c r="B631" s="5">
        <v>493</v>
      </c>
      <c r="C631" s="6">
        <v>1</v>
      </c>
      <c r="D631" s="6">
        <v>10</v>
      </c>
      <c r="E631" s="6">
        <v>8</v>
      </c>
      <c r="F631" s="6">
        <v>19</v>
      </c>
      <c r="G631" s="6">
        <v>630</v>
      </c>
      <c r="H631" s="7"/>
    </row>
    <row r="632" spans="1:8">
      <c r="A632" s="4" t="str">
        <f>HYPERLINK("https://scryfall.com/card/c19/39/chainer-nightmare-adept","Chainer, Nightmare Adept")</f>
        <v>Chainer, Nightmare Adept</v>
      </c>
      <c r="B632" s="5">
        <v>498</v>
      </c>
      <c r="C632" s="6">
        <v>7</v>
      </c>
      <c r="D632" s="6">
        <v>7</v>
      </c>
      <c r="E632" s="6">
        <v>5</v>
      </c>
      <c r="F632" s="6">
        <v>19</v>
      </c>
      <c r="G632" s="6">
        <v>631</v>
      </c>
      <c r="H632" s="7"/>
    </row>
    <row r="633" spans="1:8">
      <c r="A633" s="4" t="str">
        <f>HYPERLINK("https://scryfall.com/card/a25/206/hanna-ships-navigator","Hanna, Ship's Navigator")</f>
        <v>Hanna, Ship's Navigator</v>
      </c>
      <c r="B633" s="5">
        <v>499</v>
      </c>
      <c r="C633" s="6">
        <v>5</v>
      </c>
      <c r="D633" s="6">
        <v>6</v>
      </c>
      <c r="E633" s="6">
        <v>8</v>
      </c>
      <c r="F633" s="6">
        <v>19</v>
      </c>
      <c r="G633" s="6">
        <v>632</v>
      </c>
      <c r="H633" s="7"/>
    </row>
    <row r="634" spans="1:8">
      <c r="A634" s="4" t="s">
        <v>289</v>
      </c>
      <c r="B634" s="5">
        <v>501</v>
      </c>
      <c r="C634" s="6">
        <v>2</v>
      </c>
      <c r="D634" s="6">
        <v>9</v>
      </c>
      <c r="E634" s="6">
        <v>8</v>
      </c>
      <c r="F634" s="6">
        <v>19</v>
      </c>
      <c r="G634" s="6">
        <v>633</v>
      </c>
      <c r="H634" s="7"/>
    </row>
    <row r="635" spans="1:8">
      <c r="A635" s="4" t="s">
        <v>292</v>
      </c>
      <c r="B635" s="5">
        <v>504</v>
      </c>
      <c r="C635" s="6">
        <v>2</v>
      </c>
      <c r="D635" s="6">
        <v>8</v>
      </c>
      <c r="E635" s="6">
        <v>9</v>
      </c>
      <c r="F635" s="6">
        <v>19</v>
      </c>
      <c r="G635" s="6">
        <v>634</v>
      </c>
      <c r="H635" s="7"/>
    </row>
    <row r="636" spans="1:8">
      <c r="A636" s="4" t="s">
        <v>293</v>
      </c>
      <c r="B636" s="5">
        <v>505</v>
      </c>
      <c r="C636" s="6">
        <v>4</v>
      </c>
      <c r="D636" s="6">
        <v>9</v>
      </c>
      <c r="E636" s="6">
        <v>6</v>
      </c>
      <c r="F636" s="6">
        <v>19</v>
      </c>
      <c r="G636" s="6">
        <v>635</v>
      </c>
      <c r="H636" s="7"/>
    </row>
    <row r="637" spans="1:8">
      <c r="A637" s="4" t="str">
        <f>HYPERLINK("https://scryfall.com/card/iko/181/chevill-bane-of-monsters","Chevill, Bane of Monsters")</f>
        <v>Chevill, Bane of Monsters</v>
      </c>
      <c r="B637" s="5">
        <v>506</v>
      </c>
      <c r="C637" s="6">
        <v>2</v>
      </c>
      <c r="D637" s="6">
        <v>8</v>
      </c>
      <c r="E637" s="6">
        <v>9</v>
      </c>
      <c r="F637" s="6">
        <v>19</v>
      </c>
      <c r="G637" s="6">
        <v>636</v>
      </c>
      <c r="H637" s="7"/>
    </row>
    <row r="638" spans="1:8">
      <c r="A638" s="4" t="s">
        <v>295</v>
      </c>
      <c r="B638" s="5">
        <v>508</v>
      </c>
      <c r="C638" s="6">
        <v>5</v>
      </c>
      <c r="D638" s="6">
        <v>6</v>
      </c>
      <c r="E638" s="6">
        <v>8</v>
      </c>
      <c r="F638" s="6">
        <v>19</v>
      </c>
      <c r="G638" s="6">
        <v>637</v>
      </c>
      <c r="H638" s="7"/>
    </row>
    <row r="639" spans="1:8">
      <c r="A639" s="4" t="s">
        <v>296</v>
      </c>
      <c r="B639" s="5">
        <v>509</v>
      </c>
      <c r="C639" s="6">
        <v>4</v>
      </c>
      <c r="D639" s="6">
        <v>7</v>
      </c>
      <c r="E639" s="6">
        <v>8</v>
      </c>
      <c r="F639" s="6">
        <v>19</v>
      </c>
      <c r="G639" s="6">
        <v>638</v>
      </c>
      <c r="H639" s="7"/>
    </row>
    <row r="640" spans="1:8">
      <c r="A640" s="4" t="str">
        <f>HYPERLINK("https://scryfall.com/card/isd/214/grimgrin-corpse-born","Grimgrin, Corpse-Born")</f>
        <v>Grimgrin, Corpse-Born</v>
      </c>
      <c r="B640" s="5">
        <v>515</v>
      </c>
      <c r="C640" s="6">
        <v>5</v>
      </c>
      <c r="D640" s="6">
        <v>7</v>
      </c>
      <c r="E640" s="6">
        <v>7</v>
      </c>
      <c r="F640" s="6">
        <v>19</v>
      </c>
      <c r="G640" s="6">
        <v>639</v>
      </c>
      <c r="H640" s="7"/>
    </row>
    <row r="641" spans="1:8">
      <c r="A641" s="4" t="str">
        <f>HYPERLINK("https://scryfall.com/card/jou/151/keranos-god-of-storms","Keranos, God of Storms")</f>
        <v>Keranos, God of Storms</v>
      </c>
      <c r="B641" s="5">
        <v>516</v>
      </c>
      <c r="C641" s="6">
        <v>3</v>
      </c>
      <c r="D641" s="6">
        <v>6</v>
      </c>
      <c r="E641" s="6">
        <v>10</v>
      </c>
      <c r="F641" s="6">
        <v>19</v>
      </c>
      <c r="G641" s="6">
        <v>640</v>
      </c>
      <c r="H641" s="7"/>
    </row>
    <row r="642" spans="1:8">
      <c r="A642" s="4" t="s">
        <v>303</v>
      </c>
      <c r="B642" s="5">
        <v>519</v>
      </c>
      <c r="C642" s="6">
        <v>5</v>
      </c>
      <c r="D642" s="6">
        <v>6</v>
      </c>
      <c r="E642" s="6">
        <v>8</v>
      </c>
      <c r="F642" s="6">
        <v>19</v>
      </c>
      <c r="G642" s="6">
        <v>641</v>
      </c>
      <c r="H642" s="7"/>
    </row>
    <row r="643" spans="1:8">
      <c r="A643" s="4" t="s">
        <v>304</v>
      </c>
      <c r="B643" s="5">
        <v>520</v>
      </c>
      <c r="C643" s="6">
        <v>5</v>
      </c>
      <c r="D643" s="6">
        <v>8</v>
      </c>
      <c r="E643" s="6">
        <v>6</v>
      </c>
      <c r="F643" s="6">
        <v>19</v>
      </c>
      <c r="G643" s="6">
        <v>642</v>
      </c>
      <c r="H643" s="7"/>
    </row>
    <row r="644" spans="1:8">
      <c r="A644" s="4" t="s">
        <v>305</v>
      </c>
      <c r="B644" s="5">
        <v>521</v>
      </c>
      <c r="C644" s="6">
        <v>3</v>
      </c>
      <c r="D644" s="6">
        <v>8</v>
      </c>
      <c r="E644" s="6">
        <v>8</v>
      </c>
      <c r="F644" s="6">
        <v>19</v>
      </c>
      <c r="G644" s="6">
        <v>643</v>
      </c>
      <c r="H644" s="7"/>
    </row>
    <row r="645" spans="1:8">
      <c r="A645" s="4" t="s">
        <v>313</v>
      </c>
      <c r="B645" s="5">
        <v>531</v>
      </c>
      <c r="C645" s="6">
        <v>3</v>
      </c>
      <c r="D645" s="6">
        <v>6</v>
      </c>
      <c r="E645" s="6">
        <v>10</v>
      </c>
      <c r="F645" s="6">
        <v>19</v>
      </c>
      <c r="G645" s="6">
        <v>644</v>
      </c>
      <c r="H645" s="7"/>
    </row>
    <row r="646" spans="1:8">
      <c r="A646" s="4" t="str">
        <f>HYPERLINK("https://scryfall.com/card/dtk/220/dragonlord-silumgar","Dragonlord Silumgar")</f>
        <v>Dragonlord Silumgar</v>
      </c>
      <c r="B646" s="5">
        <v>536</v>
      </c>
      <c r="C646" s="6">
        <v>3</v>
      </c>
      <c r="D646" s="6">
        <v>7</v>
      </c>
      <c r="E646" s="6">
        <v>9</v>
      </c>
      <c r="F646" s="6">
        <v>19</v>
      </c>
      <c r="G646" s="6">
        <v>645</v>
      </c>
      <c r="H646" s="7"/>
    </row>
    <row r="647" spans="1:8">
      <c r="A647" s="4" t="s">
        <v>316</v>
      </c>
      <c r="B647" s="5">
        <v>537</v>
      </c>
      <c r="C647" s="6">
        <v>4</v>
      </c>
      <c r="D647" s="6">
        <v>7</v>
      </c>
      <c r="E647" s="6">
        <v>8</v>
      </c>
      <c r="F647" s="6">
        <v>19</v>
      </c>
      <c r="G647" s="6">
        <v>646</v>
      </c>
      <c r="H647" s="7"/>
    </row>
    <row r="648" spans="1:8">
      <c r="A648" s="4" t="s">
        <v>338</v>
      </c>
      <c r="B648" s="5">
        <v>574</v>
      </c>
      <c r="C648" s="6">
        <v>4</v>
      </c>
      <c r="D648" s="6">
        <v>6</v>
      </c>
      <c r="E648" s="6">
        <v>9</v>
      </c>
      <c r="F648" s="6">
        <v>19</v>
      </c>
      <c r="G648" s="6">
        <v>647</v>
      </c>
      <c r="H648" s="7"/>
    </row>
    <row r="649" spans="1:8">
      <c r="A649" s="4" t="str">
        <f>HYPERLINK("https://scryfall.com/card/rix/157/elenda-the-dusk-rose","Elenda, the Dusk Rose")</f>
        <v>Elenda, the Dusk Rose</v>
      </c>
      <c r="B649" s="5">
        <v>577</v>
      </c>
      <c r="C649" s="6">
        <v>3</v>
      </c>
      <c r="D649" s="6">
        <v>8</v>
      </c>
      <c r="E649" s="6">
        <v>8</v>
      </c>
      <c r="F649" s="6">
        <v>19</v>
      </c>
      <c r="G649" s="6">
        <v>648</v>
      </c>
      <c r="H649" s="7"/>
    </row>
    <row r="650" spans="1:8">
      <c r="A650" s="4" t="s">
        <v>347</v>
      </c>
      <c r="B650" s="5">
        <v>587</v>
      </c>
      <c r="C650" s="6">
        <v>4</v>
      </c>
      <c r="D650" s="6">
        <v>5</v>
      </c>
      <c r="E650" s="6">
        <v>10</v>
      </c>
      <c r="F650" s="6">
        <v>19</v>
      </c>
      <c r="G650" s="6">
        <v>649</v>
      </c>
      <c r="H650" s="7"/>
    </row>
    <row r="651" spans="1:8">
      <c r="A651" s="4" t="str">
        <f>HYPERLINK("https://scryfall.com/card/uma/112/shirei-shizos-caretaker","Shirei, Shizo's Caretaker")</f>
        <v>Shirei, Shizo's Caretaker</v>
      </c>
      <c r="B651" s="5">
        <v>591</v>
      </c>
      <c r="C651" s="6">
        <v>6</v>
      </c>
      <c r="D651" s="6">
        <v>7</v>
      </c>
      <c r="E651" s="6">
        <v>6</v>
      </c>
      <c r="F651" s="6">
        <v>19</v>
      </c>
      <c r="G651" s="6">
        <v>650</v>
      </c>
      <c r="H651" s="7"/>
    </row>
    <row r="652" spans="1:8">
      <c r="A652" s="4" t="str">
        <f>HYPERLINK("https://scryfall.com/card/shm/176/sygg-river-cutthroat","Sygg, River Cutthroat")</f>
        <v>Sygg, River Cutthroat</v>
      </c>
      <c r="B652" s="5">
        <v>603</v>
      </c>
      <c r="C652" s="6">
        <v>5</v>
      </c>
      <c r="D652" s="6">
        <v>8</v>
      </c>
      <c r="E652" s="6">
        <v>6</v>
      </c>
      <c r="F652" s="6">
        <v>19</v>
      </c>
      <c r="G652" s="6">
        <v>651</v>
      </c>
      <c r="H652" s="7"/>
    </row>
    <row r="653" spans="1:8">
      <c r="A653" s="4" t="str">
        <f>HYPERLINK("https://scryfall.com/card/xln/217/admiral-beckett-brass","Admiral Beckett Brass")</f>
        <v>Admiral Beckett Brass</v>
      </c>
      <c r="B653" s="5">
        <v>623</v>
      </c>
      <c r="C653" s="6">
        <v>2</v>
      </c>
      <c r="D653" s="6">
        <v>7</v>
      </c>
      <c r="E653" s="6">
        <v>10</v>
      </c>
      <c r="F653" s="6">
        <v>19</v>
      </c>
      <c r="G653" s="6">
        <v>652</v>
      </c>
      <c r="H653" s="7"/>
    </row>
    <row r="654" spans="1:8">
      <c r="A654" s="4" t="s">
        <v>371</v>
      </c>
      <c r="B654" s="5">
        <v>627</v>
      </c>
      <c r="C654" s="6">
        <v>3</v>
      </c>
      <c r="D654" s="6">
        <v>8</v>
      </c>
      <c r="E654" s="6">
        <v>8</v>
      </c>
      <c r="F654" s="6">
        <v>19</v>
      </c>
      <c r="G654" s="6">
        <v>653</v>
      </c>
      <c r="H654" s="7"/>
    </row>
    <row r="655" spans="1:8">
      <c r="A655" s="4" t="s">
        <v>373</v>
      </c>
      <c r="B655" s="5">
        <v>629</v>
      </c>
      <c r="C655" s="6">
        <v>4</v>
      </c>
      <c r="D655" s="6">
        <v>5</v>
      </c>
      <c r="E655" s="6">
        <v>10</v>
      </c>
      <c r="F655" s="6">
        <v>19</v>
      </c>
      <c r="G655" s="6">
        <v>654</v>
      </c>
      <c r="H655" s="7"/>
    </row>
    <row r="656" spans="1:8">
      <c r="A656" s="4" t="str">
        <f>HYPERLINK("https://scryfall.com/card/thb/209/atris-oracle-of-half-truths","Atris, Oracle of Half-Truths")</f>
        <v>Atris, Oracle of Half-Truths</v>
      </c>
      <c r="B656" s="5">
        <v>630</v>
      </c>
      <c r="C656" s="6">
        <v>3</v>
      </c>
      <c r="D656" s="6">
        <v>10</v>
      </c>
      <c r="E656" s="6">
        <v>6</v>
      </c>
      <c r="F656" s="6">
        <v>19</v>
      </c>
      <c r="G656" s="6">
        <v>655</v>
      </c>
      <c r="H656" s="7"/>
    </row>
    <row r="657" spans="1:9">
      <c r="A657" s="4" t="str">
        <f>HYPERLINK("https://scryfall.com/card/fut/87/korlash-heir-to-blackblade","Korlash, Heir to Blackblade")</f>
        <v>Korlash, Heir to Blackblade</v>
      </c>
      <c r="B657" s="5">
        <v>633</v>
      </c>
      <c r="C657" s="6">
        <v>2</v>
      </c>
      <c r="D657" s="6">
        <v>7</v>
      </c>
      <c r="E657" s="6">
        <v>10</v>
      </c>
      <c r="F657" s="6">
        <v>19</v>
      </c>
      <c r="G657" s="6">
        <v>656</v>
      </c>
      <c r="H657" s="7"/>
    </row>
    <row r="658" spans="1:9">
      <c r="A658" s="4" t="s">
        <v>379</v>
      </c>
      <c r="B658" s="5">
        <v>642</v>
      </c>
      <c r="C658" s="6">
        <v>2</v>
      </c>
      <c r="D658" s="6">
        <v>8</v>
      </c>
      <c r="E658" s="6">
        <v>9</v>
      </c>
      <c r="F658" s="6">
        <v>19</v>
      </c>
      <c r="G658" s="6">
        <v>657</v>
      </c>
      <c r="H658" s="7"/>
    </row>
    <row r="659" spans="1:9">
      <c r="A659" s="4" t="s">
        <v>381</v>
      </c>
      <c r="B659" s="5">
        <v>644</v>
      </c>
      <c r="C659" s="6">
        <v>3</v>
      </c>
      <c r="D659" s="6">
        <v>8</v>
      </c>
      <c r="E659" s="6">
        <v>8</v>
      </c>
      <c r="F659" s="6">
        <v>19</v>
      </c>
      <c r="G659" s="6">
        <v>658</v>
      </c>
      <c r="H659" s="7"/>
    </row>
    <row r="660" spans="1:9">
      <c r="A660" s="4" t="s">
        <v>389</v>
      </c>
      <c r="B660" s="5">
        <v>652</v>
      </c>
      <c r="C660" s="6">
        <v>3</v>
      </c>
      <c r="D660" s="6">
        <v>10</v>
      </c>
      <c r="E660" s="6">
        <v>6</v>
      </c>
      <c r="F660" s="6">
        <v>19</v>
      </c>
      <c r="G660" s="6">
        <v>659</v>
      </c>
      <c r="H660" s="7"/>
    </row>
    <row r="661" spans="1:9">
      <c r="A661" s="4" t="str">
        <f>HYPERLINK("https://scryfall.com/card/cma/191/rubinia-soulsinger","Rubinia Soulsinger")</f>
        <v>Rubinia Soulsinger</v>
      </c>
      <c r="B661" s="5">
        <v>653</v>
      </c>
      <c r="C661" s="6">
        <v>2</v>
      </c>
      <c r="D661" s="6">
        <v>8</v>
      </c>
      <c r="E661" s="6">
        <v>9</v>
      </c>
      <c r="F661" s="6">
        <v>19</v>
      </c>
      <c r="G661" s="6">
        <v>660</v>
      </c>
      <c r="H661" s="7"/>
    </row>
    <row r="662" spans="1:9">
      <c r="A662" s="4" t="str">
        <f>HYPERLINK("https://scryfall.com/card/c17/183/nin-the-pain-artist","Nin, the Pain Artist")</f>
        <v>Nin, the Pain Artist</v>
      </c>
      <c r="B662" s="5">
        <v>659</v>
      </c>
      <c r="C662" s="6">
        <v>5</v>
      </c>
      <c r="D662" s="6">
        <v>8</v>
      </c>
      <c r="E662" s="6">
        <v>6</v>
      </c>
      <c r="F662" s="6">
        <v>19</v>
      </c>
      <c r="G662" s="6">
        <v>661</v>
      </c>
      <c r="H662" s="7"/>
    </row>
    <row r="663" spans="1:9">
      <c r="A663" s="4" t="s">
        <v>396</v>
      </c>
      <c r="B663" s="5">
        <v>666</v>
      </c>
      <c r="C663" s="6">
        <v>5</v>
      </c>
      <c r="D663" s="6">
        <v>7</v>
      </c>
      <c r="E663" s="6">
        <v>7</v>
      </c>
      <c r="F663" s="6">
        <v>19</v>
      </c>
      <c r="G663" s="6">
        <v>662</v>
      </c>
      <c r="H663" s="7"/>
    </row>
    <row r="664" spans="1:9">
      <c r="A664" s="10" t="s">
        <v>402</v>
      </c>
      <c r="B664" s="5">
        <v>677</v>
      </c>
      <c r="C664" s="11">
        <v>6</v>
      </c>
      <c r="D664" s="11">
        <v>8</v>
      </c>
      <c r="E664" s="11">
        <v>5</v>
      </c>
      <c r="F664" s="11">
        <v>19</v>
      </c>
      <c r="G664" s="6">
        <v>663</v>
      </c>
      <c r="H664" s="7"/>
    </row>
    <row r="665" spans="1:9">
      <c r="A665" s="4" t="s">
        <v>409</v>
      </c>
      <c r="B665" s="5">
        <v>690</v>
      </c>
      <c r="C665" s="6">
        <v>4</v>
      </c>
      <c r="D665" s="6">
        <v>9</v>
      </c>
      <c r="E665" s="6">
        <v>6</v>
      </c>
      <c r="F665" s="6">
        <v>19</v>
      </c>
      <c r="G665" s="6">
        <v>664</v>
      </c>
      <c r="H665" s="7"/>
    </row>
    <row r="666" spans="1:9">
      <c r="A666" s="4" t="str">
        <f>HYPERLINK("https://scryfall.com/card/kld/165/oviya-pashiri-sage-lifecrafter","Oviya Pashiri, Sage Lifecrafter")</f>
        <v>Oviya Pashiri, Sage Lifecrafter</v>
      </c>
      <c r="B666" s="5">
        <v>699</v>
      </c>
      <c r="C666" s="6">
        <v>3</v>
      </c>
      <c r="D666" s="6">
        <v>7</v>
      </c>
      <c r="E666" s="6">
        <v>9</v>
      </c>
      <c r="F666" s="6">
        <v>19</v>
      </c>
      <c r="G666" s="6">
        <v>665</v>
      </c>
      <c r="H666" s="7"/>
    </row>
    <row r="667" spans="1:9">
      <c r="A667" s="10" t="s">
        <v>417</v>
      </c>
      <c r="B667" s="5">
        <v>701</v>
      </c>
      <c r="C667" s="11">
        <v>6</v>
      </c>
      <c r="D667" s="11">
        <v>8</v>
      </c>
      <c r="E667" s="11">
        <v>5</v>
      </c>
      <c r="F667" s="11">
        <v>19</v>
      </c>
      <c r="G667" s="6">
        <v>666</v>
      </c>
      <c r="H667" s="7"/>
    </row>
    <row r="668" spans="1:9">
      <c r="A668" s="4" t="s">
        <v>425</v>
      </c>
      <c r="B668" s="5">
        <v>712</v>
      </c>
      <c r="C668" s="6">
        <v>3</v>
      </c>
      <c r="D668" s="6">
        <v>7</v>
      </c>
      <c r="E668" s="6">
        <v>9</v>
      </c>
      <c r="F668" s="6">
        <v>19</v>
      </c>
      <c r="G668" s="6">
        <v>667</v>
      </c>
      <c r="H668" s="7"/>
    </row>
    <row r="669" spans="1:9">
      <c r="A669" s="4" t="s">
        <v>426</v>
      </c>
      <c r="B669" s="5">
        <v>714</v>
      </c>
      <c r="C669" s="6">
        <v>5</v>
      </c>
      <c r="D669" s="6">
        <v>7</v>
      </c>
      <c r="E669" s="6">
        <v>7</v>
      </c>
      <c r="F669" s="6">
        <v>19</v>
      </c>
      <c r="G669" s="6">
        <v>668</v>
      </c>
      <c r="H669" s="7"/>
    </row>
    <row r="670" spans="1:9">
      <c r="A670" s="4" t="s">
        <v>434</v>
      </c>
      <c r="B670" s="5">
        <v>724</v>
      </c>
      <c r="C670" s="6">
        <v>5</v>
      </c>
      <c r="D670" s="6">
        <v>8</v>
      </c>
      <c r="E670" s="6">
        <v>6</v>
      </c>
      <c r="F670" s="6">
        <v>19</v>
      </c>
      <c r="G670" s="6">
        <v>669</v>
      </c>
      <c r="H670" s="7"/>
      <c r="I670" s="6"/>
    </row>
    <row r="671" spans="1:9">
      <c r="A671" s="4" t="s">
        <v>438</v>
      </c>
      <c r="B671" s="5">
        <v>729</v>
      </c>
      <c r="C671" s="6">
        <v>3</v>
      </c>
      <c r="D671" s="6">
        <v>10</v>
      </c>
      <c r="E671" s="6">
        <v>6</v>
      </c>
      <c r="F671" s="6">
        <v>19</v>
      </c>
      <c r="G671" s="6">
        <v>670</v>
      </c>
      <c r="H671" s="7"/>
      <c r="I671" s="6"/>
    </row>
    <row r="672" spans="1:9">
      <c r="A672" s="4" t="s">
        <v>440</v>
      </c>
      <c r="B672" s="5">
        <v>731</v>
      </c>
      <c r="C672" s="6">
        <v>3</v>
      </c>
      <c r="D672" s="6">
        <v>9</v>
      </c>
      <c r="E672" s="6">
        <v>7</v>
      </c>
      <c r="F672" s="6">
        <v>19</v>
      </c>
      <c r="G672" s="6">
        <v>671</v>
      </c>
      <c r="H672" s="7"/>
      <c r="I672" s="6"/>
    </row>
    <row r="673" spans="1:9">
      <c r="A673" s="4" t="s">
        <v>446</v>
      </c>
      <c r="B673" s="5">
        <v>737</v>
      </c>
      <c r="C673" s="6">
        <v>3</v>
      </c>
      <c r="D673" s="6">
        <v>6</v>
      </c>
      <c r="E673" s="6">
        <v>10</v>
      </c>
      <c r="F673" s="6">
        <v>19</v>
      </c>
      <c r="G673" s="6">
        <v>672</v>
      </c>
      <c r="H673" s="7"/>
      <c r="I673" s="6"/>
    </row>
    <row r="674" spans="1:9">
      <c r="A674" s="4" t="s">
        <v>451</v>
      </c>
      <c r="B674" s="5">
        <v>742</v>
      </c>
      <c r="C674" s="6">
        <v>4</v>
      </c>
      <c r="D674" s="6">
        <v>7</v>
      </c>
      <c r="E674" s="6">
        <v>8</v>
      </c>
      <c r="F674" s="6">
        <v>19</v>
      </c>
      <c r="G674" s="6">
        <v>673</v>
      </c>
      <c r="H674" s="7"/>
    </row>
    <row r="675" spans="1:9">
      <c r="A675" s="4" t="s">
        <v>452</v>
      </c>
      <c r="B675" s="5">
        <v>744</v>
      </c>
      <c r="C675" s="6">
        <v>6</v>
      </c>
      <c r="D675" s="6">
        <v>6</v>
      </c>
      <c r="E675" s="6">
        <v>7</v>
      </c>
      <c r="F675" s="6">
        <v>19</v>
      </c>
      <c r="G675" s="6">
        <v>674</v>
      </c>
      <c r="H675" s="7"/>
    </row>
    <row r="676" spans="1:9">
      <c r="A676" s="4" t="str">
        <f>HYPERLINK("https://scryfall.com/card/bng/145/ephara-god-of-the-polis","Ephara, God of the Polis")</f>
        <v>Ephara, God of the Polis</v>
      </c>
      <c r="B676" s="5">
        <v>751</v>
      </c>
      <c r="C676" s="6">
        <v>3</v>
      </c>
      <c r="D676" s="6">
        <v>7</v>
      </c>
      <c r="E676" s="6">
        <v>9</v>
      </c>
      <c r="F676" s="6">
        <v>19</v>
      </c>
      <c r="G676" s="6">
        <v>675</v>
      </c>
      <c r="H676" s="7"/>
    </row>
    <row r="677" spans="1:9">
      <c r="A677" s="4" t="s">
        <v>457</v>
      </c>
      <c r="B677" s="5">
        <v>752</v>
      </c>
      <c r="C677" s="6">
        <v>4</v>
      </c>
      <c r="D677" s="6">
        <v>8</v>
      </c>
      <c r="E677" s="6">
        <v>7</v>
      </c>
      <c r="F677" s="6">
        <v>19</v>
      </c>
      <c r="G677" s="6">
        <v>676</v>
      </c>
      <c r="H677" s="7"/>
    </row>
    <row r="678" spans="1:9">
      <c r="A678" s="4" t="s">
        <v>459</v>
      </c>
      <c r="B678" s="5">
        <v>756</v>
      </c>
      <c r="C678" s="6">
        <v>4</v>
      </c>
      <c r="D678" s="6">
        <v>8</v>
      </c>
      <c r="E678" s="6">
        <v>7</v>
      </c>
      <c r="F678" s="6">
        <v>19</v>
      </c>
      <c r="G678" s="6">
        <v>677</v>
      </c>
      <c r="H678" s="7"/>
    </row>
    <row r="679" spans="1:9">
      <c r="A679" s="4" t="s">
        <v>473</v>
      </c>
      <c r="B679" s="5">
        <v>774</v>
      </c>
      <c r="C679" s="6">
        <v>5</v>
      </c>
      <c r="D679" s="6">
        <v>8</v>
      </c>
      <c r="E679" s="6">
        <v>6</v>
      </c>
      <c r="F679" s="6">
        <v>19</v>
      </c>
      <c r="G679" s="6">
        <v>678</v>
      </c>
      <c r="H679" s="7"/>
    </row>
    <row r="680" spans="1:9">
      <c r="A680" s="4" t="s">
        <v>477</v>
      </c>
      <c r="B680" s="5">
        <v>779</v>
      </c>
      <c r="C680" s="6">
        <v>3</v>
      </c>
      <c r="D680" s="6">
        <v>6</v>
      </c>
      <c r="E680" s="6">
        <v>10</v>
      </c>
      <c r="F680" s="6">
        <v>19</v>
      </c>
      <c r="G680" s="6">
        <v>679</v>
      </c>
      <c r="H680" s="7"/>
    </row>
    <row r="681" spans="1:9">
      <c r="A681" s="4" t="s">
        <v>479</v>
      </c>
      <c r="B681" s="5">
        <v>781</v>
      </c>
      <c r="C681" s="6">
        <v>2</v>
      </c>
      <c r="D681" s="6">
        <v>10</v>
      </c>
      <c r="E681" s="6">
        <v>7</v>
      </c>
      <c r="F681" s="6">
        <v>19</v>
      </c>
      <c r="G681" s="6">
        <v>680</v>
      </c>
      <c r="H681" s="7"/>
    </row>
    <row r="682" spans="1:9">
      <c r="A682" s="4" t="s">
        <v>483</v>
      </c>
      <c r="B682" s="5">
        <v>788</v>
      </c>
      <c r="C682" s="6">
        <v>5</v>
      </c>
      <c r="D682" s="6">
        <v>7</v>
      </c>
      <c r="E682" s="6">
        <v>7</v>
      </c>
      <c r="F682" s="6">
        <v>19</v>
      </c>
      <c r="G682" s="6">
        <v>681</v>
      </c>
      <c r="H682" s="7"/>
    </row>
    <row r="683" spans="1:9">
      <c r="A683" s="4" t="s">
        <v>485</v>
      </c>
      <c r="B683" s="5">
        <v>790</v>
      </c>
      <c r="C683" s="6">
        <v>4</v>
      </c>
      <c r="D683" s="6">
        <v>8</v>
      </c>
      <c r="E683" s="6">
        <v>7</v>
      </c>
      <c r="F683" s="6">
        <v>19</v>
      </c>
      <c r="G683" s="6">
        <v>682</v>
      </c>
      <c r="H683" s="7"/>
    </row>
    <row r="684" spans="1:9">
      <c r="A684" s="4" t="s">
        <v>489</v>
      </c>
      <c r="B684" s="5">
        <v>799</v>
      </c>
      <c r="C684" s="6">
        <v>4</v>
      </c>
      <c r="D684" s="6">
        <v>6</v>
      </c>
      <c r="E684" s="6">
        <v>9</v>
      </c>
      <c r="F684" s="6">
        <v>19</v>
      </c>
      <c r="G684" s="6">
        <v>683</v>
      </c>
      <c r="H684" s="7"/>
    </row>
    <row r="685" spans="1:9">
      <c r="A685" s="4" t="str">
        <f>HYPERLINK("https://scryfall.com/card/mm3/177/olivia-voldaren","Olivia Voldaren")</f>
        <v>Olivia Voldaren</v>
      </c>
      <c r="B685" s="5">
        <v>805</v>
      </c>
      <c r="C685" s="6">
        <v>2</v>
      </c>
      <c r="D685" s="6">
        <v>8</v>
      </c>
      <c r="E685" s="6">
        <v>9</v>
      </c>
      <c r="F685" s="6">
        <v>19</v>
      </c>
      <c r="G685" s="6">
        <v>684</v>
      </c>
      <c r="H685" s="7"/>
    </row>
    <row r="686" spans="1:9">
      <c r="A686" s="4" t="str">
        <f>HYPERLINK("https://scryfall.com/card/c20/12/otrimi-the-ever-playful","Otrimi, the Ever-Playful")</f>
        <v>Otrimi, the Ever-Playful</v>
      </c>
      <c r="B686" s="5">
        <v>806</v>
      </c>
      <c r="C686" s="6">
        <v>5</v>
      </c>
      <c r="D686" s="6">
        <v>6</v>
      </c>
      <c r="E686" s="6">
        <v>8</v>
      </c>
      <c r="F686" s="6">
        <v>19</v>
      </c>
      <c r="G686" s="6">
        <v>685</v>
      </c>
      <c r="H686" s="7"/>
    </row>
    <row r="687" spans="1:9">
      <c r="A687" s="4" t="s">
        <v>496</v>
      </c>
      <c r="B687" s="5">
        <v>812</v>
      </c>
      <c r="C687" s="6">
        <v>1</v>
      </c>
      <c r="D687" s="6">
        <v>10</v>
      </c>
      <c r="E687" s="6">
        <v>8</v>
      </c>
      <c r="F687" s="6">
        <v>19</v>
      </c>
      <c r="G687" s="6">
        <v>686</v>
      </c>
      <c r="H687" s="7"/>
    </row>
    <row r="688" spans="1:9">
      <c r="A688" s="4" t="str">
        <f>HYPERLINK("https://scryfall.com/card/dtk/120/sidisi-undead-vizier","Sidisi, Undead Vizier")</f>
        <v>Sidisi, Undead Vizier</v>
      </c>
      <c r="B688" s="5">
        <v>820</v>
      </c>
      <c r="C688" s="6">
        <v>7</v>
      </c>
      <c r="D688" s="6">
        <v>5</v>
      </c>
      <c r="E688" s="6">
        <v>7</v>
      </c>
      <c r="F688" s="6">
        <v>19</v>
      </c>
      <c r="G688" s="6">
        <v>687</v>
      </c>
      <c r="H688" s="7"/>
    </row>
    <row r="689" spans="1:8">
      <c r="A689" s="4" t="s">
        <v>504</v>
      </c>
      <c r="B689" s="5">
        <v>822</v>
      </c>
      <c r="C689" s="6">
        <v>8</v>
      </c>
      <c r="D689" s="6">
        <v>5</v>
      </c>
      <c r="E689" s="6">
        <v>6</v>
      </c>
      <c r="F689" s="6">
        <v>19</v>
      </c>
      <c r="G689" s="6">
        <v>688</v>
      </c>
      <c r="H689" s="7"/>
    </row>
    <row r="690" spans="1:8">
      <c r="A690" s="4" t="s">
        <v>513</v>
      </c>
      <c r="B690" s="5">
        <v>840</v>
      </c>
      <c r="C690" s="6">
        <v>3</v>
      </c>
      <c r="D690" s="6">
        <v>7</v>
      </c>
      <c r="E690" s="6">
        <v>9</v>
      </c>
      <c r="F690" s="6">
        <v>19</v>
      </c>
      <c r="G690" s="6">
        <v>689</v>
      </c>
      <c r="H690" s="7"/>
    </row>
    <row r="691" spans="1:8">
      <c r="A691" s="4" t="s">
        <v>514</v>
      </c>
      <c r="B691" s="5">
        <v>841</v>
      </c>
      <c r="C691" s="6">
        <v>4</v>
      </c>
      <c r="D691" s="6">
        <v>7</v>
      </c>
      <c r="E691" s="6">
        <v>8</v>
      </c>
      <c r="F691" s="6">
        <v>19</v>
      </c>
      <c r="G691" s="6">
        <v>690</v>
      </c>
      <c r="H691" s="7"/>
    </row>
    <row r="692" spans="1:8">
      <c r="A692" s="4" t="s">
        <v>519</v>
      </c>
      <c r="B692" s="5">
        <v>850</v>
      </c>
      <c r="C692" s="6">
        <v>5</v>
      </c>
      <c r="D692" s="6">
        <v>9</v>
      </c>
      <c r="E692" s="6">
        <v>5</v>
      </c>
      <c r="F692" s="6">
        <v>19</v>
      </c>
      <c r="G692" s="6">
        <v>691</v>
      </c>
      <c r="H692" s="7"/>
    </row>
    <row r="693" spans="1:8">
      <c r="A693" s="4" t="s">
        <v>522</v>
      </c>
      <c r="B693" s="5">
        <v>853</v>
      </c>
      <c r="C693" s="6">
        <v>5</v>
      </c>
      <c r="D693" s="6">
        <v>8</v>
      </c>
      <c r="E693" s="6">
        <v>6</v>
      </c>
      <c r="F693" s="6">
        <v>19</v>
      </c>
      <c r="G693" s="6">
        <v>692</v>
      </c>
      <c r="H693" s="7"/>
    </row>
    <row r="694" spans="1:8">
      <c r="A694" s="4" t="str">
        <f>HYPERLINK("https://scryfall.com/card/thb/217/gallia-of-the-endless-dance","Gallia of the Endless Dance")</f>
        <v>Gallia of the Endless Dance</v>
      </c>
      <c r="B694" s="5">
        <v>866</v>
      </c>
      <c r="C694" s="6">
        <v>2</v>
      </c>
      <c r="D694" s="6">
        <v>7</v>
      </c>
      <c r="E694" s="6">
        <v>10</v>
      </c>
      <c r="F694" s="6">
        <v>19</v>
      </c>
      <c r="G694" s="6">
        <v>693</v>
      </c>
      <c r="H694" s="7"/>
    </row>
    <row r="695" spans="1:8">
      <c r="A695" s="4" t="s">
        <v>537</v>
      </c>
      <c r="B695" s="5">
        <v>877</v>
      </c>
      <c r="C695" s="6">
        <v>3</v>
      </c>
      <c r="D695" s="6">
        <v>8</v>
      </c>
      <c r="E695" s="6">
        <v>8</v>
      </c>
      <c r="F695" s="6">
        <v>19</v>
      </c>
      <c r="G695" s="6">
        <v>694</v>
      </c>
      <c r="H695" s="7"/>
    </row>
    <row r="696" spans="1:8">
      <c r="A696" s="4" t="s">
        <v>539</v>
      </c>
      <c r="B696" s="5">
        <v>880</v>
      </c>
      <c r="C696" s="6">
        <v>3</v>
      </c>
      <c r="D696" s="6">
        <v>8</v>
      </c>
      <c r="E696" s="6">
        <v>8</v>
      </c>
      <c r="F696" s="6">
        <v>19</v>
      </c>
      <c r="G696" s="6">
        <v>695</v>
      </c>
      <c r="H696" s="7"/>
    </row>
    <row r="697" spans="1:8">
      <c r="A697" s="4" t="str">
        <f>HYPERLINK("https://scryfall.com/card/c18/46/thantis-the-warweaver","Thantis, the Warweaver")</f>
        <v>Thantis, the Warweaver</v>
      </c>
      <c r="B697" s="5">
        <v>882</v>
      </c>
      <c r="C697" s="6">
        <v>5</v>
      </c>
      <c r="D697" s="6">
        <v>8</v>
      </c>
      <c r="E697" s="6">
        <v>6</v>
      </c>
      <c r="F697" s="6">
        <v>19</v>
      </c>
      <c r="G697" s="6">
        <v>696</v>
      </c>
      <c r="H697" s="7"/>
    </row>
    <row r="698" spans="1:8">
      <c r="A698" s="12" t="s">
        <v>549</v>
      </c>
      <c r="B698" s="5">
        <v>898</v>
      </c>
      <c r="C698" s="11">
        <v>5</v>
      </c>
      <c r="D698" s="11">
        <v>8</v>
      </c>
      <c r="E698" s="11">
        <v>6</v>
      </c>
      <c r="F698" s="11">
        <v>19</v>
      </c>
      <c r="G698" s="6">
        <v>697</v>
      </c>
      <c r="H698" s="7"/>
    </row>
    <row r="699" spans="1:8">
      <c r="A699" s="4" t="s">
        <v>561</v>
      </c>
      <c r="B699" s="5">
        <v>915</v>
      </c>
      <c r="C699" s="6">
        <v>4</v>
      </c>
      <c r="D699" s="6">
        <v>7</v>
      </c>
      <c r="E699" s="6">
        <v>8</v>
      </c>
      <c r="F699" s="6">
        <v>19</v>
      </c>
      <c r="G699" s="6">
        <v>698</v>
      </c>
      <c r="H699" s="7"/>
    </row>
    <row r="700" spans="1:8">
      <c r="A700" s="4" t="s">
        <v>562</v>
      </c>
      <c r="B700" s="5">
        <v>916</v>
      </c>
      <c r="C700" s="6">
        <v>2</v>
      </c>
      <c r="D700" s="6">
        <v>8</v>
      </c>
      <c r="E700" s="6">
        <v>9</v>
      </c>
      <c r="F700" s="6">
        <v>19</v>
      </c>
      <c r="G700" s="6">
        <v>699</v>
      </c>
      <c r="H700" s="7"/>
    </row>
    <row r="701" spans="1:8">
      <c r="A701" s="4" t="str">
        <f>HYPERLINK("https://scryfall.com/card/ddu/27/yeva-natures-herald","Yeva, Nature's Herald")</f>
        <v>Yeva, Nature's Herald</v>
      </c>
      <c r="B701" s="5">
        <v>917</v>
      </c>
      <c r="C701" s="6">
        <v>5</v>
      </c>
      <c r="D701" s="6">
        <v>7</v>
      </c>
      <c r="E701" s="6">
        <v>7</v>
      </c>
      <c r="F701" s="6">
        <v>19</v>
      </c>
      <c r="G701" s="6">
        <v>700</v>
      </c>
      <c r="H701" s="7"/>
    </row>
    <row r="702" spans="1:8">
      <c r="A702" s="4" t="s">
        <v>564</v>
      </c>
      <c r="B702" s="5">
        <v>921</v>
      </c>
      <c r="C702" s="6">
        <v>2</v>
      </c>
      <c r="D702" s="6">
        <v>8</v>
      </c>
      <c r="E702" s="6">
        <v>9</v>
      </c>
      <c r="F702" s="6">
        <v>19</v>
      </c>
      <c r="G702" s="6">
        <v>701</v>
      </c>
      <c r="H702" s="7"/>
    </row>
    <row r="703" spans="1:8">
      <c r="A703" s="4" t="s">
        <v>572</v>
      </c>
      <c r="B703" s="5">
        <v>931</v>
      </c>
      <c r="C703" s="6">
        <v>4</v>
      </c>
      <c r="D703" s="6">
        <v>7</v>
      </c>
      <c r="E703" s="6">
        <v>8</v>
      </c>
      <c r="F703" s="6">
        <v>19</v>
      </c>
      <c r="G703" s="6">
        <v>702</v>
      </c>
      <c r="H703" s="7"/>
    </row>
    <row r="704" spans="1:8">
      <c r="A704" s="4" t="s">
        <v>586</v>
      </c>
      <c r="B704" s="5">
        <v>950</v>
      </c>
      <c r="C704" s="6">
        <v>4</v>
      </c>
      <c r="D704" s="6">
        <v>7</v>
      </c>
      <c r="E704" s="6">
        <v>8</v>
      </c>
      <c r="F704" s="6">
        <v>19</v>
      </c>
      <c r="G704" s="6">
        <v>703</v>
      </c>
      <c r="H704" s="7"/>
    </row>
    <row r="705" spans="1:8">
      <c r="A705" s="4" t="str">
        <f>HYPERLINK("https://scryfall.com/card/c16/45/tana-the-bloodsower","Tana, the Bloodsower")</f>
        <v>Tana, the Bloodsower</v>
      </c>
      <c r="B705" s="5">
        <v>953</v>
      </c>
      <c r="C705" s="6">
        <v>6</v>
      </c>
      <c r="D705" s="6">
        <v>7</v>
      </c>
      <c r="E705" s="6">
        <v>6</v>
      </c>
      <c r="F705" s="6">
        <v>19</v>
      </c>
      <c r="G705" s="6">
        <v>704</v>
      </c>
      <c r="H705" s="7"/>
    </row>
    <row r="706" spans="1:8">
      <c r="A706" s="4" t="s">
        <v>597</v>
      </c>
      <c r="B706" s="5">
        <v>986</v>
      </c>
      <c r="C706" s="6">
        <v>2</v>
      </c>
      <c r="D706" s="6">
        <v>9</v>
      </c>
      <c r="E706" s="6">
        <v>8</v>
      </c>
      <c r="F706" s="6">
        <v>19</v>
      </c>
      <c r="G706" s="6">
        <v>705</v>
      </c>
      <c r="H706" s="7"/>
    </row>
    <row r="707" spans="1:8">
      <c r="A707" s="4" t="s">
        <v>606</v>
      </c>
      <c r="B707" s="5">
        <v>1000</v>
      </c>
      <c r="C707" s="6">
        <v>5</v>
      </c>
      <c r="D707" s="6">
        <v>8</v>
      </c>
      <c r="E707" s="6">
        <v>6</v>
      </c>
      <c r="F707" s="6">
        <v>19</v>
      </c>
      <c r="G707" s="6">
        <v>706</v>
      </c>
      <c r="H707" s="7"/>
    </row>
    <row r="708" spans="1:8">
      <c r="A708" s="4" t="str">
        <f>HYPERLINK("https://scryfall.com/card/c19/46/marisi-breaker-of-the-coil","Marisi, Breaker of the Coil")</f>
        <v>Marisi, Breaker of the Coil</v>
      </c>
      <c r="B708" s="5">
        <v>1008</v>
      </c>
      <c r="C708" s="6">
        <v>3</v>
      </c>
      <c r="D708" s="6">
        <v>7</v>
      </c>
      <c r="E708" s="6">
        <v>9</v>
      </c>
      <c r="F708" s="6">
        <v>19</v>
      </c>
      <c r="G708" s="6">
        <v>707</v>
      </c>
      <c r="H708" s="7"/>
    </row>
    <row r="709" spans="1:8">
      <c r="A709" s="4" t="s">
        <v>612</v>
      </c>
      <c r="B709" s="5">
        <v>1013</v>
      </c>
      <c r="C709" s="6">
        <v>4</v>
      </c>
      <c r="D709" s="6">
        <v>6</v>
      </c>
      <c r="E709" s="6">
        <v>9</v>
      </c>
      <c r="F709" s="6">
        <v>19</v>
      </c>
      <c r="G709" s="6">
        <v>708</v>
      </c>
      <c r="H709" s="7"/>
    </row>
    <row r="710" spans="1:8">
      <c r="A710" s="4" t="s">
        <v>618</v>
      </c>
      <c r="B710" s="5">
        <v>1019</v>
      </c>
      <c r="C710" s="6">
        <v>6</v>
      </c>
      <c r="D710" s="6">
        <v>8</v>
      </c>
      <c r="E710" s="6">
        <v>5</v>
      </c>
      <c r="F710" s="6">
        <v>19</v>
      </c>
      <c r="G710" s="6">
        <v>709</v>
      </c>
      <c r="H710" s="7"/>
    </row>
    <row r="711" spans="1:8">
      <c r="A711" s="4" t="s">
        <v>627</v>
      </c>
      <c r="B711" s="5">
        <v>1030</v>
      </c>
      <c r="C711" s="6">
        <v>4</v>
      </c>
      <c r="D711" s="6">
        <v>7</v>
      </c>
      <c r="E711" s="6">
        <v>8</v>
      </c>
      <c r="F711" s="6">
        <v>19</v>
      </c>
      <c r="G711" s="6">
        <v>710</v>
      </c>
      <c r="H711" s="7"/>
    </row>
    <row r="712" spans="1:8">
      <c r="A712" s="4" t="s">
        <v>630</v>
      </c>
      <c r="B712" s="5">
        <v>1035</v>
      </c>
      <c r="C712" s="6">
        <v>3</v>
      </c>
      <c r="D712" s="6">
        <v>8</v>
      </c>
      <c r="E712" s="6">
        <v>8</v>
      </c>
      <c r="F712" s="6">
        <v>19</v>
      </c>
      <c r="G712" s="6">
        <v>711</v>
      </c>
      <c r="H712" s="7"/>
    </row>
    <row r="713" spans="1:8">
      <c r="A713" s="4" t="s">
        <v>631</v>
      </c>
      <c r="B713" s="5">
        <v>1036</v>
      </c>
      <c r="C713" s="6">
        <v>5</v>
      </c>
      <c r="D713" s="6">
        <v>7</v>
      </c>
      <c r="E713" s="6">
        <v>7</v>
      </c>
      <c r="F713" s="6">
        <v>19</v>
      </c>
      <c r="G713" s="6">
        <v>712</v>
      </c>
      <c r="H713" s="7"/>
    </row>
    <row r="714" spans="1:8">
      <c r="A714" s="4" t="s">
        <v>648</v>
      </c>
      <c r="B714" s="5">
        <v>1076</v>
      </c>
      <c r="C714" s="6">
        <v>3</v>
      </c>
      <c r="D714" s="6">
        <v>6</v>
      </c>
      <c r="E714" s="6">
        <v>10</v>
      </c>
      <c r="F714" s="6">
        <v>19</v>
      </c>
      <c r="G714" s="6">
        <v>713</v>
      </c>
      <c r="H714" s="7"/>
    </row>
    <row r="715" spans="1:8">
      <c r="A715" s="4" t="s">
        <v>653</v>
      </c>
      <c r="B715" s="5">
        <v>1082</v>
      </c>
      <c r="C715" s="6">
        <v>3</v>
      </c>
      <c r="D715" s="6">
        <v>10</v>
      </c>
      <c r="E715" s="6">
        <v>6</v>
      </c>
      <c r="F715" s="6">
        <v>19</v>
      </c>
      <c r="G715" s="6">
        <v>714</v>
      </c>
      <c r="H715" s="7"/>
    </row>
    <row r="716" spans="1:8">
      <c r="A716" s="4" t="s">
        <v>665</v>
      </c>
      <c r="B716" s="5">
        <v>1104</v>
      </c>
      <c r="C716" s="6">
        <v>4</v>
      </c>
      <c r="D716" s="6">
        <v>10</v>
      </c>
      <c r="E716" s="6">
        <v>5</v>
      </c>
      <c r="F716" s="6">
        <v>19</v>
      </c>
      <c r="G716" s="6">
        <v>715</v>
      </c>
      <c r="H716" s="7"/>
    </row>
    <row r="717" spans="1:8">
      <c r="A717" s="4" t="s">
        <v>666</v>
      </c>
      <c r="B717" s="5">
        <v>1106</v>
      </c>
      <c r="C717" s="6">
        <v>3</v>
      </c>
      <c r="D717" s="6">
        <v>6</v>
      </c>
      <c r="E717" s="6">
        <v>10</v>
      </c>
      <c r="F717" s="6">
        <v>19</v>
      </c>
      <c r="G717" s="6">
        <v>716</v>
      </c>
      <c r="H717" s="7"/>
    </row>
    <row r="718" spans="1:8">
      <c r="A718" s="4" t="s">
        <v>667</v>
      </c>
      <c r="B718" s="5">
        <v>1107</v>
      </c>
      <c r="C718" s="6">
        <v>3</v>
      </c>
      <c r="D718" s="6">
        <v>6</v>
      </c>
      <c r="E718" s="6">
        <v>10</v>
      </c>
      <c r="F718" s="6">
        <v>19</v>
      </c>
      <c r="G718" s="6">
        <v>717</v>
      </c>
      <c r="H718" s="7"/>
    </row>
    <row r="719" spans="1:8">
      <c r="A719" s="4" t="s">
        <v>668</v>
      </c>
      <c r="B719" s="5">
        <v>1108</v>
      </c>
      <c r="C719" s="6">
        <v>5</v>
      </c>
      <c r="D719" s="6">
        <v>7</v>
      </c>
      <c r="E719" s="6">
        <v>7</v>
      </c>
      <c r="F719" s="6">
        <v>19</v>
      </c>
      <c r="G719" s="6">
        <v>718</v>
      </c>
      <c r="H719" s="7"/>
    </row>
    <row r="720" spans="1:8">
      <c r="A720" s="4" t="s">
        <v>684</v>
      </c>
      <c r="B720" s="5">
        <v>1138</v>
      </c>
      <c r="C720" s="6">
        <v>2</v>
      </c>
      <c r="D720" s="6">
        <v>8</v>
      </c>
      <c r="E720" s="6">
        <v>9</v>
      </c>
      <c r="F720" s="6">
        <v>19</v>
      </c>
      <c r="G720" s="6">
        <v>719</v>
      </c>
      <c r="H720" s="7"/>
    </row>
    <row r="721" spans="1:8">
      <c r="A721" s="4" t="s">
        <v>690</v>
      </c>
      <c r="B721" s="5">
        <v>1144</v>
      </c>
      <c r="C721" s="6">
        <v>3</v>
      </c>
      <c r="D721" s="6">
        <v>9</v>
      </c>
      <c r="E721" s="6">
        <v>7</v>
      </c>
      <c r="F721" s="6">
        <v>19</v>
      </c>
      <c r="G721" s="6">
        <v>720</v>
      </c>
      <c r="H721" s="7"/>
    </row>
    <row r="722" spans="1:8">
      <c r="A722" s="4" t="s">
        <v>697</v>
      </c>
      <c r="B722" s="5">
        <v>1153</v>
      </c>
      <c r="C722" s="6">
        <v>3</v>
      </c>
      <c r="D722" s="6">
        <v>8</v>
      </c>
      <c r="E722" s="6">
        <v>8</v>
      </c>
      <c r="F722" s="6">
        <v>19</v>
      </c>
      <c r="G722" s="6">
        <v>721</v>
      </c>
      <c r="H722" s="7"/>
    </row>
    <row r="723" spans="1:8">
      <c r="A723" s="4" t="s">
        <v>710</v>
      </c>
      <c r="B723" s="5">
        <v>1173</v>
      </c>
      <c r="C723" s="6">
        <v>3</v>
      </c>
      <c r="D723" s="6">
        <v>7</v>
      </c>
      <c r="E723" s="6">
        <v>9</v>
      </c>
      <c r="F723" s="6">
        <v>19</v>
      </c>
      <c r="G723" s="6">
        <v>722</v>
      </c>
      <c r="H723" s="7"/>
    </row>
    <row r="724" spans="1:8">
      <c r="A724" s="4" t="s">
        <v>711</v>
      </c>
      <c r="B724" s="5">
        <v>1174</v>
      </c>
      <c r="C724" s="6">
        <v>4</v>
      </c>
      <c r="D724" s="14">
        <v>7</v>
      </c>
      <c r="E724" s="6">
        <v>8</v>
      </c>
      <c r="F724" s="6">
        <v>19</v>
      </c>
      <c r="G724" s="6">
        <v>723</v>
      </c>
      <c r="H724" s="7"/>
    </row>
    <row r="725" spans="1:8">
      <c r="A725" s="4" t="str">
        <f>HYPERLINK("https://scryfall.com/card/c19/40/elsha-of-the-infinite","Elsha of the Infinite")</f>
        <v>Elsha of the Infinite</v>
      </c>
      <c r="B725" s="5">
        <v>1179</v>
      </c>
      <c r="C725" s="6">
        <v>6</v>
      </c>
      <c r="D725" s="6">
        <v>6</v>
      </c>
      <c r="E725" s="6">
        <v>7</v>
      </c>
      <c r="F725" s="6">
        <v>19</v>
      </c>
      <c r="G725" s="6">
        <v>724</v>
      </c>
      <c r="H725" s="7"/>
    </row>
    <row r="726" spans="1:8">
      <c r="A726" s="4" t="str">
        <f>HYPERLINK("https://scryfall.com/card/thb/212/dalakos-crafter-of-wonders","Dalakos, Crafter of Wonders")</f>
        <v>Dalakos, Crafter of Wonders</v>
      </c>
      <c r="B726" s="5">
        <v>1204</v>
      </c>
      <c r="C726" s="6">
        <v>5</v>
      </c>
      <c r="D726" s="6">
        <v>7</v>
      </c>
      <c r="E726" s="6">
        <v>7</v>
      </c>
      <c r="F726" s="6">
        <v>19</v>
      </c>
      <c r="G726" s="6">
        <v>725</v>
      </c>
      <c r="H726" s="7"/>
    </row>
    <row r="727" spans="1:8">
      <c r="A727" s="4" t="s">
        <v>727</v>
      </c>
      <c r="B727" s="5">
        <v>1206</v>
      </c>
      <c r="C727" s="6">
        <v>4</v>
      </c>
      <c r="D727" s="6">
        <v>7</v>
      </c>
      <c r="E727" s="6">
        <v>8</v>
      </c>
      <c r="F727" s="6">
        <v>19</v>
      </c>
      <c r="G727" s="6">
        <v>726</v>
      </c>
      <c r="H727" s="7"/>
    </row>
    <row r="728" spans="1:8">
      <c r="A728" s="4" t="s">
        <v>733</v>
      </c>
      <c r="B728" s="5">
        <v>1219</v>
      </c>
      <c r="C728" s="6">
        <v>5</v>
      </c>
      <c r="D728" s="6">
        <v>8</v>
      </c>
      <c r="E728" s="6">
        <v>6</v>
      </c>
      <c r="F728" s="6">
        <v>19</v>
      </c>
      <c r="G728" s="6">
        <v>727</v>
      </c>
      <c r="H728" s="7"/>
    </row>
    <row r="729" spans="1:8">
      <c r="A729" s="4" t="s">
        <v>739</v>
      </c>
      <c r="B729" s="5">
        <v>1237</v>
      </c>
      <c r="C729" s="6">
        <v>3</v>
      </c>
      <c r="D729" s="6">
        <v>10</v>
      </c>
      <c r="E729" s="6">
        <v>6</v>
      </c>
      <c r="F729" s="6">
        <v>19</v>
      </c>
      <c r="G729" s="6">
        <v>728</v>
      </c>
      <c r="H729" s="7"/>
    </row>
    <row r="730" spans="1:8">
      <c r="A730" s="4" t="str">
        <f>HYPERLINK("https://scryfall.com/card/war/50/fblthp-the-lost","Fblthp, the Lost")</f>
        <v>Fblthp, the Lost</v>
      </c>
      <c r="B730" s="5">
        <v>245</v>
      </c>
      <c r="C730" s="6">
        <v>1</v>
      </c>
      <c r="D730" s="6">
        <v>10</v>
      </c>
      <c r="E730" s="6">
        <v>7</v>
      </c>
      <c r="F730" s="6">
        <v>18</v>
      </c>
      <c r="G730" s="6">
        <v>729</v>
      </c>
      <c r="H730" s="7"/>
    </row>
    <row r="731" spans="1:8">
      <c r="A731" s="4" t="str">
        <f>HYPERLINK("https://scryfall.com/card/c15/43/daxos-the-returned","Daxos the Returned")</f>
        <v>Daxos the Returned</v>
      </c>
      <c r="B731" s="5">
        <v>248</v>
      </c>
      <c r="C731" s="6">
        <v>4</v>
      </c>
      <c r="D731" s="6">
        <v>8</v>
      </c>
      <c r="E731" s="6">
        <v>6</v>
      </c>
      <c r="F731" s="6">
        <v>18</v>
      </c>
      <c r="G731" s="6">
        <v>730</v>
      </c>
      <c r="H731" s="7"/>
    </row>
    <row r="732" spans="1:8">
      <c r="A732" s="4" t="s">
        <v>163</v>
      </c>
      <c r="B732" s="5">
        <v>287</v>
      </c>
      <c r="C732" s="6">
        <v>3</v>
      </c>
      <c r="D732" s="6">
        <v>7</v>
      </c>
      <c r="E732" s="6">
        <v>8</v>
      </c>
      <c r="F732" s="6">
        <v>18</v>
      </c>
      <c r="G732" s="6">
        <v>731</v>
      </c>
      <c r="H732" s="7"/>
    </row>
    <row r="733" spans="1:8">
      <c r="A733" s="4" t="str">
        <f>HYPERLINK("https://scryfall.com/card/war/53/god-eternal-kefnet","God-Eternal Kefnet")</f>
        <v>God-Eternal Kefnet</v>
      </c>
      <c r="B733" s="5">
        <v>306</v>
      </c>
      <c r="C733" s="6">
        <v>6</v>
      </c>
      <c r="D733" s="6">
        <v>2</v>
      </c>
      <c r="E733" s="6">
        <v>10</v>
      </c>
      <c r="F733" s="6">
        <v>18</v>
      </c>
      <c r="G733" s="6">
        <v>732</v>
      </c>
      <c r="H733" s="7"/>
    </row>
    <row r="734" spans="1:8">
      <c r="A734" s="4" t="str">
        <f>HYPERLINK("https://scryfall.com/card/som/79/skithiryx-the-blight-dragon","Skithiryx, the Blight Dragon")</f>
        <v>Skithiryx, the Blight Dragon</v>
      </c>
      <c r="B734" s="5">
        <v>340</v>
      </c>
      <c r="C734" s="6">
        <v>5</v>
      </c>
      <c r="D734" s="6">
        <v>5</v>
      </c>
      <c r="E734" s="6">
        <v>8</v>
      </c>
      <c r="F734" s="6">
        <v>18</v>
      </c>
      <c r="G734" s="6">
        <v>733</v>
      </c>
      <c r="H734" s="7"/>
    </row>
    <row r="735" spans="1:8">
      <c r="A735" s="4" t="s">
        <v>212</v>
      </c>
      <c r="B735" s="5">
        <v>376</v>
      </c>
      <c r="C735" s="6">
        <v>4</v>
      </c>
      <c r="D735" s="6">
        <v>6</v>
      </c>
      <c r="E735" s="6">
        <v>8</v>
      </c>
      <c r="F735" s="6">
        <v>18</v>
      </c>
      <c r="G735" s="6">
        <v>734</v>
      </c>
      <c r="H735" s="7"/>
    </row>
    <row r="736" spans="1:8">
      <c r="A736" s="4" t="str">
        <f>HYPERLINK("https://scryfall.com/card/c17/41/mairsil-the-pretender","Mairsil, the Pretender")</f>
        <v>Mairsil, the Pretender</v>
      </c>
      <c r="B736" s="5">
        <v>393</v>
      </c>
      <c r="C736" s="6">
        <v>6</v>
      </c>
      <c r="D736" s="6">
        <v>8</v>
      </c>
      <c r="E736" s="6">
        <v>4</v>
      </c>
      <c r="F736" s="6">
        <v>18</v>
      </c>
      <c r="G736" s="6">
        <v>735</v>
      </c>
      <c r="H736" s="7"/>
    </row>
    <row r="737" spans="1:8">
      <c r="A737" s="10" t="s">
        <v>231</v>
      </c>
      <c r="B737" s="5">
        <v>408</v>
      </c>
      <c r="C737" s="11">
        <v>3</v>
      </c>
      <c r="D737" s="11">
        <v>9</v>
      </c>
      <c r="E737" s="11">
        <v>6</v>
      </c>
      <c r="F737" s="11">
        <v>18</v>
      </c>
      <c r="G737" s="6">
        <v>736</v>
      </c>
      <c r="H737" s="7"/>
    </row>
    <row r="738" spans="1:8">
      <c r="A738" s="4" t="str">
        <f>HYPERLINK("https://scryfall.com/card/mma/182/progenitus","Progenitus")</f>
        <v>Progenitus</v>
      </c>
      <c r="B738" s="5">
        <v>415</v>
      </c>
      <c r="C738" s="6">
        <v>1</v>
      </c>
      <c r="D738" s="6">
        <v>7</v>
      </c>
      <c r="E738" s="6">
        <v>10</v>
      </c>
      <c r="F738" s="6">
        <v>18</v>
      </c>
      <c r="G738" s="6">
        <v>737</v>
      </c>
      <c r="H738" s="7"/>
    </row>
    <row r="739" spans="1:8">
      <c r="A739" s="4" t="s">
        <v>239</v>
      </c>
      <c r="B739" s="5">
        <v>420</v>
      </c>
      <c r="C739" s="6">
        <v>8</v>
      </c>
      <c r="D739" s="6">
        <v>9</v>
      </c>
      <c r="E739" s="6">
        <v>1</v>
      </c>
      <c r="F739" s="6">
        <v>18</v>
      </c>
      <c r="G739" s="6">
        <v>738</v>
      </c>
      <c r="H739" s="7"/>
    </row>
    <row r="740" spans="1:8">
      <c r="A740" s="4" t="str">
        <f>HYPERLINK("https://scryfall.com/card/cma/111/freyalise-llanowars-fury","Freyalise, Llanowar's Fury")</f>
        <v>Freyalise, Llanowar's Fury</v>
      </c>
      <c r="B740" s="5">
        <v>428</v>
      </c>
      <c r="C740" s="6">
        <v>4</v>
      </c>
      <c r="D740" s="6">
        <v>6</v>
      </c>
      <c r="E740" s="6">
        <v>8</v>
      </c>
      <c r="F740" s="6">
        <v>18</v>
      </c>
      <c r="G740" s="6">
        <v>739</v>
      </c>
      <c r="H740" s="7"/>
    </row>
    <row r="741" spans="1:8">
      <c r="A741" s="4" t="str">
        <f>HYPERLINK("https://scryfall.com/card/dom/205/slimefoot-the-stowaway","Slimefoot, the Stowaway")</f>
        <v>Slimefoot, the Stowaway</v>
      </c>
      <c r="B741" s="5">
        <v>430</v>
      </c>
      <c r="C741" s="6">
        <v>3</v>
      </c>
      <c r="D741" s="6">
        <v>7</v>
      </c>
      <c r="E741" s="6">
        <v>8</v>
      </c>
      <c r="F741" s="6">
        <v>18</v>
      </c>
      <c r="G741" s="6">
        <v>740</v>
      </c>
      <c r="H741" s="7"/>
    </row>
    <row r="742" spans="1:8">
      <c r="A742" s="4" t="s">
        <v>247</v>
      </c>
      <c r="B742" s="5">
        <v>432</v>
      </c>
      <c r="C742" s="6">
        <v>5</v>
      </c>
      <c r="D742" s="6">
        <v>6</v>
      </c>
      <c r="E742" s="6">
        <v>7</v>
      </c>
      <c r="F742" s="6">
        <v>18</v>
      </c>
      <c r="G742" s="6">
        <v>741</v>
      </c>
      <c r="H742" s="7"/>
    </row>
    <row r="743" spans="1:8">
      <c r="A743" s="10" t="s">
        <v>249</v>
      </c>
      <c r="B743" s="5">
        <v>434</v>
      </c>
      <c r="C743" s="11">
        <v>4</v>
      </c>
      <c r="D743" s="11">
        <v>6</v>
      </c>
      <c r="E743" s="11">
        <v>8</v>
      </c>
      <c r="F743" s="11">
        <v>18</v>
      </c>
      <c r="G743" s="6">
        <v>742</v>
      </c>
      <c r="H743" s="7"/>
    </row>
    <row r="744" spans="1:8">
      <c r="A744" s="4" t="str">
        <f>HYPERLINK("https://scryfall.com/card/ima/152/urabrask-the-hidden","Urabrask the Hidden")</f>
        <v>Urabrask the Hidden</v>
      </c>
      <c r="B744" s="5">
        <v>444</v>
      </c>
      <c r="C744" s="6">
        <v>4</v>
      </c>
      <c r="D744" s="6">
        <v>6</v>
      </c>
      <c r="E744" s="6">
        <v>8</v>
      </c>
      <c r="F744" s="6">
        <v>18</v>
      </c>
      <c r="G744" s="6">
        <v>743</v>
      </c>
      <c r="H744" s="7"/>
    </row>
    <row r="745" spans="1:8">
      <c r="A745" s="4" t="s">
        <v>257</v>
      </c>
      <c r="B745" s="5">
        <v>447</v>
      </c>
      <c r="C745" s="6">
        <v>5</v>
      </c>
      <c r="D745" s="6">
        <v>6</v>
      </c>
      <c r="E745" s="6">
        <v>7</v>
      </c>
      <c r="F745" s="6">
        <v>18</v>
      </c>
      <c r="G745" s="6">
        <v>744</v>
      </c>
      <c r="H745" s="7"/>
    </row>
    <row r="746" spans="1:8">
      <c r="A746" s="4" t="str">
        <f>HYPERLINK("https://scryfall.com/card/xln/222/gishath-suns-avatar","Gishath, Sun's Avatar")</f>
        <v>Gishath, Sun's Avatar</v>
      </c>
      <c r="B746" s="5">
        <v>457</v>
      </c>
      <c r="C746" s="6">
        <v>3</v>
      </c>
      <c r="D746" s="6">
        <v>9</v>
      </c>
      <c r="E746" s="6">
        <v>6</v>
      </c>
      <c r="F746" s="6">
        <v>18</v>
      </c>
      <c r="G746" s="6">
        <v>745</v>
      </c>
      <c r="H746" s="7"/>
    </row>
    <row r="747" spans="1:8">
      <c r="A747" s="4" t="str">
        <f>HYPERLINK("https://scryfall.com/card/bng/151/mogis-god-of-slaughter","Mogis, God of Slaughter")</f>
        <v>Mogis, God of Slaughter</v>
      </c>
      <c r="B747" s="5">
        <v>461</v>
      </c>
      <c r="C747" s="6">
        <v>2</v>
      </c>
      <c r="D747" s="6">
        <v>7</v>
      </c>
      <c r="E747" s="6">
        <v>9</v>
      </c>
      <c r="F747" s="6">
        <v>18</v>
      </c>
      <c r="G747" s="6">
        <v>746</v>
      </c>
      <c r="H747" s="7"/>
    </row>
    <row r="748" spans="1:8">
      <c r="A748" s="4" t="s">
        <v>274</v>
      </c>
      <c r="B748" s="5">
        <v>475</v>
      </c>
      <c r="C748" s="6">
        <v>3</v>
      </c>
      <c r="D748" s="6">
        <v>7</v>
      </c>
      <c r="E748" s="6">
        <v>8</v>
      </c>
      <c r="F748" s="6">
        <v>18</v>
      </c>
      <c r="G748" s="6">
        <v>747</v>
      </c>
      <c r="H748" s="7"/>
    </row>
    <row r="749" spans="1:8">
      <c r="A749" s="4" t="s">
        <v>275</v>
      </c>
      <c r="B749" s="5">
        <v>476</v>
      </c>
      <c r="C749" s="6">
        <v>2</v>
      </c>
      <c r="D749" s="6">
        <v>6</v>
      </c>
      <c r="E749" s="6">
        <v>10</v>
      </c>
      <c r="F749" s="6">
        <v>18</v>
      </c>
      <c r="G749" s="6">
        <v>748</v>
      </c>
      <c r="H749" s="7"/>
    </row>
    <row r="750" spans="1:8">
      <c r="A750" s="10" t="s">
        <v>287</v>
      </c>
      <c r="B750" s="5">
        <v>497</v>
      </c>
      <c r="C750" s="11">
        <v>5</v>
      </c>
      <c r="D750" s="11">
        <v>6</v>
      </c>
      <c r="E750" s="11">
        <v>7</v>
      </c>
      <c r="F750" s="11">
        <v>18</v>
      </c>
      <c r="G750" s="6">
        <v>749</v>
      </c>
      <c r="H750" s="7"/>
    </row>
    <row r="751" spans="1:8">
      <c r="A751" s="4" t="s">
        <v>301</v>
      </c>
      <c r="B751" s="5">
        <v>517</v>
      </c>
      <c r="C751" s="6">
        <v>2</v>
      </c>
      <c r="D751" s="6">
        <v>6</v>
      </c>
      <c r="E751" s="6">
        <v>10</v>
      </c>
      <c r="F751" s="6">
        <v>18</v>
      </c>
      <c r="G751" s="6">
        <v>750</v>
      </c>
      <c r="H751" s="7"/>
    </row>
    <row r="752" spans="1:8">
      <c r="A752" s="4" t="s">
        <v>302</v>
      </c>
      <c r="B752" s="5">
        <v>518</v>
      </c>
      <c r="C752" s="6">
        <v>3</v>
      </c>
      <c r="D752" s="6">
        <v>7</v>
      </c>
      <c r="E752" s="6">
        <v>8</v>
      </c>
      <c r="F752" s="6">
        <v>18</v>
      </c>
      <c r="G752" s="6">
        <v>751</v>
      </c>
      <c r="H752" s="7"/>
    </row>
    <row r="753" spans="1:8">
      <c r="A753" s="4" t="s">
        <v>320</v>
      </c>
      <c r="B753" s="5">
        <v>546</v>
      </c>
      <c r="C753" s="6">
        <v>4</v>
      </c>
      <c r="D753" s="6">
        <v>6</v>
      </c>
      <c r="E753" s="6">
        <v>8</v>
      </c>
      <c r="F753" s="6">
        <v>18</v>
      </c>
      <c r="G753" s="6">
        <v>752</v>
      </c>
      <c r="H753" s="7"/>
    </row>
    <row r="754" spans="1:8">
      <c r="A754" s="4" t="str">
        <f>HYPERLINK("https://scryfall.com/card/c20/13/pako-arcane-retriever","Pako, Arcane Retriever")</f>
        <v>Pako, Arcane Retriever</v>
      </c>
      <c r="B754" s="5">
        <v>548</v>
      </c>
      <c r="C754" s="6">
        <v>3</v>
      </c>
      <c r="D754" s="6">
        <v>8</v>
      </c>
      <c r="E754" s="6">
        <v>7</v>
      </c>
      <c r="F754" s="6">
        <v>18</v>
      </c>
      <c r="G754" s="6">
        <v>753</v>
      </c>
      <c r="H754" s="7"/>
    </row>
    <row r="755" spans="1:8">
      <c r="A755" s="4" t="s">
        <v>327</v>
      </c>
      <c r="B755" s="5">
        <v>560</v>
      </c>
      <c r="C755" s="6">
        <v>2</v>
      </c>
      <c r="D755" s="6">
        <v>7</v>
      </c>
      <c r="E755" s="6">
        <v>9</v>
      </c>
      <c r="F755" s="6">
        <v>18</v>
      </c>
      <c r="G755" s="6">
        <v>754</v>
      </c>
      <c r="H755" s="7"/>
    </row>
    <row r="756" spans="1:8">
      <c r="A756" s="4" t="s">
        <v>330</v>
      </c>
      <c r="B756" s="5">
        <v>564</v>
      </c>
      <c r="C756" s="6">
        <v>3</v>
      </c>
      <c r="D756" s="6">
        <v>5</v>
      </c>
      <c r="E756" s="6">
        <v>10</v>
      </c>
      <c r="F756" s="6">
        <v>18</v>
      </c>
      <c r="G756" s="6">
        <v>755</v>
      </c>
      <c r="H756" s="7"/>
    </row>
    <row r="757" spans="1:8">
      <c r="A757" s="4" t="s">
        <v>331</v>
      </c>
      <c r="B757" s="5">
        <v>565</v>
      </c>
      <c r="C757" s="6">
        <v>2</v>
      </c>
      <c r="D757" s="6">
        <v>7</v>
      </c>
      <c r="E757" s="6">
        <v>9</v>
      </c>
      <c r="F757" s="6">
        <v>18</v>
      </c>
      <c r="G757" s="6">
        <v>756</v>
      </c>
      <c r="H757" s="7"/>
    </row>
    <row r="758" spans="1:8">
      <c r="A758" s="4" t="s">
        <v>333</v>
      </c>
      <c r="B758" s="5">
        <v>568</v>
      </c>
      <c r="C758" s="6">
        <v>3</v>
      </c>
      <c r="D758" s="6">
        <v>7</v>
      </c>
      <c r="E758" s="6">
        <v>8</v>
      </c>
      <c r="F758" s="6">
        <v>18</v>
      </c>
      <c r="G758" s="6">
        <v>757</v>
      </c>
      <c r="H758" s="7"/>
    </row>
    <row r="759" spans="1:8">
      <c r="A759" s="4" t="s">
        <v>334</v>
      </c>
      <c r="B759" s="5">
        <v>569</v>
      </c>
      <c r="C759" s="6">
        <v>3</v>
      </c>
      <c r="D759" s="6">
        <v>7</v>
      </c>
      <c r="E759" s="6">
        <v>8</v>
      </c>
      <c r="F759" s="6">
        <v>18</v>
      </c>
      <c r="G759" s="6">
        <v>758</v>
      </c>
      <c r="H759" s="7"/>
    </row>
    <row r="760" spans="1:8">
      <c r="A760" s="4" t="s">
        <v>336</v>
      </c>
      <c r="B760" s="5">
        <v>572</v>
      </c>
      <c r="C760" s="6">
        <v>3</v>
      </c>
      <c r="D760" s="6">
        <v>7</v>
      </c>
      <c r="E760" s="6">
        <v>8</v>
      </c>
      <c r="F760" s="6">
        <v>18</v>
      </c>
      <c r="G760" s="6">
        <v>759</v>
      </c>
      <c r="H760" s="7"/>
    </row>
    <row r="761" spans="1:8">
      <c r="A761" s="4" t="s">
        <v>340</v>
      </c>
      <c r="B761" s="5">
        <v>578</v>
      </c>
      <c r="C761" s="6">
        <v>3</v>
      </c>
      <c r="D761" s="6">
        <v>7</v>
      </c>
      <c r="E761" s="6">
        <v>8</v>
      </c>
      <c r="F761" s="6">
        <v>18</v>
      </c>
      <c r="G761" s="6">
        <v>760</v>
      </c>
      <c r="H761" s="7"/>
    </row>
    <row r="762" spans="1:8">
      <c r="A762" s="4" t="s">
        <v>342</v>
      </c>
      <c r="B762" s="5">
        <v>580</v>
      </c>
      <c r="C762" s="6">
        <v>4</v>
      </c>
      <c r="D762" s="6">
        <v>8</v>
      </c>
      <c r="E762" s="6">
        <v>6</v>
      </c>
      <c r="F762" s="6">
        <v>18</v>
      </c>
      <c r="G762" s="6">
        <v>761</v>
      </c>
      <c r="H762" s="7"/>
    </row>
    <row r="763" spans="1:8">
      <c r="A763" s="4" t="s">
        <v>344</v>
      </c>
      <c r="B763" s="5">
        <v>583</v>
      </c>
      <c r="C763" s="6">
        <v>5</v>
      </c>
      <c r="D763" s="6">
        <v>6</v>
      </c>
      <c r="E763" s="6">
        <v>7</v>
      </c>
      <c r="F763" s="6">
        <v>18</v>
      </c>
      <c r="G763" s="6">
        <v>762</v>
      </c>
      <c r="H763" s="7"/>
    </row>
    <row r="764" spans="1:8">
      <c r="A764" s="4" t="s">
        <v>353</v>
      </c>
      <c r="B764" s="5">
        <v>594</v>
      </c>
      <c r="C764" s="6">
        <v>5</v>
      </c>
      <c r="D764" s="6">
        <v>4</v>
      </c>
      <c r="E764" s="6">
        <v>9</v>
      </c>
      <c r="F764" s="6">
        <v>18</v>
      </c>
      <c r="G764" s="6">
        <v>763</v>
      </c>
      <c r="H764" s="7"/>
    </row>
    <row r="765" spans="1:8">
      <c r="A765" s="4" t="str">
        <f>HYPERLINK("https://scryfall.com/card/mma/176/grand-arbiter-augustin-iv","Grand Arbiter Augustin IV")</f>
        <v>Grand Arbiter Augustin IV</v>
      </c>
      <c r="B765" s="5">
        <v>597</v>
      </c>
      <c r="C765" s="6">
        <v>6</v>
      </c>
      <c r="D765" s="6">
        <v>5</v>
      </c>
      <c r="E765" s="6">
        <v>7</v>
      </c>
      <c r="F765" s="6">
        <v>18</v>
      </c>
      <c r="G765" s="6">
        <v>764</v>
      </c>
      <c r="H765" s="7"/>
    </row>
    <row r="766" spans="1:8">
      <c r="A766" s="4" t="str">
        <f>HYPERLINK("https://scryfall.com/card/c16/32/ikra-shidiqi-the-usurper","Ikra Shidiqi, the Usurper")</f>
        <v>Ikra Shidiqi, the Usurper</v>
      </c>
      <c r="B766" s="5">
        <v>598</v>
      </c>
      <c r="C766" s="6">
        <v>3</v>
      </c>
      <c r="D766" s="6">
        <v>8</v>
      </c>
      <c r="E766" s="6">
        <v>7</v>
      </c>
      <c r="F766" s="6">
        <v>18</v>
      </c>
      <c r="G766" s="6">
        <v>765</v>
      </c>
      <c r="H766" s="7"/>
    </row>
    <row r="767" spans="1:8">
      <c r="A767" s="4" t="s">
        <v>356</v>
      </c>
      <c r="B767" s="5">
        <v>600</v>
      </c>
      <c r="C767" s="6">
        <v>3</v>
      </c>
      <c r="D767" s="6">
        <v>7</v>
      </c>
      <c r="E767" s="6">
        <v>8</v>
      </c>
      <c r="F767" s="6">
        <v>18</v>
      </c>
      <c r="G767" s="6">
        <v>766</v>
      </c>
      <c r="H767" s="7"/>
    </row>
    <row r="768" spans="1:8">
      <c r="A768" s="4" t="s">
        <v>360</v>
      </c>
      <c r="B768" s="5">
        <v>606</v>
      </c>
      <c r="C768" s="6">
        <v>2</v>
      </c>
      <c r="D768" s="6">
        <v>8</v>
      </c>
      <c r="E768" s="6">
        <v>8</v>
      </c>
      <c r="F768" s="6">
        <v>18</v>
      </c>
      <c r="G768" s="6">
        <v>767</v>
      </c>
      <c r="H768" s="7"/>
    </row>
    <row r="769" spans="1:8">
      <c r="A769" s="4" t="str">
        <f>HYPERLINK("https://scryfall.com/card/cns/23/muzzio-visionary-architect","Muzzio, Visionary Architect")</f>
        <v>Muzzio, Visionary Architect</v>
      </c>
      <c r="B769" s="5">
        <v>607</v>
      </c>
      <c r="C769" s="6">
        <v>5</v>
      </c>
      <c r="D769" s="6">
        <v>7</v>
      </c>
      <c r="E769" s="6">
        <v>6</v>
      </c>
      <c r="F769" s="6">
        <v>18</v>
      </c>
      <c r="G769" s="6">
        <v>768</v>
      </c>
      <c r="H769" s="7"/>
    </row>
    <row r="770" spans="1:8">
      <c r="A770" s="4" t="str">
        <f>HYPERLINK("https://scryfall.com/card/m19/225/vaevictis-asmadi-the-dire","Vaevictis Asmadi, the Dire")</f>
        <v>Vaevictis Asmadi, the Dire</v>
      </c>
      <c r="B770" s="5">
        <v>611</v>
      </c>
      <c r="C770" s="6">
        <v>3</v>
      </c>
      <c r="D770" s="6">
        <v>9</v>
      </c>
      <c r="E770" s="6">
        <v>6</v>
      </c>
      <c r="F770" s="6">
        <v>18</v>
      </c>
      <c r="G770" s="6">
        <v>769</v>
      </c>
      <c r="H770" s="7"/>
    </row>
    <row r="771" spans="1:8">
      <c r="A771" s="4" t="s">
        <v>362</v>
      </c>
      <c r="B771" s="5">
        <v>613</v>
      </c>
      <c r="C771" s="6">
        <v>4</v>
      </c>
      <c r="D771" s="6">
        <v>7</v>
      </c>
      <c r="E771" s="6">
        <v>7</v>
      </c>
      <c r="F771" s="6">
        <v>18</v>
      </c>
      <c r="G771" s="6">
        <v>770</v>
      </c>
      <c r="H771" s="7"/>
    </row>
    <row r="772" spans="1:8">
      <c r="A772" s="4" t="str">
        <f>HYPERLINK("https://scryfall.com/card/dom/26/lyra-dawnbringer","Lyra Dawnbringer")</f>
        <v>Lyra Dawnbringer</v>
      </c>
      <c r="B772" s="5">
        <v>625</v>
      </c>
      <c r="C772" s="6">
        <v>2</v>
      </c>
      <c r="D772" s="6">
        <v>6</v>
      </c>
      <c r="E772" s="6">
        <v>10</v>
      </c>
      <c r="F772" s="6">
        <v>18</v>
      </c>
      <c r="G772" s="6">
        <v>771</v>
      </c>
      <c r="H772" s="7"/>
    </row>
    <row r="773" spans="1:8">
      <c r="A773" s="4" t="str">
        <f>HYPERLINK("https://scryfall.com/card/bbd/12/toothy-imaginary-friend","Toothy, Imaginary Friend")</f>
        <v>Toothy, Imaginary Friend</v>
      </c>
      <c r="B773" s="5">
        <v>634</v>
      </c>
      <c r="C773" s="6">
        <v>5</v>
      </c>
      <c r="D773" s="6">
        <v>7</v>
      </c>
      <c r="E773" s="6">
        <v>6</v>
      </c>
      <c r="F773" s="6">
        <v>18</v>
      </c>
      <c r="G773" s="6">
        <v>772</v>
      </c>
      <c r="H773" s="7"/>
    </row>
    <row r="774" spans="1:8">
      <c r="A774" s="4" t="s">
        <v>376</v>
      </c>
      <c r="B774" s="5">
        <v>635</v>
      </c>
      <c r="C774" s="6">
        <v>3</v>
      </c>
      <c r="D774" s="6">
        <v>8</v>
      </c>
      <c r="E774" s="6">
        <v>7</v>
      </c>
      <c r="F774" s="6">
        <v>18</v>
      </c>
      <c r="G774" s="6">
        <v>773</v>
      </c>
      <c r="H774" s="7"/>
    </row>
    <row r="775" spans="1:8">
      <c r="A775" s="4" t="str">
        <f>HYPERLINK("https://scryfall.com/card/thb/9/daxos-blessed-by-the-sun","Daxos, Blessed by the Sun")</f>
        <v>Daxos, Blessed by the Sun</v>
      </c>
      <c r="B775" s="5">
        <v>636</v>
      </c>
      <c r="C775" s="6">
        <v>1</v>
      </c>
      <c r="D775" s="6">
        <v>8</v>
      </c>
      <c r="E775" s="6">
        <v>9</v>
      </c>
      <c r="F775" s="6">
        <v>18</v>
      </c>
      <c r="G775" s="6">
        <v>774</v>
      </c>
      <c r="H775" s="7"/>
    </row>
    <row r="776" spans="1:8">
      <c r="A776" s="4" t="s">
        <v>378</v>
      </c>
      <c r="B776" s="5">
        <v>641</v>
      </c>
      <c r="C776" s="6">
        <v>5</v>
      </c>
      <c r="D776" s="6">
        <v>7</v>
      </c>
      <c r="E776" s="6">
        <v>6</v>
      </c>
      <c r="F776" s="6">
        <v>18</v>
      </c>
      <c r="G776" s="6">
        <v>775</v>
      </c>
      <c r="H776" s="7"/>
    </row>
    <row r="777" spans="1:8">
      <c r="A777" s="4" t="s">
        <v>380</v>
      </c>
      <c r="B777" s="5">
        <v>643</v>
      </c>
      <c r="C777" s="6">
        <v>3</v>
      </c>
      <c r="D777" s="6">
        <v>5</v>
      </c>
      <c r="E777" s="6">
        <v>10</v>
      </c>
      <c r="F777" s="6">
        <v>18</v>
      </c>
      <c r="G777" s="6">
        <v>776</v>
      </c>
      <c r="H777" s="7"/>
    </row>
    <row r="778" spans="1:8">
      <c r="A778" s="4" t="s">
        <v>385</v>
      </c>
      <c r="B778" s="5">
        <v>648</v>
      </c>
      <c r="C778" s="6">
        <v>5</v>
      </c>
      <c r="D778" s="6">
        <v>7</v>
      </c>
      <c r="E778" s="6">
        <v>6</v>
      </c>
      <c r="F778" s="6">
        <v>18</v>
      </c>
      <c r="G778" s="6">
        <v>777</v>
      </c>
      <c r="H778" s="7"/>
    </row>
    <row r="779" spans="1:8">
      <c r="A779" s="4" t="str">
        <f>HYPERLINK("https://scryfall.com/card/thb/220/klothys-god-of-destiny","Klothys, God of Destiny")</f>
        <v>Klothys, God of Destiny</v>
      </c>
      <c r="B779" s="5">
        <v>658</v>
      </c>
      <c r="C779" s="6">
        <v>3</v>
      </c>
      <c r="D779" s="6">
        <v>5</v>
      </c>
      <c r="E779" s="6">
        <v>10</v>
      </c>
      <c r="F779" s="6">
        <v>18</v>
      </c>
      <c r="G779" s="6">
        <v>778</v>
      </c>
      <c r="H779" s="7"/>
    </row>
    <row r="780" spans="1:8">
      <c r="A780" s="4" t="str">
        <f>HYPERLINK("https://scryfall.com/card/c18/51/yennett-cryptic-sovereign","Yennett, Cryptic Sovereign")</f>
        <v>Yennett, Cryptic Sovereign</v>
      </c>
      <c r="B780" s="5">
        <v>660</v>
      </c>
      <c r="C780" s="6">
        <v>4</v>
      </c>
      <c r="D780" s="6">
        <v>9</v>
      </c>
      <c r="E780" s="6">
        <v>5</v>
      </c>
      <c r="F780" s="6">
        <v>18</v>
      </c>
      <c r="G780" s="6">
        <v>779</v>
      </c>
      <c r="H780" s="7"/>
    </row>
    <row r="781" spans="1:8">
      <c r="A781" s="10" t="s">
        <v>392</v>
      </c>
      <c r="B781" s="5">
        <v>662</v>
      </c>
      <c r="C781" s="11">
        <v>6</v>
      </c>
      <c r="D781" s="11">
        <v>7</v>
      </c>
      <c r="E781" s="11">
        <v>5</v>
      </c>
      <c r="F781" s="11">
        <v>18</v>
      </c>
      <c r="G781" s="6">
        <v>780</v>
      </c>
      <c r="H781" s="7"/>
    </row>
    <row r="782" spans="1:8">
      <c r="A782" s="4" t="str">
        <f>HYPERLINK("https://scryfall.com/card/mma/193/oona-queen-of-the-fae","Oona, Queen of the Fae")</f>
        <v>Oona, Queen of the Fae</v>
      </c>
      <c r="B782" s="5">
        <v>681</v>
      </c>
      <c r="C782" s="6">
        <v>3</v>
      </c>
      <c r="D782" s="6">
        <v>6</v>
      </c>
      <c r="E782" s="6">
        <v>9</v>
      </c>
      <c r="F782" s="6">
        <v>18</v>
      </c>
      <c r="G782" s="6">
        <v>781</v>
      </c>
      <c r="H782" s="7"/>
    </row>
    <row r="783" spans="1:8">
      <c r="A783" s="4" t="s">
        <v>410</v>
      </c>
      <c r="B783" s="5">
        <v>691</v>
      </c>
      <c r="C783" s="6">
        <v>3</v>
      </c>
      <c r="D783" s="6">
        <v>5</v>
      </c>
      <c r="E783" s="6">
        <v>10</v>
      </c>
      <c r="F783" s="6">
        <v>18</v>
      </c>
      <c r="G783" s="6">
        <v>782</v>
      </c>
      <c r="H783" s="7"/>
    </row>
    <row r="784" spans="1:8">
      <c r="A784" s="4" t="s">
        <v>423</v>
      </c>
      <c r="B784" s="5">
        <v>707</v>
      </c>
      <c r="C784" s="6">
        <v>4</v>
      </c>
      <c r="D784" s="6">
        <v>5</v>
      </c>
      <c r="E784" s="6">
        <v>9</v>
      </c>
      <c r="F784" s="6">
        <v>18</v>
      </c>
      <c r="G784" s="6">
        <v>783</v>
      </c>
      <c r="H784" s="7"/>
    </row>
    <row r="785" spans="1:8">
      <c r="A785" s="4" t="str">
        <f>HYPERLINK("https://scryfall.com/card/isd/23/mikaeus-the-lunarch","Mikaeus, the Lunarch")</f>
        <v>Mikaeus, the Lunarch</v>
      </c>
      <c r="B785" s="5">
        <v>711</v>
      </c>
      <c r="C785" s="6">
        <v>4</v>
      </c>
      <c r="D785" s="6">
        <v>6</v>
      </c>
      <c r="E785" s="6">
        <v>8</v>
      </c>
      <c r="F785" s="6">
        <v>18</v>
      </c>
      <c r="G785" s="6">
        <v>784</v>
      </c>
      <c r="H785" s="7"/>
    </row>
    <row r="786" spans="1:8">
      <c r="A786" s="4" t="s">
        <v>428</v>
      </c>
      <c r="B786" s="5">
        <v>716</v>
      </c>
      <c r="C786" s="6">
        <v>5</v>
      </c>
      <c r="D786" s="6">
        <v>7</v>
      </c>
      <c r="E786" s="6">
        <v>6</v>
      </c>
      <c r="F786" s="6">
        <v>18</v>
      </c>
      <c r="G786" s="6">
        <v>785</v>
      </c>
      <c r="H786" s="7"/>
    </row>
    <row r="787" spans="1:8">
      <c r="A787" s="4" t="s">
        <v>436</v>
      </c>
      <c r="B787" s="5">
        <v>726</v>
      </c>
      <c r="C787" s="6">
        <v>3</v>
      </c>
      <c r="D787" s="6">
        <v>9</v>
      </c>
      <c r="E787" s="6">
        <v>6</v>
      </c>
      <c r="F787" s="6">
        <v>18</v>
      </c>
      <c r="G787" s="6">
        <v>786</v>
      </c>
      <c r="H787" s="7"/>
    </row>
    <row r="788" spans="1:8">
      <c r="A788" s="4" t="s">
        <v>441</v>
      </c>
      <c r="B788" s="5">
        <v>732</v>
      </c>
      <c r="C788" s="6">
        <v>2</v>
      </c>
      <c r="D788" s="6">
        <v>7</v>
      </c>
      <c r="E788" s="6">
        <v>9</v>
      </c>
      <c r="F788" s="6">
        <v>18</v>
      </c>
      <c r="G788" s="6">
        <v>787</v>
      </c>
      <c r="H788" s="7"/>
    </row>
    <row r="789" spans="1:8">
      <c r="A789" s="4" t="s">
        <v>445</v>
      </c>
      <c r="B789" s="5">
        <v>736</v>
      </c>
      <c r="C789" s="6">
        <v>3</v>
      </c>
      <c r="D789" s="6">
        <v>6</v>
      </c>
      <c r="E789" s="6">
        <v>9</v>
      </c>
      <c r="F789" s="6">
        <v>18</v>
      </c>
      <c r="G789" s="6">
        <v>788</v>
      </c>
      <c r="H789" s="7"/>
    </row>
    <row r="790" spans="1:8">
      <c r="A790" s="4" t="s">
        <v>447</v>
      </c>
      <c r="B790" s="5">
        <v>738</v>
      </c>
      <c r="C790" s="6">
        <v>2</v>
      </c>
      <c r="D790" s="6">
        <v>7</v>
      </c>
      <c r="E790" s="6">
        <v>9</v>
      </c>
      <c r="F790" s="6">
        <v>18</v>
      </c>
      <c r="G790" s="6">
        <v>789</v>
      </c>
      <c r="H790" s="7"/>
    </row>
    <row r="791" spans="1:8">
      <c r="A791" s="4" t="s">
        <v>449</v>
      </c>
      <c r="B791" s="5">
        <v>740</v>
      </c>
      <c r="C791" s="6">
        <v>3</v>
      </c>
      <c r="D791" s="6">
        <v>6</v>
      </c>
      <c r="E791" s="6">
        <v>9</v>
      </c>
      <c r="F791" s="6">
        <v>18</v>
      </c>
      <c r="G791" s="6">
        <v>790</v>
      </c>
      <c r="H791" s="7"/>
    </row>
    <row r="792" spans="1:8">
      <c r="A792" s="4" t="s">
        <v>461</v>
      </c>
      <c r="B792" s="5">
        <v>758</v>
      </c>
      <c r="C792" s="6">
        <v>4</v>
      </c>
      <c r="D792" s="6">
        <v>7</v>
      </c>
      <c r="E792" s="6">
        <v>7</v>
      </c>
      <c r="F792" s="6">
        <v>18</v>
      </c>
      <c r="G792" s="6">
        <v>791</v>
      </c>
      <c r="H792" s="7"/>
    </row>
    <row r="793" spans="1:8">
      <c r="A793" s="10" t="s">
        <v>470</v>
      </c>
      <c r="B793" s="5">
        <v>768</v>
      </c>
      <c r="C793" s="11">
        <v>7</v>
      </c>
      <c r="D793" s="11">
        <v>6</v>
      </c>
      <c r="E793" s="11">
        <v>5</v>
      </c>
      <c r="F793" s="11">
        <v>18</v>
      </c>
      <c r="G793" s="6">
        <v>792</v>
      </c>
      <c r="H793" s="7"/>
    </row>
    <row r="794" spans="1:8">
      <c r="A794" s="4" t="str">
        <f>HYPERLINK("https://scryfall.com/card/shm/237/rhys-the-redeemed","Rhys the Redeemed")</f>
        <v>Rhys the Redeemed</v>
      </c>
      <c r="B794" s="5">
        <v>769</v>
      </c>
      <c r="C794" s="6">
        <v>3</v>
      </c>
      <c r="D794" s="6">
        <v>8</v>
      </c>
      <c r="E794" s="6">
        <v>7</v>
      </c>
      <c r="F794" s="6">
        <v>18</v>
      </c>
      <c r="G794" s="6">
        <v>793</v>
      </c>
      <c r="H794" s="7"/>
    </row>
    <row r="795" spans="1:8">
      <c r="A795" s="4" t="str">
        <f>HYPERLINK("https://scryfall.com/card/dis/110/experiment-kraj","Experiment Kraj")</f>
        <v>Experiment Kraj</v>
      </c>
      <c r="B795" s="5">
        <v>771</v>
      </c>
      <c r="C795" s="6">
        <v>5</v>
      </c>
      <c r="D795" s="6">
        <v>8</v>
      </c>
      <c r="E795" s="6">
        <v>5</v>
      </c>
      <c r="F795" s="6">
        <v>18</v>
      </c>
      <c r="G795" s="6">
        <v>794</v>
      </c>
      <c r="H795" s="7"/>
    </row>
    <row r="796" spans="1:8">
      <c r="A796" s="4" t="s">
        <v>475</v>
      </c>
      <c r="B796" s="5">
        <v>776</v>
      </c>
      <c r="C796" s="6">
        <v>5</v>
      </c>
      <c r="D796" s="6">
        <v>7</v>
      </c>
      <c r="E796" s="6">
        <v>6</v>
      </c>
      <c r="F796" s="6">
        <v>18</v>
      </c>
      <c r="G796" s="6">
        <v>795</v>
      </c>
      <c r="H796" s="7"/>
    </row>
    <row r="797" spans="1:8">
      <c r="A797" s="4" t="s">
        <v>478</v>
      </c>
      <c r="B797" s="5">
        <v>780</v>
      </c>
      <c r="C797" s="6">
        <v>3</v>
      </c>
      <c r="D797" s="6">
        <v>7</v>
      </c>
      <c r="E797" s="6">
        <v>8</v>
      </c>
      <c r="F797" s="6">
        <v>18</v>
      </c>
      <c r="G797" s="6">
        <v>796</v>
      </c>
      <c r="H797" s="7"/>
    </row>
    <row r="798" spans="1:8">
      <c r="A798" s="4" t="s">
        <v>482</v>
      </c>
      <c r="B798" s="5">
        <v>787</v>
      </c>
      <c r="C798" s="6">
        <v>4</v>
      </c>
      <c r="D798" s="6">
        <v>6</v>
      </c>
      <c r="E798" s="6">
        <v>8</v>
      </c>
      <c r="F798" s="6">
        <v>18</v>
      </c>
      <c r="G798" s="6">
        <v>797</v>
      </c>
      <c r="H798" s="7"/>
    </row>
    <row r="799" spans="1:8">
      <c r="A799" s="4" t="str">
        <f>HYPERLINK("https://scryfall.com/card/c19/50/tahngarth-first-mate","Tahngarth, First Mate")</f>
        <v>Tahngarth, First Mate</v>
      </c>
      <c r="B799" s="5">
        <v>792</v>
      </c>
      <c r="C799" s="6">
        <v>3</v>
      </c>
      <c r="D799" s="6">
        <v>8</v>
      </c>
      <c r="E799" s="6">
        <v>7</v>
      </c>
      <c r="F799" s="6">
        <v>18</v>
      </c>
      <c r="G799" s="6">
        <v>798</v>
      </c>
      <c r="H799" s="7"/>
    </row>
    <row r="800" spans="1:8">
      <c r="A800" s="4" t="str">
        <f>HYPERLINK("https://scryfall.com/card/cmd/220/riku-of-two-reflections","Riku of Two Reflections")</f>
        <v>Riku of Two Reflections</v>
      </c>
      <c r="B800" s="5">
        <v>793</v>
      </c>
      <c r="C800" s="6">
        <v>3</v>
      </c>
      <c r="D800" s="6">
        <v>10</v>
      </c>
      <c r="E800" s="6">
        <v>5</v>
      </c>
      <c r="F800" s="6">
        <v>18</v>
      </c>
      <c r="G800" s="6">
        <v>799</v>
      </c>
      <c r="H800" s="7"/>
    </row>
    <row r="801" spans="1:8">
      <c r="A801" s="4" t="s">
        <v>488</v>
      </c>
      <c r="B801" s="5">
        <v>798</v>
      </c>
      <c r="C801" s="6">
        <v>5</v>
      </c>
      <c r="D801" s="6">
        <v>5</v>
      </c>
      <c r="E801" s="6">
        <v>8</v>
      </c>
      <c r="F801" s="6">
        <v>18</v>
      </c>
      <c r="G801" s="6">
        <v>800</v>
      </c>
      <c r="H801" s="7"/>
    </row>
    <row r="802" spans="1:8">
      <c r="A802" s="4" t="s">
        <v>495</v>
      </c>
      <c r="B802" s="5">
        <v>809</v>
      </c>
      <c r="C802" s="6">
        <v>3</v>
      </c>
      <c r="D802" s="6">
        <v>6</v>
      </c>
      <c r="E802" s="6">
        <v>9</v>
      </c>
      <c r="F802" s="6">
        <v>18</v>
      </c>
      <c r="G802" s="6">
        <v>801</v>
      </c>
      <c r="H802" s="7"/>
    </row>
    <row r="803" spans="1:8">
      <c r="A803" s="4" t="s">
        <v>500</v>
      </c>
      <c r="B803" s="5">
        <v>816</v>
      </c>
      <c r="C803" s="6">
        <v>3</v>
      </c>
      <c r="D803" s="6">
        <v>7</v>
      </c>
      <c r="E803" s="6">
        <v>8</v>
      </c>
      <c r="F803" s="6">
        <v>18</v>
      </c>
      <c r="G803" s="6">
        <v>802</v>
      </c>
      <c r="H803" s="7"/>
    </row>
    <row r="804" spans="1:8">
      <c r="A804" s="4" t="s">
        <v>501</v>
      </c>
      <c r="B804" s="5">
        <v>817</v>
      </c>
      <c r="C804" s="6">
        <v>3</v>
      </c>
      <c r="D804" s="6">
        <v>8</v>
      </c>
      <c r="E804" s="6">
        <v>7</v>
      </c>
      <c r="F804" s="6">
        <v>18</v>
      </c>
      <c r="G804" s="6">
        <v>803</v>
      </c>
      <c r="H804" s="7"/>
    </row>
    <row r="805" spans="1:8">
      <c r="A805" s="4" t="str">
        <f>HYPERLINK("https://scryfall.com/card/war/197/feather-the-redeemed","Feather, the Redeemed")</f>
        <v>Feather, the Redeemed</v>
      </c>
      <c r="B805" s="5">
        <v>825</v>
      </c>
      <c r="C805" s="6">
        <v>5</v>
      </c>
      <c r="D805" s="6">
        <v>6</v>
      </c>
      <c r="E805" s="6">
        <v>7</v>
      </c>
      <c r="F805" s="6">
        <v>18</v>
      </c>
      <c r="G805" s="6">
        <v>804</v>
      </c>
      <c r="H805" s="7"/>
    </row>
    <row r="806" spans="1:8">
      <c r="A806" s="4" t="str">
        <f>HYPERLINK("https://scryfall.com/card/ktk/199/sidisi-brood-tyrant","Sidisi, Brood Tyrant")</f>
        <v>Sidisi, Brood Tyrant</v>
      </c>
      <c r="B806" s="5">
        <v>831</v>
      </c>
      <c r="C806" s="6">
        <v>4</v>
      </c>
      <c r="D806" s="6">
        <v>8</v>
      </c>
      <c r="E806" s="6">
        <v>6</v>
      </c>
      <c r="F806" s="6">
        <v>18</v>
      </c>
      <c r="G806" s="6">
        <v>805</v>
      </c>
      <c r="H806" s="7"/>
    </row>
    <row r="807" spans="1:8">
      <c r="A807" s="4" t="s">
        <v>511</v>
      </c>
      <c r="B807" s="5">
        <v>835</v>
      </c>
      <c r="C807" s="6">
        <v>4</v>
      </c>
      <c r="D807" s="6">
        <v>7</v>
      </c>
      <c r="E807" s="6">
        <v>7</v>
      </c>
      <c r="F807" s="6">
        <v>18</v>
      </c>
      <c r="G807" s="6">
        <v>806</v>
      </c>
      <c r="H807" s="7"/>
    </row>
    <row r="808" spans="1:8">
      <c r="A808" s="4" t="s">
        <v>517</v>
      </c>
      <c r="B808" s="5">
        <v>844</v>
      </c>
      <c r="C808" s="6">
        <v>5</v>
      </c>
      <c r="D808" s="6">
        <v>7</v>
      </c>
      <c r="E808" s="6">
        <v>6</v>
      </c>
      <c r="F808" s="6">
        <v>18</v>
      </c>
      <c r="G808" s="6">
        <v>807</v>
      </c>
      <c r="H808" s="7"/>
    </row>
    <row r="809" spans="1:8">
      <c r="A809" s="4" t="s">
        <v>523</v>
      </c>
      <c r="B809" s="5">
        <v>854</v>
      </c>
      <c r="C809" s="6">
        <v>3</v>
      </c>
      <c r="D809" s="6">
        <v>7</v>
      </c>
      <c r="E809" s="6">
        <v>8</v>
      </c>
      <c r="F809" s="6">
        <v>18</v>
      </c>
      <c r="G809" s="6">
        <v>808</v>
      </c>
      <c r="H809" s="7"/>
    </row>
    <row r="810" spans="1:8">
      <c r="A810" s="4" t="s">
        <v>526</v>
      </c>
      <c r="B810" s="5">
        <v>858</v>
      </c>
      <c r="C810" s="6">
        <v>2</v>
      </c>
      <c r="D810" s="6">
        <v>7</v>
      </c>
      <c r="E810" s="6">
        <v>9</v>
      </c>
      <c r="F810" s="6">
        <v>18</v>
      </c>
      <c r="G810" s="6">
        <v>809</v>
      </c>
      <c r="H810" s="7"/>
    </row>
    <row r="811" spans="1:8">
      <c r="A811" s="4" t="str">
        <f>HYPERLINK("https://scryfall.com/card/aer/74/yahenni-undying-partisan","Yahenni, Undying Partisan")</f>
        <v>Yahenni, Undying Partisan</v>
      </c>
      <c r="B811" s="5">
        <v>864</v>
      </c>
      <c r="C811" s="6">
        <v>4</v>
      </c>
      <c r="D811" s="6">
        <v>7</v>
      </c>
      <c r="E811" s="6">
        <v>7</v>
      </c>
      <c r="F811" s="6">
        <v>18</v>
      </c>
      <c r="G811" s="6">
        <v>810</v>
      </c>
      <c r="H811" s="7"/>
    </row>
    <row r="812" spans="1:8">
      <c r="A812" s="4" t="s">
        <v>532</v>
      </c>
      <c r="B812" s="5">
        <v>868</v>
      </c>
      <c r="C812" s="6">
        <v>3</v>
      </c>
      <c r="D812" s="6">
        <v>6</v>
      </c>
      <c r="E812" s="6">
        <v>9</v>
      </c>
      <c r="F812" s="6">
        <v>18</v>
      </c>
      <c r="G812" s="6">
        <v>811</v>
      </c>
      <c r="H812" s="7"/>
    </row>
    <row r="813" spans="1:8">
      <c r="A813" s="4" t="s">
        <v>535</v>
      </c>
      <c r="B813" s="5">
        <v>873</v>
      </c>
      <c r="C813" s="6">
        <v>3</v>
      </c>
      <c r="D813" s="6">
        <v>8</v>
      </c>
      <c r="E813" s="6">
        <v>7</v>
      </c>
      <c r="F813" s="6">
        <v>18</v>
      </c>
      <c r="G813" s="6">
        <v>812</v>
      </c>
      <c r="H813" s="7"/>
    </row>
    <row r="814" spans="1:8">
      <c r="A814" s="4" t="str">
        <f>HYPERLINK("https://scryfall.com/card/gk1/69/savra-queen-of-the-golgari","Savra, Queen of the Golgari")</f>
        <v>Savra, Queen of the Golgari</v>
      </c>
      <c r="B814" s="5">
        <v>884</v>
      </c>
      <c r="C814" s="6">
        <v>3</v>
      </c>
      <c r="D814" s="6">
        <v>7</v>
      </c>
      <c r="E814" s="6">
        <v>8</v>
      </c>
      <c r="F814" s="6">
        <v>18</v>
      </c>
      <c r="G814" s="6">
        <v>813</v>
      </c>
      <c r="H814" s="7"/>
    </row>
    <row r="815" spans="1:8">
      <c r="A815" s="4" t="str">
        <f>HYPERLINK("https://scryfall.com/card/dom/108/torgaar-famine-incarnate","Torgaar, Famine Incarnate")</f>
        <v>Torgaar, Famine Incarnate</v>
      </c>
      <c r="B815" s="5">
        <v>885</v>
      </c>
      <c r="C815" s="6">
        <v>3</v>
      </c>
      <c r="D815" s="6">
        <v>8</v>
      </c>
      <c r="E815" s="6">
        <v>7</v>
      </c>
      <c r="F815" s="6">
        <v>18</v>
      </c>
      <c r="G815" s="6">
        <v>814</v>
      </c>
      <c r="H815" s="7"/>
    </row>
    <row r="816" spans="1:8">
      <c r="A816" s="4" t="s">
        <v>542</v>
      </c>
      <c r="B816" s="5">
        <v>886</v>
      </c>
      <c r="C816" s="6">
        <v>4</v>
      </c>
      <c r="D816" s="6">
        <v>6</v>
      </c>
      <c r="E816" s="6">
        <v>8</v>
      </c>
      <c r="F816" s="6">
        <v>18</v>
      </c>
      <c r="G816" s="6">
        <v>815</v>
      </c>
      <c r="H816" s="7"/>
    </row>
    <row r="817" spans="1:8">
      <c r="A817" s="4" t="str">
        <f>HYPERLINK("https://scryfall.com/card/dtk/217/dragonlord-dromoka","Dragonlord Dromoka")</f>
        <v>Dragonlord Dromoka</v>
      </c>
      <c r="B817" s="5">
        <v>903</v>
      </c>
      <c r="C817" s="6">
        <v>5</v>
      </c>
      <c r="D817" s="6">
        <v>6</v>
      </c>
      <c r="E817" s="6">
        <v>7</v>
      </c>
      <c r="F817" s="6">
        <v>18</v>
      </c>
      <c r="G817" s="6">
        <v>816</v>
      </c>
      <c r="H817" s="7"/>
    </row>
    <row r="818" spans="1:8">
      <c r="A818" s="4" t="s">
        <v>554</v>
      </c>
      <c r="B818" s="5">
        <v>904</v>
      </c>
      <c r="C818" s="6">
        <v>3</v>
      </c>
      <c r="D818" s="6">
        <v>9</v>
      </c>
      <c r="E818" s="6">
        <v>6</v>
      </c>
      <c r="F818" s="6">
        <v>18</v>
      </c>
      <c r="G818" s="6">
        <v>817</v>
      </c>
      <c r="H818" s="7"/>
    </row>
    <row r="819" spans="1:8">
      <c r="A819" s="4" t="str">
        <f>HYPERLINK("https://scryfall.com/card/gk1/102/trostani-selesnyas-voice","Trostani, Selesnya's Voice")</f>
        <v>Trostani, Selesnya's Voice</v>
      </c>
      <c r="B819" s="5">
        <v>909</v>
      </c>
      <c r="C819" s="6">
        <v>3</v>
      </c>
      <c r="D819" s="6">
        <v>8</v>
      </c>
      <c r="E819" s="6">
        <v>7</v>
      </c>
      <c r="F819" s="6">
        <v>18</v>
      </c>
      <c r="G819" s="6">
        <v>818</v>
      </c>
      <c r="H819" s="7"/>
    </row>
    <row r="820" spans="1:8">
      <c r="A820" s="4" t="s">
        <v>568</v>
      </c>
      <c r="B820" s="5">
        <v>925</v>
      </c>
      <c r="C820" s="6">
        <v>2</v>
      </c>
      <c r="D820" s="6">
        <v>8</v>
      </c>
      <c r="E820" s="6">
        <v>8</v>
      </c>
      <c r="F820" s="6">
        <v>18</v>
      </c>
      <c r="G820" s="6">
        <v>819</v>
      </c>
      <c r="H820" s="7"/>
    </row>
    <row r="821" spans="1:8">
      <c r="A821" s="4" t="s">
        <v>569</v>
      </c>
      <c r="B821" s="5">
        <v>927</v>
      </c>
      <c r="C821" s="6">
        <v>2</v>
      </c>
      <c r="D821" s="6">
        <v>6</v>
      </c>
      <c r="E821" s="6">
        <v>10</v>
      </c>
      <c r="F821" s="6">
        <v>18</v>
      </c>
      <c r="G821" s="6">
        <v>820</v>
      </c>
      <c r="H821" s="7"/>
    </row>
    <row r="822" spans="1:8">
      <c r="A822" s="4" t="s">
        <v>579</v>
      </c>
      <c r="B822" s="5">
        <v>940</v>
      </c>
      <c r="C822" s="6">
        <v>4</v>
      </c>
      <c r="D822" s="6">
        <v>10</v>
      </c>
      <c r="E822" s="6">
        <v>4</v>
      </c>
      <c r="F822" s="6">
        <v>18</v>
      </c>
      <c r="G822" s="6">
        <v>821</v>
      </c>
      <c r="H822" s="7"/>
    </row>
    <row r="823" spans="1:8">
      <c r="A823" s="4" t="s">
        <v>583</v>
      </c>
      <c r="B823" s="5">
        <v>945</v>
      </c>
      <c r="C823" s="6">
        <v>3</v>
      </c>
      <c r="D823" s="6">
        <v>7</v>
      </c>
      <c r="E823" s="6">
        <v>8</v>
      </c>
      <c r="F823" s="6">
        <v>18</v>
      </c>
      <c r="G823" s="6">
        <v>822</v>
      </c>
      <c r="H823" s="7"/>
    </row>
    <row r="824" spans="1:8">
      <c r="A824" s="4" t="s">
        <v>588</v>
      </c>
      <c r="B824" s="5">
        <v>956</v>
      </c>
      <c r="C824" s="6">
        <v>3</v>
      </c>
      <c r="D824" s="6">
        <v>7</v>
      </c>
      <c r="E824" s="6">
        <v>8</v>
      </c>
      <c r="F824" s="6">
        <v>18</v>
      </c>
      <c r="G824" s="6">
        <v>823</v>
      </c>
      <c r="H824" s="7"/>
    </row>
    <row r="825" spans="1:8">
      <c r="A825" s="4" t="str">
        <f>HYPERLINK("https://scryfall.com/card/ogw/156/mina-and-denn-wildborn","Mina and Denn, Wildborn")</f>
        <v>Mina and Denn, Wildborn</v>
      </c>
      <c r="B825" s="5">
        <v>969</v>
      </c>
      <c r="C825" s="6">
        <v>6</v>
      </c>
      <c r="D825" s="6">
        <v>8</v>
      </c>
      <c r="E825" s="6">
        <v>4</v>
      </c>
      <c r="F825" s="6">
        <v>18</v>
      </c>
      <c r="G825" s="6">
        <v>824</v>
      </c>
      <c r="H825" s="7"/>
    </row>
    <row r="826" spans="1:8">
      <c r="A826" s="4" t="s">
        <v>592</v>
      </c>
      <c r="B826" s="5">
        <v>973</v>
      </c>
      <c r="C826" s="6">
        <v>4</v>
      </c>
      <c r="D826" s="6">
        <v>6</v>
      </c>
      <c r="E826" s="6">
        <v>8</v>
      </c>
      <c r="F826" s="6">
        <v>18</v>
      </c>
      <c r="G826" s="6">
        <v>825</v>
      </c>
      <c r="H826" s="7"/>
    </row>
    <row r="827" spans="1:8">
      <c r="A827" s="4" t="str">
        <f>HYPERLINK("https://scryfall.com/card/iko/224/kaheera-the-orphanguard","Kaheera, the Orphanguard")</f>
        <v>Kaheera, the Orphanguard</v>
      </c>
      <c r="B827" s="5">
        <v>974</v>
      </c>
      <c r="C827" s="6">
        <v>1</v>
      </c>
      <c r="D827" s="6">
        <v>8</v>
      </c>
      <c r="E827" s="6">
        <v>9</v>
      </c>
      <c r="F827" s="6">
        <v>18</v>
      </c>
      <c r="G827" s="6">
        <v>826</v>
      </c>
      <c r="H827" s="7"/>
    </row>
    <row r="828" spans="1:8">
      <c r="A828" s="4" t="s">
        <v>593</v>
      </c>
      <c r="B828" s="5">
        <v>976</v>
      </c>
      <c r="C828" s="6">
        <v>3</v>
      </c>
      <c r="D828" s="6">
        <v>5</v>
      </c>
      <c r="E828" s="6">
        <v>10</v>
      </c>
      <c r="F828" s="6">
        <v>18</v>
      </c>
      <c r="G828" s="6">
        <v>827</v>
      </c>
      <c r="H828" s="7"/>
    </row>
    <row r="829" spans="1:8">
      <c r="A829" s="4" t="str">
        <f>HYPERLINK("https://scryfall.com/card/gk1/77/aurelia-the-warleader","Aurelia, the Warleader")</f>
        <v>Aurelia, the Warleader</v>
      </c>
      <c r="B829" s="5">
        <v>979</v>
      </c>
      <c r="C829" s="6">
        <v>7</v>
      </c>
      <c r="D829" s="6">
        <v>3</v>
      </c>
      <c r="E829" s="6">
        <v>8</v>
      </c>
      <c r="F829" s="6">
        <v>18</v>
      </c>
      <c r="G829" s="6">
        <v>828</v>
      </c>
      <c r="H829" s="7"/>
    </row>
    <row r="830" spans="1:8">
      <c r="A830" s="4" t="s">
        <v>607</v>
      </c>
      <c r="B830" s="5">
        <v>1001</v>
      </c>
      <c r="C830" s="6">
        <v>2</v>
      </c>
      <c r="D830" s="6">
        <v>8</v>
      </c>
      <c r="E830" s="6">
        <v>8</v>
      </c>
      <c r="F830" s="6">
        <v>18</v>
      </c>
      <c r="G830" s="6">
        <v>829</v>
      </c>
      <c r="H830" s="7"/>
    </row>
    <row r="831" spans="1:8">
      <c r="A831" s="4" t="s">
        <v>609</v>
      </c>
      <c r="B831" s="5">
        <v>1003</v>
      </c>
      <c r="C831" s="6">
        <v>4</v>
      </c>
      <c r="D831" s="6">
        <v>7</v>
      </c>
      <c r="E831" s="6">
        <v>7</v>
      </c>
      <c r="F831" s="6">
        <v>18</v>
      </c>
      <c r="G831" s="6">
        <v>830</v>
      </c>
      <c r="H831" s="7"/>
    </row>
    <row r="832" spans="1:8">
      <c r="A832" s="4" t="str">
        <f>HYPERLINK("https://scryfall.com/card/eld/48/gadwick-the-wizened","Gadwick, the Wizened")</f>
        <v>Gadwick, the Wizened</v>
      </c>
      <c r="B832" s="5">
        <v>1012</v>
      </c>
      <c r="C832" s="6">
        <v>4</v>
      </c>
      <c r="D832" s="6">
        <v>8</v>
      </c>
      <c r="E832" s="6">
        <v>6</v>
      </c>
      <c r="F832" s="6">
        <v>18</v>
      </c>
      <c r="G832" s="6">
        <v>831</v>
      </c>
      <c r="H832" s="7"/>
    </row>
    <row r="833" spans="1:8">
      <c r="A833" s="4" t="s">
        <v>621</v>
      </c>
      <c r="B833" s="5">
        <v>1022</v>
      </c>
      <c r="C833" s="6">
        <v>2</v>
      </c>
      <c r="D833" s="6">
        <v>6</v>
      </c>
      <c r="E833" s="6">
        <v>10</v>
      </c>
      <c r="F833" s="6">
        <v>18</v>
      </c>
      <c r="G833" s="6">
        <v>832</v>
      </c>
      <c r="H833" s="7"/>
    </row>
    <row r="834" spans="1:8">
      <c r="A834" s="4" t="str">
        <f>HYPERLINK("https://scryfall.com/card/c20/3/nikara-lair-scavenger","Nikara, Lair Scavenger")</f>
        <v>Nikara, Lair Scavenger</v>
      </c>
      <c r="B834" s="5">
        <v>1038</v>
      </c>
      <c r="C834" s="6">
        <v>5</v>
      </c>
      <c r="D834" s="6">
        <v>7</v>
      </c>
      <c r="E834" s="6">
        <v>6</v>
      </c>
      <c r="F834" s="6">
        <v>18</v>
      </c>
      <c r="G834" s="6">
        <v>833</v>
      </c>
      <c r="H834" s="7"/>
    </row>
    <row r="835" spans="1:8">
      <c r="A835" s="4" t="s">
        <v>638</v>
      </c>
      <c r="B835" s="5">
        <v>1051</v>
      </c>
      <c r="C835" s="6">
        <v>3</v>
      </c>
      <c r="D835" s="6">
        <v>7</v>
      </c>
      <c r="E835" s="6">
        <v>8</v>
      </c>
      <c r="F835" s="6">
        <v>18</v>
      </c>
      <c r="G835" s="6">
        <v>834</v>
      </c>
      <c r="H835" s="7"/>
    </row>
    <row r="836" spans="1:8">
      <c r="A836" s="4" t="str">
        <f>HYPERLINK("https://scryfall.com/card/dde/48/rith-the-awakener","Rith, the Awakener")</f>
        <v>Rith, the Awakener</v>
      </c>
      <c r="B836" s="5">
        <v>1054</v>
      </c>
      <c r="C836" s="6">
        <v>3</v>
      </c>
      <c r="D836" s="6">
        <v>7</v>
      </c>
      <c r="E836" s="6">
        <v>8</v>
      </c>
      <c r="F836" s="6">
        <v>18</v>
      </c>
      <c r="G836" s="6">
        <v>835</v>
      </c>
      <c r="H836" s="7"/>
    </row>
    <row r="837" spans="1:8">
      <c r="A837" s="4" t="str">
        <f>HYPERLINK("https://scryfall.com/card/ths/66/thassa-god-of-the-sea","Thassa, God of the Sea")</f>
        <v>Thassa, God of the Sea</v>
      </c>
      <c r="B837" s="5">
        <v>1056</v>
      </c>
      <c r="C837" s="6">
        <v>4</v>
      </c>
      <c r="D837" s="6">
        <v>5</v>
      </c>
      <c r="E837" s="6">
        <v>9</v>
      </c>
      <c r="F837" s="6">
        <v>18</v>
      </c>
      <c r="G837" s="6">
        <v>836</v>
      </c>
      <c r="H837" s="7"/>
    </row>
    <row r="838" spans="1:8">
      <c r="A838" s="4" t="str">
        <f>HYPERLINK("https://scryfall.com/card/ktk/214/zurgo-helmsmasher","Zurgo Helmsmasher")</f>
        <v>Zurgo Helmsmasher</v>
      </c>
      <c r="B838" s="5">
        <v>1060</v>
      </c>
      <c r="C838" s="6">
        <v>3</v>
      </c>
      <c r="D838" s="6">
        <v>8</v>
      </c>
      <c r="E838" s="6">
        <v>7</v>
      </c>
      <c r="F838" s="6">
        <v>18</v>
      </c>
      <c r="G838" s="6">
        <v>837</v>
      </c>
      <c r="H838" s="7"/>
    </row>
    <row r="839" spans="1:8">
      <c r="A839" s="4" t="s">
        <v>645</v>
      </c>
      <c r="B839" s="5">
        <v>1071</v>
      </c>
      <c r="C839" s="6">
        <v>4</v>
      </c>
      <c r="D839" s="6">
        <v>7</v>
      </c>
      <c r="E839" s="6">
        <v>7</v>
      </c>
      <c r="F839" s="6">
        <v>18</v>
      </c>
      <c r="G839" s="6">
        <v>838</v>
      </c>
      <c r="H839" s="7"/>
    </row>
    <row r="840" spans="1:8">
      <c r="A840" s="4" t="str">
        <f>HYPERLINK("https://scryfall.com/card/m20/122/vilis-broker-of-blood","Vilis, Broker of Blood")</f>
        <v>Vilis, Broker of Blood</v>
      </c>
      <c r="B840" s="5">
        <v>1073</v>
      </c>
      <c r="C840" s="6">
        <v>3</v>
      </c>
      <c r="D840" s="6">
        <v>8</v>
      </c>
      <c r="E840" s="6">
        <v>7</v>
      </c>
      <c r="F840" s="6">
        <v>18</v>
      </c>
      <c r="G840" s="6">
        <v>839</v>
      </c>
      <c r="H840" s="7"/>
    </row>
    <row r="841" spans="1:8">
      <c r="A841" s="4" t="s">
        <v>646</v>
      </c>
      <c r="B841" s="5">
        <v>1074</v>
      </c>
      <c r="C841" s="6">
        <v>4</v>
      </c>
      <c r="D841" s="6">
        <v>6</v>
      </c>
      <c r="E841" s="6">
        <v>8</v>
      </c>
      <c r="F841" s="6">
        <v>18</v>
      </c>
      <c r="G841" s="6">
        <v>840</v>
      </c>
      <c r="H841" s="7"/>
    </row>
    <row r="842" spans="1:8">
      <c r="A842" s="4" t="s">
        <v>647</v>
      </c>
      <c r="B842" s="5">
        <v>1075</v>
      </c>
      <c r="C842" s="6">
        <v>4</v>
      </c>
      <c r="D842" s="6">
        <v>8</v>
      </c>
      <c r="E842" s="6">
        <v>6</v>
      </c>
      <c r="F842" s="6">
        <v>18</v>
      </c>
      <c r="G842" s="6">
        <v>841</v>
      </c>
      <c r="H842" s="7"/>
    </row>
    <row r="843" spans="1:8">
      <c r="A843" s="4" t="s">
        <v>649</v>
      </c>
      <c r="B843" s="5">
        <v>1077</v>
      </c>
      <c r="C843" s="6">
        <v>3</v>
      </c>
      <c r="D843" s="6">
        <v>8</v>
      </c>
      <c r="E843" s="6">
        <v>7</v>
      </c>
      <c r="F843" s="6">
        <v>18</v>
      </c>
      <c r="G843" s="6">
        <v>842</v>
      </c>
      <c r="H843" s="7"/>
    </row>
    <row r="844" spans="1:8">
      <c r="A844" s="4" t="str">
        <f>HYPERLINK("https://scryfall.com/card/c19/49/sevinne-the-chronoclasm","Sevinne, the Chronoclasm")</f>
        <v>Sevinne, the Chronoclasm</v>
      </c>
      <c r="B844" s="5">
        <v>1086</v>
      </c>
      <c r="C844" s="6">
        <v>4</v>
      </c>
      <c r="D844" s="6">
        <v>6</v>
      </c>
      <c r="E844" s="6">
        <v>8</v>
      </c>
      <c r="F844" s="6">
        <v>18</v>
      </c>
      <c r="G844" s="6">
        <v>843</v>
      </c>
      <c r="H844" s="7"/>
    </row>
    <row r="845" spans="1:8">
      <c r="A845" s="4" t="str">
        <f>HYPERLINK("https://scryfall.com/card/c15/42/arjun-the-shifting-flame","Arjun, the Shifting Flame")</f>
        <v>Arjun, the Shifting Flame</v>
      </c>
      <c r="B845" s="5">
        <v>1087</v>
      </c>
      <c r="C845" s="6">
        <v>5</v>
      </c>
      <c r="D845" s="6">
        <v>8</v>
      </c>
      <c r="E845" s="6">
        <v>5</v>
      </c>
      <c r="F845" s="6">
        <v>18</v>
      </c>
      <c r="G845" s="6">
        <v>844</v>
      </c>
      <c r="H845" s="7"/>
    </row>
    <row r="846" spans="1:8">
      <c r="A846" s="4" t="s">
        <v>657</v>
      </c>
      <c r="B846" s="5">
        <v>1089</v>
      </c>
      <c r="C846" s="6">
        <v>3</v>
      </c>
      <c r="D846" s="6">
        <v>10</v>
      </c>
      <c r="E846" s="6">
        <v>5</v>
      </c>
      <c r="F846" s="6">
        <v>18</v>
      </c>
      <c r="G846" s="6">
        <v>845</v>
      </c>
      <c r="H846" s="7"/>
    </row>
    <row r="847" spans="1:8">
      <c r="A847" s="4" t="s">
        <v>660</v>
      </c>
      <c r="B847" s="5">
        <v>1096</v>
      </c>
      <c r="C847" s="6">
        <v>5</v>
      </c>
      <c r="D847" s="6">
        <v>6</v>
      </c>
      <c r="E847" s="6">
        <v>7</v>
      </c>
      <c r="F847" s="6">
        <v>18</v>
      </c>
      <c r="G847" s="6">
        <v>846</v>
      </c>
      <c r="H847" s="7"/>
    </row>
    <row r="848" spans="1:8">
      <c r="A848" s="4" t="s">
        <v>662</v>
      </c>
      <c r="B848" s="5">
        <v>1098</v>
      </c>
      <c r="C848" s="6">
        <v>4</v>
      </c>
      <c r="D848" s="6">
        <v>8</v>
      </c>
      <c r="E848" s="6">
        <v>6</v>
      </c>
      <c r="F848" s="6">
        <v>18</v>
      </c>
      <c r="G848" s="6">
        <v>847</v>
      </c>
      <c r="H848" s="7"/>
    </row>
    <row r="849" spans="1:8">
      <c r="A849" s="4" t="s">
        <v>664</v>
      </c>
      <c r="B849" s="5">
        <v>1103</v>
      </c>
      <c r="C849" s="6">
        <v>2</v>
      </c>
      <c r="D849" s="6">
        <v>6</v>
      </c>
      <c r="E849" s="6">
        <v>10</v>
      </c>
      <c r="F849" s="6">
        <v>18</v>
      </c>
      <c r="G849" s="6">
        <v>848</v>
      </c>
      <c r="H849" s="7"/>
    </row>
    <row r="850" spans="1:8">
      <c r="A850" s="4" t="s">
        <v>673</v>
      </c>
      <c r="B850" s="5">
        <v>1117</v>
      </c>
      <c r="C850" s="6">
        <v>4</v>
      </c>
      <c r="D850" s="6">
        <v>6</v>
      </c>
      <c r="E850" s="6">
        <v>8</v>
      </c>
      <c r="F850" s="6">
        <v>18</v>
      </c>
      <c r="G850" s="6">
        <v>849</v>
      </c>
      <c r="H850" s="7"/>
    </row>
    <row r="851" spans="1:8">
      <c r="A851" s="4" t="str">
        <f>HYPERLINK("https://scryfall.com/card/thb/226/siona-captain-of-the-pyleas","Siona, Captain of the Pyleas")</f>
        <v>Siona, Captain of the Pyleas</v>
      </c>
      <c r="B851" s="5">
        <v>1137</v>
      </c>
      <c r="C851" s="6">
        <v>3</v>
      </c>
      <c r="D851" s="6">
        <v>7</v>
      </c>
      <c r="E851" s="6">
        <v>8</v>
      </c>
      <c r="F851" s="6">
        <v>18</v>
      </c>
      <c r="G851" s="6">
        <v>850</v>
      </c>
      <c r="H851" s="7"/>
    </row>
    <row r="852" spans="1:8">
      <c r="A852" s="4" t="str">
        <f>HYPERLINK("https://scryfall.com/card/c19/44/grismold-the-dreadsower","Grismold, the Dreadsower")</f>
        <v>Grismold, the Dreadsower</v>
      </c>
      <c r="B852" s="5">
        <v>1162</v>
      </c>
      <c r="C852" s="6">
        <v>2</v>
      </c>
      <c r="D852" s="6">
        <v>9</v>
      </c>
      <c r="E852" s="6">
        <v>7</v>
      </c>
      <c r="F852" s="6">
        <v>18</v>
      </c>
      <c r="G852" s="6">
        <v>851</v>
      </c>
      <c r="H852" s="7"/>
    </row>
    <row r="853" spans="1:8">
      <c r="A853" s="4" t="s">
        <v>704</v>
      </c>
      <c r="B853" s="5">
        <v>1165</v>
      </c>
      <c r="C853" s="6">
        <v>3</v>
      </c>
      <c r="D853" s="6">
        <v>6</v>
      </c>
      <c r="E853" s="6">
        <v>9</v>
      </c>
      <c r="F853" s="6">
        <v>18</v>
      </c>
      <c r="G853" s="6">
        <v>852</v>
      </c>
      <c r="H853" s="7"/>
    </row>
    <row r="854" spans="1:8">
      <c r="A854" s="4" t="s">
        <v>715</v>
      </c>
      <c r="B854" s="5">
        <v>1183</v>
      </c>
      <c r="C854" s="6">
        <v>5</v>
      </c>
      <c r="D854" s="6">
        <v>7</v>
      </c>
      <c r="E854" s="6">
        <v>6</v>
      </c>
      <c r="F854" s="6">
        <v>18</v>
      </c>
      <c r="G854" s="6">
        <v>853</v>
      </c>
      <c r="H854" s="7"/>
    </row>
    <row r="855" spans="1:8">
      <c r="A855" s="4" t="str">
        <f>HYPERLINK("https://scryfall.com/card/eld/192/grumgully-the-generous","Grumgully, the Generous")</f>
        <v>Grumgully, the Generous</v>
      </c>
      <c r="B855" s="5">
        <v>1184</v>
      </c>
      <c r="C855" s="6">
        <v>3</v>
      </c>
      <c r="D855" s="6">
        <v>8</v>
      </c>
      <c r="E855" s="6">
        <v>7</v>
      </c>
      <c r="F855" s="6">
        <v>18</v>
      </c>
      <c r="G855" s="6">
        <v>854</v>
      </c>
      <c r="H855" s="7"/>
    </row>
    <row r="856" spans="1:8">
      <c r="A856" s="4" t="s">
        <v>717</v>
      </c>
      <c r="B856" s="5">
        <v>1186</v>
      </c>
      <c r="C856" s="6">
        <v>4</v>
      </c>
      <c r="D856" s="6">
        <v>7</v>
      </c>
      <c r="E856" s="6">
        <v>7</v>
      </c>
      <c r="F856" s="6">
        <v>18</v>
      </c>
      <c r="G856" s="6">
        <v>855</v>
      </c>
      <c r="H856" s="7"/>
    </row>
    <row r="857" spans="1:8">
      <c r="A857" s="4" t="s">
        <v>721</v>
      </c>
      <c r="B857" s="5">
        <v>1195</v>
      </c>
      <c r="C857" s="6">
        <v>3</v>
      </c>
      <c r="D857" s="6">
        <v>7</v>
      </c>
      <c r="E857" s="6">
        <v>8</v>
      </c>
      <c r="F857" s="6">
        <v>18</v>
      </c>
      <c r="G857" s="6">
        <v>856</v>
      </c>
      <c r="H857" s="7"/>
    </row>
    <row r="858" spans="1:8">
      <c r="A858" s="4" t="s">
        <v>722</v>
      </c>
      <c r="B858" s="5">
        <v>1196</v>
      </c>
      <c r="C858" s="6">
        <v>3</v>
      </c>
      <c r="D858" s="6">
        <v>8</v>
      </c>
      <c r="E858" s="6">
        <v>7</v>
      </c>
      <c r="F858" s="6">
        <v>18</v>
      </c>
      <c r="G858" s="6">
        <v>857</v>
      </c>
      <c r="H858" s="7"/>
    </row>
    <row r="859" spans="1:8">
      <c r="A859" s="4" t="s">
        <v>724</v>
      </c>
      <c r="B859" s="5">
        <v>1200</v>
      </c>
      <c r="C859" s="6">
        <v>4</v>
      </c>
      <c r="D859" s="6">
        <v>6</v>
      </c>
      <c r="E859" s="6">
        <v>8</v>
      </c>
      <c r="F859" s="6">
        <v>18</v>
      </c>
      <c r="G859" s="6">
        <v>858</v>
      </c>
      <c r="H859" s="7"/>
    </row>
    <row r="860" spans="1:8">
      <c r="A860" s="4" t="s">
        <v>726</v>
      </c>
      <c r="B860" s="5">
        <v>1205</v>
      </c>
      <c r="C860" s="6">
        <v>4</v>
      </c>
      <c r="D860" s="6">
        <v>6</v>
      </c>
      <c r="E860" s="6">
        <v>8</v>
      </c>
      <c r="F860" s="6">
        <v>18</v>
      </c>
      <c r="G860" s="6">
        <v>859</v>
      </c>
      <c r="H860" s="7"/>
    </row>
    <row r="861" spans="1:8">
      <c r="A861" s="4" t="s">
        <v>728</v>
      </c>
      <c r="B861" s="5">
        <v>1207</v>
      </c>
      <c r="C861" s="6">
        <v>3</v>
      </c>
      <c r="D861" s="6">
        <v>6</v>
      </c>
      <c r="E861" s="6">
        <v>9</v>
      </c>
      <c r="F861" s="6">
        <v>18</v>
      </c>
      <c r="G861" s="6">
        <v>860</v>
      </c>
      <c r="H861" s="7"/>
    </row>
    <row r="862" spans="1:8">
      <c r="A862" s="4" t="s">
        <v>749</v>
      </c>
      <c r="B862" s="5">
        <v>1252</v>
      </c>
      <c r="C862" s="6">
        <v>3</v>
      </c>
      <c r="D862" s="6">
        <v>8</v>
      </c>
      <c r="E862" s="6">
        <v>7</v>
      </c>
      <c r="F862" s="6">
        <v>18</v>
      </c>
      <c r="G862" s="6">
        <v>861</v>
      </c>
      <c r="H862" s="7"/>
    </row>
    <row r="863" spans="1:8">
      <c r="A863" s="4" t="s">
        <v>754</v>
      </c>
      <c r="B863" s="5">
        <v>1258</v>
      </c>
      <c r="C863" s="6">
        <v>2</v>
      </c>
      <c r="D863" s="6">
        <v>10</v>
      </c>
      <c r="E863" s="6">
        <v>6</v>
      </c>
      <c r="F863" s="6">
        <v>18</v>
      </c>
      <c r="G863" s="6">
        <v>862</v>
      </c>
      <c r="H863" s="7"/>
    </row>
    <row r="864" spans="1:8">
      <c r="A864" s="4" t="s">
        <v>801</v>
      </c>
      <c r="B864" s="5">
        <v>1336</v>
      </c>
      <c r="C864" s="6">
        <v>3</v>
      </c>
      <c r="D864" s="6">
        <v>6</v>
      </c>
      <c r="E864" s="6">
        <v>9</v>
      </c>
      <c r="F864" s="6">
        <v>18</v>
      </c>
      <c r="G864" s="6">
        <v>863</v>
      </c>
      <c r="H864" s="7"/>
    </row>
    <row r="865" spans="1:8">
      <c r="A865" s="4" t="str">
        <f>HYPERLINK("https://scryfall.com/card/c18/50/xantcha-sleeper-agent","Xantcha, Sleeper Agent")</f>
        <v>Xantcha, Sleeper Agent</v>
      </c>
      <c r="B865" s="5">
        <v>256</v>
      </c>
      <c r="C865" s="6">
        <v>4</v>
      </c>
      <c r="D865" s="6">
        <v>8</v>
      </c>
      <c r="E865" s="6">
        <v>5</v>
      </c>
      <c r="F865" s="6">
        <v>17</v>
      </c>
      <c r="G865" s="6">
        <v>864</v>
      </c>
      <c r="H865" s="7"/>
    </row>
    <row r="866" spans="1:8">
      <c r="A866" s="10" t="s">
        <v>221</v>
      </c>
      <c r="B866" s="5">
        <v>387</v>
      </c>
      <c r="C866" s="11">
        <v>4</v>
      </c>
      <c r="D866" s="11">
        <v>6</v>
      </c>
      <c r="E866" s="11">
        <v>7</v>
      </c>
      <c r="F866" s="11">
        <v>17</v>
      </c>
      <c r="G866" s="6">
        <v>865</v>
      </c>
      <c r="H866" s="7"/>
    </row>
    <row r="867" spans="1:8">
      <c r="A867" s="4" t="str">
        <f>HYPERLINK("https://scryfall.com/card/thb/269/athreos-shroud-veiled","Athreos, Shroud-Veiled")</f>
        <v>Athreos, Shroud-Veiled</v>
      </c>
      <c r="B867" s="5">
        <v>391</v>
      </c>
      <c r="C867" s="6">
        <v>6</v>
      </c>
      <c r="D867" s="6">
        <v>9</v>
      </c>
      <c r="E867" s="6">
        <v>2</v>
      </c>
      <c r="F867" s="6">
        <v>17</v>
      </c>
      <c r="G867" s="6">
        <v>866</v>
      </c>
      <c r="H867" s="7"/>
    </row>
    <row r="868" spans="1:8">
      <c r="A868" s="4" t="s">
        <v>236</v>
      </c>
      <c r="B868" s="5">
        <v>417</v>
      </c>
      <c r="C868" s="6">
        <v>6</v>
      </c>
      <c r="D868" s="6">
        <v>7</v>
      </c>
      <c r="E868" s="6">
        <v>4</v>
      </c>
      <c r="F868" s="6">
        <v>17</v>
      </c>
      <c r="G868" s="6">
        <v>867</v>
      </c>
      <c r="H868" s="7"/>
    </row>
    <row r="869" spans="1:8">
      <c r="A869" s="4" t="str">
        <f>HYPERLINK("https://scryfall.com/card/rna/199/rakdos-the-showstopper","Rakdos, the Showstopper")</f>
        <v>Rakdos, the Showstopper</v>
      </c>
      <c r="B869" s="5">
        <v>441</v>
      </c>
      <c r="C869" s="6">
        <v>2</v>
      </c>
      <c r="D869" s="6">
        <v>7</v>
      </c>
      <c r="E869" s="6">
        <v>8</v>
      </c>
      <c r="F869" s="6">
        <v>17</v>
      </c>
      <c r="G869" s="6">
        <v>868</v>
      </c>
      <c r="H869" s="7"/>
    </row>
    <row r="870" spans="1:8">
      <c r="A870" s="4" t="s">
        <v>258</v>
      </c>
      <c r="B870" s="5">
        <v>448</v>
      </c>
      <c r="C870" s="6">
        <v>4</v>
      </c>
      <c r="D870" s="6">
        <v>6</v>
      </c>
      <c r="E870" s="6">
        <v>7</v>
      </c>
      <c r="F870" s="6">
        <v>17</v>
      </c>
      <c r="G870" s="6">
        <v>869</v>
      </c>
      <c r="H870" s="7"/>
    </row>
    <row r="871" spans="1:8">
      <c r="A871" s="4" t="str">
        <f>HYPERLINK("https://scryfall.com/card/arc/112/memnarch","Memnarch")</f>
        <v>Memnarch</v>
      </c>
      <c r="B871" s="5">
        <v>474</v>
      </c>
      <c r="C871" s="6">
        <v>7</v>
      </c>
      <c r="D871" s="6">
        <v>5</v>
      </c>
      <c r="E871" s="6">
        <v>5</v>
      </c>
      <c r="F871" s="6">
        <v>17</v>
      </c>
      <c r="G871" s="6">
        <v>870</v>
      </c>
      <c r="H871" s="7"/>
    </row>
    <row r="872" spans="1:8">
      <c r="A872" s="4" t="s">
        <v>286</v>
      </c>
      <c r="B872" s="5">
        <v>494</v>
      </c>
      <c r="C872" s="6">
        <v>2</v>
      </c>
      <c r="D872" s="6">
        <v>8</v>
      </c>
      <c r="E872" s="6">
        <v>7</v>
      </c>
      <c r="F872" s="6">
        <v>17</v>
      </c>
      <c r="G872" s="6">
        <v>871</v>
      </c>
      <c r="H872" s="7"/>
    </row>
    <row r="873" spans="1:8">
      <c r="A873" s="4" t="s">
        <v>299</v>
      </c>
      <c r="B873" s="5">
        <v>512</v>
      </c>
      <c r="C873" s="6">
        <v>3</v>
      </c>
      <c r="D873" s="6">
        <v>8</v>
      </c>
      <c r="E873" s="6">
        <v>6</v>
      </c>
      <c r="F873" s="6">
        <v>17</v>
      </c>
      <c r="G873" s="6">
        <v>872</v>
      </c>
      <c r="H873" s="7"/>
    </row>
    <row r="874" spans="1:8">
      <c r="A874" s="4" t="s">
        <v>306</v>
      </c>
      <c r="B874" s="5">
        <v>523</v>
      </c>
      <c r="C874" s="6">
        <v>3</v>
      </c>
      <c r="D874" s="6">
        <v>7</v>
      </c>
      <c r="E874" s="6">
        <v>7</v>
      </c>
      <c r="F874" s="6">
        <v>17</v>
      </c>
      <c r="G874" s="6">
        <v>873</v>
      </c>
      <c r="H874" s="7"/>
    </row>
    <row r="875" spans="1:8">
      <c r="A875" s="4" t="s">
        <v>308</v>
      </c>
      <c r="B875" s="5">
        <v>525</v>
      </c>
      <c r="C875" s="6">
        <v>2</v>
      </c>
      <c r="D875" s="6">
        <v>5</v>
      </c>
      <c r="E875" s="6">
        <v>10</v>
      </c>
      <c r="F875" s="6">
        <v>17</v>
      </c>
      <c r="G875" s="6">
        <v>874</v>
      </c>
      <c r="H875" s="7"/>
    </row>
    <row r="876" spans="1:8">
      <c r="A876" s="4" t="str">
        <f>HYPERLINK("https://scryfall.com/card/jou/74/king-macar-the-gold-cursed","King Macar, the Gold-Cursed")</f>
        <v>King Macar, the Gold-Cursed</v>
      </c>
      <c r="B876" s="5">
        <v>529</v>
      </c>
      <c r="C876" s="6">
        <v>1</v>
      </c>
      <c r="D876" s="6">
        <v>6</v>
      </c>
      <c r="E876" s="6">
        <v>10</v>
      </c>
      <c r="F876" s="6">
        <v>17</v>
      </c>
      <c r="G876" s="6">
        <v>875</v>
      </c>
      <c r="H876" s="7"/>
    </row>
    <row r="877" spans="1:8">
      <c r="A877" s="4" t="s">
        <v>314</v>
      </c>
      <c r="B877" s="5">
        <v>532</v>
      </c>
      <c r="C877" s="6">
        <v>5</v>
      </c>
      <c r="D877" s="6">
        <v>6</v>
      </c>
      <c r="E877" s="6">
        <v>6</v>
      </c>
      <c r="F877" s="6">
        <v>17</v>
      </c>
      <c r="G877" s="6">
        <v>876</v>
      </c>
      <c r="H877" s="7"/>
    </row>
    <row r="878" spans="1:8">
      <c r="A878" s="4" t="str">
        <f>HYPERLINK("https://scryfall.com/card/apc/94/cromat","Cromat")</f>
        <v>Cromat</v>
      </c>
      <c r="B878" s="5">
        <v>534</v>
      </c>
      <c r="C878" s="6">
        <v>2</v>
      </c>
      <c r="D878" s="6">
        <v>8</v>
      </c>
      <c r="E878" s="6">
        <v>7</v>
      </c>
      <c r="F878" s="6">
        <v>17</v>
      </c>
      <c r="G878" s="6">
        <v>877</v>
      </c>
      <c r="H878" s="7"/>
    </row>
    <row r="879" spans="1:8">
      <c r="A879" s="4" t="str">
        <f>HYPERLINK("https://scryfall.com/card/me1/149/lord-of-tresserhorn","Lord of Tresserhorn")</f>
        <v>Lord of Tresserhorn</v>
      </c>
      <c r="B879" s="5">
        <v>535</v>
      </c>
      <c r="C879" s="6">
        <v>3</v>
      </c>
      <c r="D879" s="6">
        <v>8</v>
      </c>
      <c r="E879" s="6">
        <v>6</v>
      </c>
      <c r="F879" s="6">
        <v>17</v>
      </c>
      <c r="G879" s="6">
        <v>878</v>
      </c>
      <c r="H879" s="7"/>
    </row>
    <row r="880" spans="1:8">
      <c r="A880" s="4" t="str">
        <f>HYPERLINK("https://scryfall.com/card/c20/4/brallin-skyshark-rider","Brallin, Skyshark Rider")</f>
        <v>Brallin, Skyshark Rider</v>
      </c>
      <c r="B880" s="5">
        <v>540</v>
      </c>
      <c r="C880" s="6">
        <v>6</v>
      </c>
      <c r="D880" s="6">
        <v>8</v>
      </c>
      <c r="E880" s="6">
        <v>3</v>
      </c>
      <c r="F880" s="6">
        <v>17</v>
      </c>
      <c r="G880" s="6">
        <v>879</v>
      </c>
      <c r="H880" s="7"/>
    </row>
    <row r="881" spans="1:8">
      <c r="A881" s="4" t="str">
        <f>HYPERLINK("https://scryfall.com/card/a25/36/thalia-guardian-of-thraben","Thalia, Guardian of Thraben")</f>
        <v>Thalia, Guardian of Thraben</v>
      </c>
      <c r="B881" s="5">
        <v>544</v>
      </c>
      <c r="C881" s="6">
        <v>4</v>
      </c>
      <c r="D881" s="6">
        <v>3</v>
      </c>
      <c r="E881" s="6">
        <v>10</v>
      </c>
      <c r="F881" s="6">
        <v>17</v>
      </c>
      <c r="G881" s="6">
        <v>880</v>
      </c>
      <c r="H881" s="7"/>
    </row>
    <row r="882" spans="1:8">
      <c r="A882" s="4" t="str">
        <f>HYPERLINK("https://scryfall.com/card/bok/7/hokori-dust-drinker","Hokori, Dust Drinker")</f>
        <v>Hokori, Dust Drinker</v>
      </c>
      <c r="B882" s="5">
        <v>551</v>
      </c>
      <c r="C882" s="6">
        <v>4</v>
      </c>
      <c r="D882" s="6">
        <v>5</v>
      </c>
      <c r="E882" s="6">
        <v>8</v>
      </c>
      <c r="F882" s="6">
        <v>17</v>
      </c>
      <c r="G882" s="6">
        <v>881</v>
      </c>
      <c r="H882" s="7"/>
    </row>
    <row r="883" spans="1:8">
      <c r="A883" s="4" t="str">
        <f>HYPERLINK("https://scryfall.com/card/gk1/1/etrata-the-silencer","Etrata, the Silencer")</f>
        <v>Etrata, the Silencer</v>
      </c>
      <c r="B883" s="5">
        <v>552</v>
      </c>
      <c r="C883" s="6">
        <v>1</v>
      </c>
      <c r="D883" s="6">
        <v>8</v>
      </c>
      <c r="E883" s="6">
        <v>8</v>
      </c>
      <c r="F883" s="6">
        <v>17</v>
      </c>
      <c r="G883" s="6">
        <v>882</v>
      </c>
      <c r="H883" s="7"/>
    </row>
    <row r="884" spans="1:8">
      <c r="A884" s="4" t="s">
        <v>324</v>
      </c>
      <c r="B884" s="5">
        <v>554</v>
      </c>
      <c r="C884" s="6">
        <v>4</v>
      </c>
      <c r="D884" s="6">
        <v>5</v>
      </c>
      <c r="E884" s="6">
        <v>8</v>
      </c>
      <c r="F884" s="6">
        <v>17</v>
      </c>
      <c r="G884" s="6">
        <v>883</v>
      </c>
      <c r="H884" s="7"/>
    </row>
    <row r="885" spans="1:8">
      <c r="A885" s="4" t="s">
        <v>332</v>
      </c>
      <c r="B885" s="5">
        <v>566</v>
      </c>
      <c r="C885" s="6">
        <v>6</v>
      </c>
      <c r="D885" s="6">
        <v>3</v>
      </c>
      <c r="E885" s="6">
        <v>8</v>
      </c>
      <c r="F885" s="6">
        <v>17</v>
      </c>
      <c r="G885" s="6">
        <v>884</v>
      </c>
      <c r="H885" s="7"/>
    </row>
    <row r="886" spans="1:8">
      <c r="A886" s="4" t="s">
        <v>337</v>
      </c>
      <c r="B886" s="5">
        <v>573</v>
      </c>
      <c r="C886" s="6">
        <v>3</v>
      </c>
      <c r="D886" s="6">
        <v>7</v>
      </c>
      <c r="E886" s="6">
        <v>7</v>
      </c>
      <c r="F886" s="6">
        <v>17</v>
      </c>
      <c r="G886" s="6">
        <v>885</v>
      </c>
      <c r="H886" s="7"/>
    </row>
    <row r="887" spans="1:8">
      <c r="A887" s="4" t="str">
        <f>HYPERLINK("https://scryfall.com/card/akh/199/hapatra-vizier-of-poisons","Hapatra, Vizier of Poisons")</f>
        <v>Hapatra, Vizier of Poisons</v>
      </c>
      <c r="B887" s="5">
        <v>576</v>
      </c>
      <c r="C887" s="6">
        <v>5</v>
      </c>
      <c r="D887" s="6">
        <v>7</v>
      </c>
      <c r="E887" s="6">
        <v>5</v>
      </c>
      <c r="F887" s="6">
        <v>17</v>
      </c>
      <c r="G887" s="6">
        <v>886</v>
      </c>
      <c r="H887" s="7"/>
    </row>
    <row r="888" spans="1:8">
      <c r="A888" s="4" t="s">
        <v>349</v>
      </c>
      <c r="B888" s="5">
        <v>589</v>
      </c>
      <c r="C888" s="6">
        <v>3</v>
      </c>
      <c r="D888" s="6">
        <v>6</v>
      </c>
      <c r="E888" s="6">
        <v>8</v>
      </c>
      <c r="F888" s="6">
        <v>17</v>
      </c>
      <c r="G888" s="6">
        <v>887</v>
      </c>
      <c r="H888" s="7"/>
    </row>
    <row r="889" spans="1:8">
      <c r="A889" s="10" t="s">
        <v>355</v>
      </c>
      <c r="B889" s="5">
        <v>599</v>
      </c>
      <c r="C889" s="11">
        <v>1</v>
      </c>
      <c r="D889" s="11">
        <v>8</v>
      </c>
      <c r="E889" s="11">
        <v>8</v>
      </c>
      <c r="F889" s="11">
        <v>17</v>
      </c>
      <c r="G889" s="6">
        <v>888</v>
      </c>
      <c r="H889" s="7"/>
    </row>
    <row r="890" spans="1:8">
      <c r="A890" s="4" t="str">
        <f>HYPERLINK("https://scryfall.com/card/wwk/109/omnath-locus-of-mana","Omnath, Locus of Mana")</f>
        <v>Omnath, Locus of Mana</v>
      </c>
      <c r="B890" s="5">
        <v>614</v>
      </c>
      <c r="C890" s="6">
        <v>4</v>
      </c>
      <c r="D890" s="6">
        <v>7</v>
      </c>
      <c r="E890" s="6">
        <v>6</v>
      </c>
      <c r="F890" s="6">
        <v>17</v>
      </c>
      <c r="G890" s="6">
        <v>889</v>
      </c>
      <c r="H890" s="7"/>
    </row>
    <row r="891" spans="1:8">
      <c r="A891" s="4" t="s">
        <v>383</v>
      </c>
      <c r="B891" s="5">
        <v>646</v>
      </c>
      <c r="C891" s="6">
        <v>3</v>
      </c>
      <c r="D891" s="6">
        <v>7</v>
      </c>
      <c r="E891" s="6">
        <v>7</v>
      </c>
      <c r="F891" s="6">
        <v>17</v>
      </c>
      <c r="G891" s="6">
        <v>890</v>
      </c>
      <c r="H891" s="7"/>
    </row>
    <row r="892" spans="1:8">
      <c r="A892" s="4" t="str">
        <f>HYPERLINK("https://scryfall.com/card/a25/63/jalira-master-polymorphist","Jalira, Master Polymorphist")</f>
        <v>Jalira, Master Polymorphist</v>
      </c>
      <c r="B892" s="5">
        <v>655</v>
      </c>
      <c r="C892" s="6">
        <v>3</v>
      </c>
      <c r="D892" s="6">
        <v>8</v>
      </c>
      <c r="E892" s="6">
        <v>6</v>
      </c>
      <c r="F892" s="6">
        <v>17</v>
      </c>
      <c r="G892" s="6">
        <v>891</v>
      </c>
      <c r="H892" s="7"/>
    </row>
    <row r="893" spans="1:8">
      <c r="A893" s="4" t="str">
        <f>HYPERLINK("https://scryfall.com/card/c16/195/edric-spymaster-of-trest","Edric, Spymaster of Trest")</f>
        <v>Edric, Spymaster of Trest</v>
      </c>
      <c r="B893" s="5">
        <v>657</v>
      </c>
      <c r="C893" s="6">
        <v>7</v>
      </c>
      <c r="D893" s="6">
        <v>7</v>
      </c>
      <c r="E893" s="6">
        <v>3</v>
      </c>
      <c r="F893" s="6">
        <v>17</v>
      </c>
      <c r="G893" s="6">
        <v>892</v>
      </c>
      <c r="H893" s="7"/>
    </row>
    <row r="894" spans="1:8">
      <c r="A894" s="4" t="str">
        <f>HYPERLINK("https://scryfall.com/card/grn/184/lazav-the-multifarious","Lazav, the Multifarious")</f>
        <v>Lazav, the Multifarious</v>
      </c>
      <c r="B894" s="5">
        <v>669</v>
      </c>
      <c r="C894" s="6">
        <v>4</v>
      </c>
      <c r="D894" s="6">
        <v>8</v>
      </c>
      <c r="E894" s="6">
        <v>5</v>
      </c>
      <c r="F894" s="6">
        <v>17</v>
      </c>
      <c r="G894" s="6">
        <v>893</v>
      </c>
      <c r="H894" s="7"/>
    </row>
    <row r="895" spans="1:8">
      <c r="A895" s="4" t="str">
        <f>HYPERLINK("https://scryfall.com/card/gk2/28/teysa-orzhov-scion","Teysa, Orzhov Scion")</f>
        <v>Teysa, Orzhov Scion</v>
      </c>
      <c r="B895" s="5">
        <v>679</v>
      </c>
      <c r="C895" s="6">
        <v>5</v>
      </c>
      <c r="D895" s="6">
        <v>7</v>
      </c>
      <c r="E895" s="6">
        <v>5</v>
      </c>
      <c r="F895" s="6">
        <v>17</v>
      </c>
      <c r="G895" s="6">
        <v>894</v>
      </c>
      <c r="H895" s="7"/>
    </row>
    <row r="896" spans="1:8">
      <c r="A896" s="4" t="str">
        <f>HYPERLINK("https://scryfall.com/card/c14/17/stitcher-geralf","Stitcher Geralf")</f>
        <v>Stitcher Geralf</v>
      </c>
      <c r="B896" s="5">
        <v>688</v>
      </c>
      <c r="C896" s="6">
        <v>3</v>
      </c>
      <c r="D896" s="6">
        <v>7</v>
      </c>
      <c r="E896" s="6">
        <v>7</v>
      </c>
      <c r="F896" s="6">
        <v>17</v>
      </c>
      <c r="G896" s="6">
        <v>895</v>
      </c>
      <c r="H896" s="7"/>
    </row>
    <row r="897" spans="1:8">
      <c r="A897" s="4" t="s">
        <v>420</v>
      </c>
      <c r="B897" s="5">
        <v>704</v>
      </c>
      <c r="C897" s="6">
        <v>4</v>
      </c>
      <c r="D897" s="6">
        <v>7</v>
      </c>
      <c r="E897" s="6">
        <v>6</v>
      </c>
      <c r="F897" s="6">
        <v>17</v>
      </c>
      <c r="G897" s="6">
        <v>896</v>
      </c>
      <c r="H897" s="7"/>
    </row>
    <row r="898" spans="1:8">
      <c r="A898" s="4" t="str">
        <f>HYPERLINK("https://scryfall.com/card/gk2/65/lyzolda-the-blood-witch","Lyzolda, the Blood Witch")</f>
        <v>Lyzolda, the Blood Witch</v>
      </c>
      <c r="B898" s="5">
        <v>710</v>
      </c>
      <c r="C898" s="6">
        <v>2</v>
      </c>
      <c r="D898" s="6">
        <v>7</v>
      </c>
      <c r="E898" s="6">
        <v>8</v>
      </c>
      <c r="F898" s="6">
        <v>17</v>
      </c>
      <c r="G898" s="6">
        <v>897</v>
      </c>
      <c r="H898" s="7"/>
    </row>
    <row r="899" spans="1:8">
      <c r="A899" s="4" t="s">
        <v>432</v>
      </c>
      <c r="B899" s="5">
        <v>722</v>
      </c>
      <c r="C899" s="6">
        <v>3</v>
      </c>
      <c r="D899" s="6">
        <v>5</v>
      </c>
      <c r="E899" s="6">
        <v>9</v>
      </c>
      <c r="F899" s="6">
        <v>17</v>
      </c>
      <c r="G899" s="6">
        <v>898</v>
      </c>
      <c r="H899" s="7"/>
    </row>
    <row r="900" spans="1:8">
      <c r="A900" s="4" t="s">
        <v>439</v>
      </c>
      <c r="B900" s="5">
        <v>730</v>
      </c>
      <c r="C900" s="6">
        <v>3</v>
      </c>
      <c r="D900" s="6">
        <v>8</v>
      </c>
      <c r="E900" s="6">
        <v>6</v>
      </c>
      <c r="F900" s="6">
        <v>17</v>
      </c>
      <c r="G900" s="6">
        <v>899</v>
      </c>
      <c r="H900" s="7"/>
    </row>
    <row r="901" spans="1:8">
      <c r="A901" s="4" t="s">
        <v>442</v>
      </c>
      <c r="B901" s="5">
        <v>733</v>
      </c>
      <c r="C901" s="6">
        <v>3</v>
      </c>
      <c r="D901" s="6">
        <v>7</v>
      </c>
      <c r="E901" s="6">
        <v>7</v>
      </c>
      <c r="F901" s="6">
        <v>17</v>
      </c>
      <c r="G901" s="6">
        <v>900</v>
      </c>
      <c r="H901" s="7"/>
    </row>
    <row r="902" spans="1:8">
      <c r="A902" s="4" t="s">
        <v>448</v>
      </c>
      <c r="B902" s="5">
        <v>739</v>
      </c>
      <c r="C902" s="6">
        <v>3</v>
      </c>
      <c r="D902" s="6">
        <v>5</v>
      </c>
      <c r="E902" s="6">
        <v>9</v>
      </c>
      <c r="F902" s="6">
        <v>17</v>
      </c>
      <c r="G902" s="6">
        <v>901</v>
      </c>
      <c r="H902" s="7"/>
    </row>
    <row r="903" spans="1:8">
      <c r="A903" s="4" t="s">
        <v>458</v>
      </c>
      <c r="B903" s="5">
        <v>753</v>
      </c>
      <c r="C903" s="6">
        <v>5</v>
      </c>
      <c r="D903" s="6">
        <v>7</v>
      </c>
      <c r="E903" s="6">
        <v>5</v>
      </c>
      <c r="F903" s="6">
        <v>17</v>
      </c>
      <c r="G903" s="6">
        <v>902</v>
      </c>
      <c r="H903" s="7"/>
    </row>
    <row r="904" spans="1:8">
      <c r="A904" s="4" t="s">
        <v>460</v>
      </c>
      <c r="B904" s="5">
        <v>757</v>
      </c>
      <c r="C904" s="6">
        <v>2</v>
      </c>
      <c r="D904" s="6">
        <v>8</v>
      </c>
      <c r="E904" s="6">
        <v>7</v>
      </c>
      <c r="F904" s="6">
        <v>17</v>
      </c>
      <c r="G904" s="6">
        <v>903</v>
      </c>
      <c r="H904" s="7"/>
    </row>
    <row r="905" spans="1:8">
      <c r="A905" s="4" t="s">
        <v>462</v>
      </c>
      <c r="B905" s="5">
        <v>759</v>
      </c>
      <c r="C905" s="6">
        <v>5</v>
      </c>
      <c r="D905" s="6">
        <v>8</v>
      </c>
      <c r="E905" s="6">
        <v>4</v>
      </c>
      <c r="F905" s="6">
        <v>17</v>
      </c>
      <c r="G905" s="6">
        <v>904</v>
      </c>
      <c r="H905" s="7"/>
    </row>
    <row r="906" spans="1:8">
      <c r="A906" s="4" t="s">
        <v>471</v>
      </c>
      <c r="B906" s="5">
        <v>770</v>
      </c>
      <c r="C906" s="6">
        <v>4</v>
      </c>
      <c r="D906" s="6">
        <v>6</v>
      </c>
      <c r="E906" s="6">
        <v>7</v>
      </c>
      <c r="F906" s="6">
        <v>17</v>
      </c>
      <c r="G906" s="6">
        <v>905</v>
      </c>
      <c r="H906" s="7"/>
    </row>
    <row r="907" spans="1:8">
      <c r="A907" s="4" t="s">
        <v>474</v>
      </c>
      <c r="B907" s="5">
        <v>775</v>
      </c>
      <c r="C907" s="6">
        <v>6</v>
      </c>
      <c r="D907" s="6">
        <v>5</v>
      </c>
      <c r="E907" s="6">
        <v>6</v>
      </c>
      <c r="F907" s="6">
        <v>17</v>
      </c>
      <c r="G907" s="6">
        <v>906</v>
      </c>
      <c r="H907" s="7"/>
    </row>
    <row r="908" spans="1:8">
      <c r="A908" s="4" t="str">
        <f>HYPERLINK("https://scryfall.com/card/e01/17/odric-master-tactician","Odric, Master Tactician")</f>
        <v>Odric, Master Tactician</v>
      </c>
      <c r="B908" s="5">
        <v>778</v>
      </c>
      <c r="C908" s="6">
        <v>3</v>
      </c>
      <c r="D908" s="6">
        <v>7</v>
      </c>
      <c r="E908" s="6">
        <v>7</v>
      </c>
      <c r="F908" s="6">
        <v>17</v>
      </c>
      <c r="G908" s="6">
        <v>907</v>
      </c>
      <c r="H908" s="7"/>
    </row>
    <row r="909" spans="1:8">
      <c r="A909" s="10" t="s">
        <v>486</v>
      </c>
      <c r="B909" s="5">
        <v>791</v>
      </c>
      <c r="C909" s="11">
        <v>4</v>
      </c>
      <c r="D909" s="11">
        <v>6</v>
      </c>
      <c r="E909" s="11">
        <v>7</v>
      </c>
      <c r="F909" s="11">
        <v>17</v>
      </c>
      <c r="G909" s="6">
        <v>908</v>
      </c>
      <c r="H909" s="7"/>
    </row>
    <row r="910" spans="1:8">
      <c r="A910" s="4" t="str">
        <f>HYPERLINK("https://scryfall.com/card/c17/62/jazal-goldmane","Jazal Goldmane")</f>
        <v>Jazal Goldmane</v>
      </c>
      <c r="B910" s="5">
        <v>795</v>
      </c>
      <c r="C910" s="6">
        <v>3</v>
      </c>
      <c r="D910" s="6">
        <v>7</v>
      </c>
      <c r="E910" s="6">
        <v>7</v>
      </c>
      <c r="F910" s="6">
        <v>17</v>
      </c>
      <c r="G910" s="6">
        <v>909</v>
      </c>
      <c r="H910" s="7"/>
    </row>
    <row r="911" spans="1:8">
      <c r="A911" s="4" t="s">
        <v>492</v>
      </c>
      <c r="B911" s="5">
        <v>802</v>
      </c>
      <c r="C911" s="6">
        <v>5</v>
      </c>
      <c r="D911" s="6">
        <v>7</v>
      </c>
      <c r="E911" s="6">
        <v>5</v>
      </c>
      <c r="F911" s="6">
        <v>17</v>
      </c>
      <c r="G911" s="6">
        <v>910</v>
      </c>
      <c r="H911" s="7"/>
    </row>
    <row r="912" spans="1:8">
      <c r="A912" s="4" t="s">
        <v>498</v>
      </c>
      <c r="B912" s="5">
        <v>814</v>
      </c>
      <c r="C912" s="6">
        <v>3</v>
      </c>
      <c r="D912" s="6">
        <v>8</v>
      </c>
      <c r="E912" s="6">
        <v>6</v>
      </c>
      <c r="F912" s="6">
        <v>17</v>
      </c>
      <c r="G912" s="6">
        <v>911</v>
      </c>
      <c r="H912" s="7"/>
    </row>
    <row r="913" spans="1:8">
      <c r="A913" s="4" t="str">
        <f>HYPERLINK("https://scryfall.com/card/ths/166/nylea-god-of-the-hunt","Nylea, God of the Hunt")</f>
        <v>Nylea, God of the Hunt</v>
      </c>
      <c r="B913" s="5">
        <v>823</v>
      </c>
      <c r="C913" s="6">
        <v>2</v>
      </c>
      <c r="D913" s="6">
        <v>5</v>
      </c>
      <c r="E913" s="6">
        <v>10</v>
      </c>
      <c r="F913" s="6">
        <v>17</v>
      </c>
      <c r="G913" s="6">
        <v>912</v>
      </c>
      <c r="H913" s="7"/>
    </row>
    <row r="914" spans="1:8">
      <c r="A914" s="10" t="s">
        <v>510</v>
      </c>
      <c r="B914" s="5">
        <v>834</v>
      </c>
      <c r="C914" s="11">
        <v>5</v>
      </c>
      <c r="D914" s="11">
        <v>7</v>
      </c>
      <c r="E914" s="11">
        <v>5</v>
      </c>
      <c r="F914" s="11">
        <v>17</v>
      </c>
      <c r="G914" s="6">
        <v>913</v>
      </c>
      <c r="H914" s="7"/>
    </row>
    <row r="915" spans="1:8">
      <c r="A915" s="4" t="s">
        <v>518</v>
      </c>
      <c r="B915" s="5">
        <v>845</v>
      </c>
      <c r="C915" s="6">
        <v>2</v>
      </c>
      <c r="D915" s="6">
        <v>5</v>
      </c>
      <c r="E915" s="6">
        <v>10</v>
      </c>
      <c r="F915" s="6">
        <v>17</v>
      </c>
      <c r="G915" s="6">
        <v>914</v>
      </c>
      <c r="H915" s="7"/>
    </row>
    <row r="916" spans="1:8">
      <c r="A916" s="4" t="s">
        <v>528</v>
      </c>
      <c r="B916" s="5">
        <v>861</v>
      </c>
      <c r="C916" s="6">
        <v>3</v>
      </c>
      <c r="D916" s="6">
        <v>6</v>
      </c>
      <c r="E916" s="6">
        <v>8</v>
      </c>
      <c r="F916" s="6">
        <v>17</v>
      </c>
      <c r="G916" s="6">
        <v>915</v>
      </c>
      <c r="H916" s="7"/>
    </row>
    <row r="917" spans="1:8">
      <c r="A917" s="4" t="str">
        <f>HYPERLINK("https://scryfall.com/card/akh/205/samut-voice-of-dissent","Samut, Voice of Dissent")</f>
        <v>Samut, Voice of Dissent</v>
      </c>
      <c r="B917" s="5">
        <v>863</v>
      </c>
      <c r="C917" s="6">
        <v>4</v>
      </c>
      <c r="D917" s="6">
        <v>8</v>
      </c>
      <c r="E917" s="6">
        <v>5</v>
      </c>
      <c r="F917" s="6">
        <v>17</v>
      </c>
      <c r="G917" s="6">
        <v>916</v>
      </c>
      <c r="H917" s="7"/>
    </row>
    <row r="918" spans="1:8">
      <c r="A918" s="4" t="s">
        <v>530</v>
      </c>
      <c r="B918" s="5">
        <v>865</v>
      </c>
      <c r="C918" s="6">
        <v>3</v>
      </c>
      <c r="D918" s="6">
        <v>8</v>
      </c>
      <c r="E918" s="6">
        <v>6</v>
      </c>
      <c r="F918" s="6">
        <v>17</v>
      </c>
      <c r="G918" s="6">
        <v>917</v>
      </c>
      <c r="H918" s="7"/>
    </row>
    <row r="919" spans="1:8">
      <c r="A919" s="4" t="str">
        <f>HYPERLINK("https://scryfall.com/card/gk1/16/lazav-dimir-mastermind","Lazav, Dimir Mastermind")</f>
        <v>Lazav, Dimir Mastermind</v>
      </c>
      <c r="B919" s="5">
        <v>870</v>
      </c>
      <c r="C919" s="6">
        <v>3</v>
      </c>
      <c r="D919" s="6">
        <v>7</v>
      </c>
      <c r="E919" s="6">
        <v>7</v>
      </c>
      <c r="F919" s="6">
        <v>17</v>
      </c>
      <c r="G919" s="6">
        <v>918</v>
      </c>
      <c r="H919" s="7"/>
    </row>
    <row r="920" spans="1:8">
      <c r="A920" s="4" t="str">
        <f>HYPERLINK("https://scryfall.com/card/cma/194/tariel-reckoner-of-souls","Tariel, Reckoner of Souls")</f>
        <v>Tariel, Reckoner of Souls</v>
      </c>
      <c r="B920" s="5">
        <v>871</v>
      </c>
      <c r="C920" s="6">
        <v>3</v>
      </c>
      <c r="D920" s="6">
        <v>8</v>
      </c>
      <c r="E920" s="6">
        <v>6</v>
      </c>
      <c r="F920" s="6">
        <v>17</v>
      </c>
      <c r="G920" s="6">
        <v>919</v>
      </c>
      <c r="H920" s="7"/>
    </row>
    <row r="921" spans="1:8">
      <c r="A921" s="4" t="s">
        <v>557</v>
      </c>
      <c r="B921" s="5">
        <v>907</v>
      </c>
      <c r="C921" s="6">
        <v>4</v>
      </c>
      <c r="D921" s="6">
        <v>3</v>
      </c>
      <c r="E921" s="6">
        <v>10</v>
      </c>
      <c r="F921" s="6">
        <v>17</v>
      </c>
      <c r="G921" s="6">
        <v>920</v>
      </c>
      <c r="H921" s="7"/>
    </row>
    <row r="922" spans="1:8">
      <c r="A922" s="4" t="s">
        <v>559</v>
      </c>
      <c r="B922" s="5">
        <v>912</v>
      </c>
      <c r="C922" s="6">
        <v>2</v>
      </c>
      <c r="D922" s="6">
        <v>6</v>
      </c>
      <c r="E922" s="6">
        <v>9</v>
      </c>
      <c r="F922" s="6">
        <v>17</v>
      </c>
      <c r="G922" s="6">
        <v>921</v>
      </c>
      <c r="H922" s="7"/>
    </row>
    <row r="923" spans="1:8">
      <c r="A923" s="10" t="s">
        <v>566</v>
      </c>
      <c r="B923" s="5">
        <v>923</v>
      </c>
      <c r="C923" s="11">
        <v>5</v>
      </c>
      <c r="D923" s="11">
        <v>6</v>
      </c>
      <c r="E923" s="11">
        <v>6</v>
      </c>
      <c r="F923" s="11">
        <v>17</v>
      </c>
      <c r="G923" s="6">
        <v>922</v>
      </c>
      <c r="H923" s="7"/>
    </row>
    <row r="924" spans="1:8">
      <c r="A924" s="4" t="s">
        <v>567</v>
      </c>
      <c r="B924" s="5">
        <v>924</v>
      </c>
      <c r="C924" s="6">
        <v>3</v>
      </c>
      <c r="D924" s="6">
        <v>5</v>
      </c>
      <c r="E924" s="6">
        <v>9</v>
      </c>
      <c r="F924" s="6">
        <v>17</v>
      </c>
      <c r="G924" s="6">
        <v>923</v>
      </c>
      <c r="H924" s="7"/>
    </row>
    <row r="925" spans="1:8">
      <c r="A925" s="4" t="s">
        <v>573</v>
      </c>
      <c r="B925" s="5">
        <v>932</v>
      </c>
      <c r="C925" s="6">
        <v>3</v>
      </c>
      <c r="D925" s="6">
        <v>7</v>
      </c>
      <c r="E925" s="6">
        <v>7</v>
      </c>
      <c r="F925" s="6">
        <v>17</v>
      </c>
      <c r="G925" s="6">
        <v>924</v>
      </c>
      <c r="H925" s="7"/>
    </row>
    <row r="926" spans="1:8">
      <c r="A926" s="4" t="s">
        <v>577</v>
      </c>
      <c r="B926" s="5">
        <v>937</v>
      </c>
      <c r="C926" s="6">
        <v>2</v>
      </c>
      <c r="D926" s="6">
        <v>10</v>
      </c>
      <c r="E926" s="6">
        <v>5</v>
      </c>
      <c r="F926" s="6">
        <v>17</v>
      </c>
      <c r="G926" s="6">
        <v>925</v>
      </c>
      <c r="H926" s="7"/>
    </row>
    <row r="927" spans="1:8">
      <c r="A927" s="4" t="str">
        <f>HYPERLINK("https://scryfall.com/card/war/224/tolsimir-friend-to-wolves","Tolsimir, Friend to Wolves")</f>
        <v>Tolsimir, Friend to Wolves</v>
      </c>
      <c r="B927" s="5">
        <v>942</v>
      </c>
      <c r="C927" s="6">
        <v>2</v>
      </c>
      <c r="D927" s="6">
        <v>8</v>
      </c>
      <c r="E927" s="6">
        <v>7</v>
      </c>
      <c r="F927" s="6">
        <v>17</v>
      </c>
      <c r="G927" s="6">
        <v>926</v>
      </c>
      <c r="H927" s="7"/>
    </row>
    <row r="928" spans="1:8">
      <c r="A928" s="4" t="s">
        <v>581</v>
      </c>
      <c r="B928" s="5">
        <v>943</v>
      </c>
      <c r="C928" s="6">
        <v>3</v>
      </c>
      <c r="D928" s="6">
        <v>8</v>
      </c>
      <c r="E928" s="6">
        <v>6</v>
      </c>
      <c r="F928" s="6">
        <v>17</v>
      </c>
      <c r="G928" s="6">
        <v>927</v>
      </c>
      <c r="H928" s="7"/>
    </row>
    <row r="929" spans="1:8">
      <c r="A929" s="4" t="str">
        <f>HYPERLINK("https://scryfall.com/card/dom/35/shalai-voice-of-plenty","Shalai, Voice of Plenty")</f>
        <v>Shalai, Voice of Plenty</v>
      </c>
      <c r="B929" s="5">
        <v>947</v>
      </c>
      <c r="C929" s="6">
        <v>4</v>
      </c>
      <c r="D929" s="6">
        <v>6</v>
      </c>
      <c r="E929" s="6">
        <v>7</v>
      </c>
      <c r="F929" s="6">
        <v>17</v>
      </c>
      <c r="G929" s="6">
        <v>928</v>
      </c>
      <c r="H929" s="7"/>
    </row>
    <row r="930" spans="1:8">
      <c r="A930" s="4" t="s">
        <v>587</v>
      </c>
      <c r="B930" s="5">
        <v>954</v>
      </c>
      <c r="C930" s="6">
        <v>4</v>
      </c>
      <c r="D930" s="6">
        <v>8</v>
      </c>
      <c r="E930" s="6">
        <v>5</v>
      </c>
      <c r="F930" s="6">
        <v>17</v>
      </c>
      <c r="G930" s="6">
        <v>929</v>
      </c>
      <c r="H930" s="7"/>
    </row>
    <row r="931" spans="1:8">
      <c r="A931" s="4" t="str">
        <f>HYPERLINK("https://scryfall.com/card/c16/43/silas-renn-seeker-adept","Silas Renn, Seeker Adept")</f>
        <v>Silas Renn, Seeker Adept</v>
      </c>
      <c r="B931" s="5">
        <v>955</v>
      </c>
      <c r="C931" s="6">
        <v>5</v>
      </c>
      <c r="D931" s="6">
        <v>7</v>
      </c>
      <c r="E931" s="6">
        <v>5</v>
      </c>
      <c r="F931" s="6">
        <v>17</v>
      </c>
      <c r="G931" s="6">
        <v>930</v>
      </c>
      <c r="H931" s="7"/>
    </row>
    <row r="932" spans="1:8">
      <c r="A932" s="4" t="str">
        <f>HYPERLINK("https://scryfall.com/card/kld/178/depala-pilot-exemplar","Depala, Pilot Exemplar")</f>
        <v>Depala, Pilot Exemplar</v>
      </c>
      <c r="B932" s="5">
        <v>961</v>
      </c>
      <c r="C932" s="6">
        <v>2</v>
      </c>
      <c r="D932" s="6">
        <v>9</v>
      </c>
      <c r="E932" s="6">
        <v>6</v>
      </c>
      <c r="F932" s="6">
        <v>17</v>
      </c>
      <c r="G932" s="6">
        <v>931</v>
      </c>
      <c r="H932" s="7"/>
    </row>
    <row r="933" spans="1:8">
      <c r="A933" s="4" t="str">
        <f>HYPERLINK("https://scryfall.com/card/frf/148/yasova-dragonclaw","Yasova Dragonclaw")</f>
        <v>Yasova Dragonclaw</v>
      </c>
      <c r="B933" s="5">
        <v>962</v>
      </c>
      <c r="C933" s="6">
        <v>2</v>
      </c>
      <c r="D933" s="6">
        <v>8</v>
      </c>
      <c r="E933" s="6">
        <v>7</v>
      </c>
      <c r="F933" s="6">
        <v>17</v>
      </c>
      <c r="G933" s="6">
        <v>932</v>
      </c>
      <c r="H933" s="7"/>
    </row>
    <row r="934" spans="1:8">
      <c r="A934" s="4" t="str">
        <f>HYPERLINK("https://scryfall.com/card/dom/174/multani-yavimayas-avatar","Multani, Yavimaya's Avatar")</f>
        <v>Multani, Yavimaya's Avatar</v>
      </c>
      <c r="B934" s="5">
        <v>966</v>
      </c>
      <c r="C934" s="6">
        <v>3</v>
      </c>
      <c r="D934" s="6">
        <v>5</v>
      </c>
      <c r="E934" s="6">
        <v>9</v>
      </c>
      <c r="F934" s="6">
        <v>17</v>
      </c>
      <c r="G934" s="6">
        <v>933</v>
      </c>
      <c r="H934" s="7"/>
    </row>
    <row r="935" spans="1:8">
      <c r="A935" s="4" t="s">
        <v>591</v>
      </c>
      <c r="B935" s="5">
        <v>971</v>
      </c>
      <c r="C935" s="6">
        <v>2</v>
      </c>
      <c r="D935" s="6">
        <v>5</v>
      </c>
      <c r="E935" s="6">
        <v>10</v>
      </c>
      <c r="F935" s="6">
        <v>17</v>
      </c>
      <c r="G935" s="6">
        <v>934</v>
      </c>
      <c r="H935" s="7"/>
    </row>
    <row r="936" spans="1:8">
      <c r="A936" s="4" t="str">
        <f>HYPERLINK("https://scryfall.com/card/uma/200/garna-the-bloodflame","Garna, the Bloodflame")</f>
        <v>Garna, the Bloodflame</v>
      </c>
      <c r="B936" s="5">
        <v>980</v>
      </c>
      <c r="C936" s="6">
        <v>3</v>
      </c>
      <c r="D936" s="6">
        <v>8</v>
      </c>
      <c r="E936" s="6">
        <v>6</v>
      </c>
      <c r="F936" s="6">
        <v>17</v>
      </c>
      <c r="G936" s="6">
        <v>935</v>
      </c>
      <c r="H936" s="7"/>
    </row>
    <row r="937" spans="1:8">
      <c r="A937" s="4" t="s">
        <v>595</v>
      </c>
      <c r="B937" s="5">
        <v>982</v>
      </c>
      <c r="C937" s="6">
        <v>2</v>
      </c>
      <c r="D937" s="6">
        <v>8</v>
      </c>
      <c r="E937" s="6">
        <v>7</v>
      </c>
      <c r="F937" s="6">
        <v>17</v>
      </c>
      <c r="G937" s="6">
        <v>936</v>
      </c>
      <c r="H937" s="7"/>
    </row>
    <row r="938" spans="1:8">
      <c r="A938" s="4" t="str">
        <f>HYPERLINK("https://scryfall.com/card/dom/202/raff-capashen-ships-mage","Raff Capashen, Ship's Mage")</f>
        <v>Raff Capashen, Ship's Mage</v>
      </c>
      <c r="B938" s="5">
        <v>984</v>
      </c>
      <c r="C938" s="6">
        <v>3</v>
      </c>
      <c r="D938" s="6">
        <v>7</v>
      </c>
      <c r="E938" s="6">
        <v>7</v>
      </c>
      <c r="F938" s="6">
        <v>17</v>
      </c>
      <c r="G938" s="6">
        <v>937</v>
      </c>
      <c r="H938" s="7"/>
    </row>
    <row r="939" spans="1:8">
      <c r="A939" s="4" t="str">
        <f>HYPERLINK("https://scryfall.com/card/c13/210/sekkuar-deathkeeper","Sek'Kuar, Deathkeeper")</f>
        <v>Sek'Kuar, Deathkeeper</v>
      </c>
      <c r="B939" s="5">
        <v>987</v>
      </c>
      <c r="C939" s="6">
        <v>3</v>
      </c>
      <c r="D939" s="6">
        <v>6</v>
      </c>
      <c r="E939" s="6">
        <v>8</v>
      </c>
      <c r="F939" s="6">
        <v>17</v>
      </c>
      <c r="G939" s="6">
        <v>938</v>
      </c>
      <c r="H939" s="7"/>
    </row>
    <row r="940" spans="1:8">
      <c r="A940" s="4" t="s">
        <v>602</v>
      </c>
      <c r="B940" s="5">
        <v>996</v>
      </c>
      <c r="C940" s="6">
        <v>3</v>
      </c>
      <c r="D940" s="6">
        <v>8</v>
      </c>
      <c r="E940" s="6">
        <v>6</v>
      </c>
      <c r="F940" s="6">
        <v>17</v>
      </c>
      <c r="G940" s="6">
        <v>939</v>
      </c>
      <c r="H940" s="7"/>
    </row>
    <row r="941" spans="1:8">
      <c r="A941" s="10" t="s">
        <v>608</v>
      </c>
      <c r="B941" s="5">
        <v>1002</v>
      </c>
      <c r="C941" s="11">
        <v>5</v>
      </c>
      <c r="D941" s="11">
        <v>6</v>
      </c>
      <c r="E941" s="11">
        <v>6</v>
      </c>
      <c r="F941" s="11">
        <v>17</v>
      </c>
      <c r="G941" s="6">
        <v>940</v>
      </c>
      <c r="H941" s="7"/>
    </row>
    <row r="942" spans="1:8">
      <c r="A942" s="4" t="s">
        <v>610</v>
      </c>
      <c r="B942" s="5">
        <v>1009</v>
      </c>
      <c r="C942" s="6">
        <v>4</v>
      </c>
      <c r="D942" s="6">
        <v>7</v>
      </c>
      <c r="E942" s="6">
        <v>6</v>
      </c>
      <c r="F942" s="6">
        <v>17</v>
      </c>
      <c r="G942" s="6">
        <v>941</v>
      </c>
      <c r="H942" s="7"/>
    </row>
    <row r="943" spans="1:8">
      <c r="A943" s="4" t="s">
        <v>613</v>
      </c>
      <c r="B943" s="5">
        <v>1014</v>
      </c>
      <c r="C943" s="6">
        <v>3</v>
      </c>
      <c r="D943" s="6">
        <v>5</v>
      </c>
      <c r="E943" s="6">
        <v>9</v>
      </c>
      <c r="F943" s="6">
        <v>17</v>
      </c>
      <c r="G943" s="6">
        <v>942</v>
      </c>
      <c r="H943" s="7"/>
    </row>
    <row r="944" spans="1:8">
      <c r="A944" s="4" t="s">
        <v>623</v>
      </c>
      <c r="B944" s="5">
        <v>1024</v>
      </c>
      <c r="C944" s="6">
        <v>2</v>
      </c>
      <c r="D944" s="6">
        <v>7</v>
      </c>
      <c r="E944" s="6">
        <v>8</v>
      </c>
      <c r="F944" s="6">
        <v>17</v>
      </c>
      <c r="G944" s="6">
        <v>943</v>
      </c>
      <c r="H944" s="7"/>
    </row>
    <row r="945" spans="1:8">
      <c r="A945" s="4" t="s">
        <v>624</v>
      </c>
      <c r="B945" s="5">
        <v>1025</v>
      </c>
      <c r="C945" s="6">
        <v>3</v>
      </c>
      <c r="D945" s="6">
        <v>8</v>
      </c>
      <c r="E945" s="6">
        <v>6</v>
      </c>
      <c r="F945" s="6">
        <v>17</v>
      </c>
      <c r="G945" s="6">
        <v>944</v>
      </c>
      <c r="H945" s="7"/>
    </row>
    <row r="946" spans="1:8">
      <c r="A946" s="4" t="s">
        <v>625</v>
      </c>
      <c r="B946" s="5">
        <v>1026</v>
      </c>
      <c r="C946" s="6">
        <v>2</v>
      </c>
      <c r="D946" s="6">
        <v>5</v>
      </c>
      <c r="E946" s="6">
        <v>10</v>
      </c>
      <c r="F946" s="6">
        <v>17</v>
      </c>
      <c r="G946" s="6">
        <v>945</v>
      </c>
      <c r="H946" s="7"/>
    </row>
    <row r="947" spans="1:8">
      <c r="A947" s="4" t="s">
        <v>626</v>
      </c>
      <c r="B947" s="5">
        <v>1028</v>
      </c>
      <c r="C947" s="6">
        <v>2</v>
      </c>
      <c r="D947" s="6">
        <v>8</v>
      </c>
      <c r="E947" s="6">
        <v>7</v>
      </c>
      <c r="F947" s="6">
        <v>17</v>
      </c>
      <c r="G947" s="6">
        <v>946</v>
      </c>
      <c r="H947" s="7"/>
    </row>
    <row r="948" spans="1:8">
      <c r="A948" s="4" t="str">
        <f>HYPERLINK("https://scryfall.com/card/c16/42/sidar-kondo-of-jamuraa","Sidar Kondo of Jamuraa")</f>
        <v>Sidar Kondo of Jamuraa</v>
      </c>
      <c r="B948" s="5">
        <v>1029</v>
      </c>
      <c r="C948" s="6">
        <v>3</v>
      </c>
      <c r="D948" s="6">
        <v>6</v>
      </c>
      <c r="E948" s="6">
        <v>8</v>
      </c>
      <c r="F948" s="6">
        <v>17</v>
      </c>
      <c r="G948" s="6">
        <v>947</v>
      </c>
      <c r="H948" s="7"/>
    </row>
    <row r="949" spans="1:8">
      <c r="A949" s="4" t="s">
        <v>632</v>
      </c>
      <c r="B949" s="5">
        <v>1037</v>
      </c>
      <c r="C949" s="6">
        <v>3</v>
      </c>
      <c r="D949" s="6">
        <v>7</v>
      </c>
      <c r="E949" s="6">
        <v>7</v>
      </c>
      <c r="F949" s="6">
        <v>17</v>
      </c>
      <c r="G949" s="6">
        <v>948</v>
      </c>
      <c r="H949" s="7"/>
    </row>
    <row r="950" spans="1:8">
      <c r="A950" s="10" t="s">
        <v>639</v>
      </c>
      <c r="B950" s="5">
        <v>1052</v>
      </c>
      <c r="C950" s="11">
        <v>5</v>
      </c>
      <c r="D950" s="11">
        <v>7</v>
      </c>
      <c r="E950" s="11">
        <v>5</v>
      </c>
      <c r="F950" s="11">
        <v>17</v>
      </c>
      <c r="G950" s="6">
        <v>949</v>
      </c>
      <c r="H950" s="7"/>
    </row>
    <row r="951" spans="1:8">
      <c r="A951" s="4" t="str">
        <f>HYPERLINK("https://scryfall.com/card/c14/23/ghoulcaller-gisa","Ghoulcaller Gisa")</f>
        <v>Ghoulcaller Gisa</v>
      </c>
      <c r="B951" s="5">
        <v>1061</v>
      </c>
      <c r="C951" s="6">
        <v>3</v>
      </c>
      <c r="D951" s="6">
        <v>8</v>
      </c>
      <c r="E951" s="6">
        <v>6</v>
      </c>
      <c r="F951" s="6">
        <v>17</v>
      </c>
      <c r="G951" s="6">
        <v>950</v>
      </c>
      <c r="H951" s="7"/>
    </row>
    <row r="952" spans="1:8">
      <c r="A952" s="4" t="str">
        <f>HYPERLINK("https://scryfall.com/card/thb/165/arasta-of-the-endless-web","Arasta of the Endless Web")</f>
        <v>Arasta of the Endless Web</v>
      </c>
      <c r="B952" s="5">
        <v>1068</v>
      </c>
      <c r="C952" s="6">
        <v>3</v>
      </c>
      <c r="D952" s="6">
        <v>8</v>
      </c>
      <c r="E952" s="6">
        <v>6</v>
      </c>
      <c r="F952" s="6">
        <v>17</v>
      </c>
      <c r="G952" s="6">
        <v>951</v>
      </c>
      <c r="H952" s="7"/>
    </row>
    <row r="953" spans="1:8">
      <c r="A953" s="4" t="str">
        <f>HYPERLINK("https://scryfall.com/card/c19/48/rayami-first-of-the-fallen","Rayami, First of the Fallen")</f>
        <v>Rayami, First of the Fallen</v>
      </c>
      <c r="B953" s="5">
        <v>1072</v>
      </c>
      <c r="C953" s="6">
        <v>3</v>
      </c>
      <c r="D953" s="6">
        <v>8</v>
      </c>
      <c r="E953" s="6">
        <v>6</v>
      </c>
      <c r="F953" s="6">
        <v>17</v>
      </c>
      <c r="G953" s="6">
        <v>952</v>
      </c>
      <c r="H953" s="7"/>
    </row>
    <row r="954" spans="1:8">
      <c r="A954" s="4" t="s">
        <v>652</v>
      </c>
      <c r="B954" s="5">
        <v>1081</v>
      </c>
      <c r="C954" s="6">
        <v>2</v>
      </c>
      <c r="D954" s="6">
        <v>5</v>
      </c>
      <c r="E954" s="6">
        <v>10</v>
      </c>
      <c r="F954" s="6">
        <v>17</v>
      </c>
      <c r="G954" s="6">
        <v>953</v>
      </c>
      <c r="H954" s="7"/>
    </row>
    <row r="955" spans="1:8">
      <c r="A955" s="4" t="s">
        <v>655</v>
      </c>
      <c r="B955" s="5">
        <v>1084</v>
      </c>
      <c r="C955" s="6">
        <v>3</v>
      </c>
      <c r="D955" s="6">
        <v>7</v>
      </c>
      <c r="E955" s="6">
        <v>7</v>
      </c>
      <c r="F955" s="6">
        <v>17</v>
      </c>
      <c r="G955" s="6">
        <v>954</v>
      </c>
      <c r="H955" s="7"/>
    </row>
    <row r="956" spans="1:8">
      <c r="A956" s="4" t="s">
        <v>656</v>
      </c>
      <c r="B956" s="5">
        <v>1085</v>
      </c>
      <c r="C956" s="6">
        <v>1</v>
      </c>
      <c r="D956" s="6">
        <v>8</v>
      </c>
      <c r="E956" s="6">
        <v>8</v>
      </c>
      <c r="F956" s="6">
        <v>17</v>
      </c>
      <c r="G956" s="6">
        <v>955</v>
      </c>
      <c r="H956" s="7"/>
    </row>
    <row r="957" spans="1:8">
      <c r="A957" s="4" t="s">
        <v>658</v>
      </c>
      <c r="B957" s="5">
        <v>1090</v>
      </c>
      <c r="C957" s="6">
        <v>2</v>
      </c>
      <c r="D957" s="6">
        <v>5</v>
      </c>
      <c r="E957" s="6">
        <v>10</v>
      </c>
      <c r="F957" s="6">
        <v>17</v>
      </c>
      <c r="G957" s="6">
        <v>956</v>
      </c>
      <c r="H957" s="7"/>
    </row>
    <row r="958" spans="1:8">
      <c r="A958" s="4" t="s">
        <v>661</v>
      </c>
      <c r="B958" s="5">
        <v>1097</v>
      </c>
      <c r="C958" s="6">
        <v>3</v>
      </c>
      <c r="D958" s="6">
        <v>7</v>
      </c>
      <c r="E958" s="6">
        <v>7</v>
      </c>
      <c r="F958" s="6">
        <v>17</v>
      </c>
      <c r="G958" s="6">
        <v>957</v>
      </c>
      <c r="H958" s="7"/>
    </row>
    <row r="959" spans="1:8">
      <c r="A959" s="4" t="str">
        <f>HYPERLINK("https://scryfall.com/card/c13/191/gahiji-honored-one","Gahiji, Honored One")</f>
        <v>Gahiji, Honored One</v>
      </c>
      <c r="B959" s="5">
        <v>1111</v>
      </c>
      <c r="C959" s="6">
        <v>3</v>
      </c>
      <c r="D959" s="6">
        <v>8</v>
      </c>
      <c r="E959" s="6">
        <v>6</v>
      </c>
      <c r="F959" s="6">
        <v>17</v>
      </c>
      <c r="G959" s="6">
        <v>958</v>
      </c>
      <c r="H959" s="7"/>
    </row>
    <row r="960" spans="1:8">
      <c r="A960" s="4" t="str">
        <f>HYPERLINK("https://scryfall.com/card/dtk/216/dragonlord-atarka","Dragonlord Atarka")</f>
        <v>Dragonlord Atarka</v>
      </c>
      <c r="B960" s="5">
        <v>1120</v>
      </c>
      <c r="C960" s="6">
        <v>2</v>
      </c>
      <c r="D960" s="6">
        <v>7</v>
      </c>
      <c r="E960" s="6">
        <v>8</v>
      </c>
      <c r="F960" s="6">
        <v>17</v>
      </c>
      <c r="G960" s="6">
        <v>959</v>
      </c>
      <c r="H960" s="7"/>
    </row>
    <row r="961" spans="1:8">
      <c r="A961" s="4" t="s">
        <v>675</v>
      </c>
      <c r="B961" s="5">
        <v>1122</v>
      </c>
      <c r="C961" s="6">
        <v>4</v>
      </c>
      <c r="D961" s="6">
        <v>6</v>
      </c>
      <c r="E961" s="6">
        <v>7</v>
      </c>
      <c r="F961" s="6">
        <v>17</v>
      </c>
      <c r="G961" s="6">
        <v>960</v>
      </c>
      <c r="H961" s="7"/>
    </row>
    <row r="962" spans="1:8">
      <c r="A962" s="4" t="s">
        <v>692</v>
      </c>
      <c r="B962" s="5">
        <v>1147</v>
      </c>
      <c r="C962" s="6">
        <v>5</v>
      </c>
      <c r="D962" s="6">
        <v>7</v>
      </c>
      <c r="E962" s="6">
        <v>5</v>
      </c>
      <c r="F962" s="6">
        <v>17</v>
      </c>
      <c r="G962" s="6">
        <v>961</v>
      </c>
      <c r="H962" s="7"/>
    </row>
    <row r="963" spans="1:8">
      <c r="A963" s="4" t="s">
        <v>703</v>
      </c>
      <c r="B963" s="5">
        <v>1164</v>
      </c>
      <c r="C963" s="6">
        <v>3</v>
      </c>
      <c r="D963" s="6">
        <v>7</v>
      </c>
      <c r="E963" s="6">
        <v>7</v>
      </c>
      <c r="F963" s="6">
        <v>17</v>
      </c>
      <c r="G963" s="6">
        <v>962</v>
      </c>
      <c r="H963" s="7"/>
    </row>
    <row r="964" spans="1:8">
      <c r="A964" s="4" t="s">
        <v>707</v>
      </c>
      <c r="B964" s="5">
        <v>1170</v>
      </c>
      <c r="C964" s="6">
        <v>2</v>
      </c>
      <c r="D964" s="6">
        <v>7</v>
      </c>
      <c r="E964" s="6">
        <v>8</v>
      </c>
      <c r="F964" s="6">
        <v>17</v>
      </c>
      <c r="G964" s="6">
        <v>963</v>
      </c>
      <c r="H964" s="7"/>
    </row>
    <row r="965" spans="1:8">
      <c r="A965" s="4" t="s">
        <v>709</v>
      </c>
      <c r="B965" s="5">
        <v>1172</v>
      </c>
      <c r="C965" s="6">
        <v>3</v>
      </c>
      <c r="D965" s="6">
        <v>4</v>
      </c>
      <c r="E965" s="6">
        <v>10</v>
      </c>
      <c r="F965" s="6">
        <v>17</v>
      </c>
      <c r="G965" s="6">
        <v>964</v>
      </c>
      <c r="H965" s="7"/>
    </row>
    <row r="966" spans="1:8">
      <c r="A966" s="4" t="s">
        <v>714</v>
      </c>
      <c r="B966" s="5">
        <v>1182</v>
      </c>
      <c r="C966" s="6">
        <v>2</v>
      </c>
      <c r="D966" s="6">
        <v>7</v>
      </c>
      <c r="E966" s="6">
        <v>8</v>
      </c>
      <c r="F966" s="6">
        <v>17</v>
      </c>
      <c r="G966" s="6">
        <v>965</v>
      </c>
      <c r="H966" s="7"/>
    </row>
    <row r="967" spans="1:8">
      <c r="A967" s="4" t="s">
        <v>718</v>
      </c>
      <c r="B967" s="5">
        <v>1187</v>
      </c>
      <c r="C967" s="6">
        <v>2</v>
      </c>
      <c r="D967" s="6">
        <v>7</v>
      </c>
      <c r="E967" s="6">
        <v>8</v>
      </c>
      <c r="F967" s="6">
        <v>17</v>
      </c>
      <c r="G967" s="6">
        <v>966</v>
      </c>
      <c r="H967" s="7"/>
    </row>
    <row r="968" spans="1:8">
      <c r="A968" s="4" t="s">
        <v>732</v>
      </c>
      <c r="B968" s="5">
        <v>1218</v>
      </c>
      <c r="C968" s="6">
        <v>4</v>
      </c>
      <c r="D968" s="6">
        <v>5</v>
      </c>
      <c r="E968" s="6">
        <v>8</v>
      </c>
      <c r="F968" s="6">
        <v>17</v>
      </c>
      <c r="G968" s="6">
        <v>967</v>
      </c>
      <c r="H968" s="7"/>
    </row>
    <row r="969" spans="1:8">
      <c r="A969" s="4" t="str">
        <f>HYPERLINK("https://scryfall.com/card/c17/44/nazahn-revered-bladesmith","Nazahn, Revered Bladesmith")</f>
        <v>Nazahn, Revered Bladesmith</v>
      </c>
      <c r="B969" s="5">
        <v>1229</v>
      </c>
      <c r="C969" s="6">
        <v>3</v>
      </c>
      <c r="D969" s="6">
        <v>8</v>
      </c>
      <c r="E969" s="6">
        <v>6</v>
      </c>
      <c r="F969" s="6">
        <v>17</v>
      </c>
      <c r="G969" s="6">
        <v>968</v>
      </c>
      <c r="H969" s="7"/>
    </row>
    <row r="970" spans="1:8">
      <c r="A970" s="4" t="s">
        <v>738</v>
      </c>
      <c r="B970" s="5">
        <v>1232</v>
      </c>
      <c r="C970" s="6">
        <v>3</v>
      </c>
      <c r="D970" s="6">
        <v>6</v>
      </c>
      <c r="E970" s="6">
        <v>8</v>
      </c>
      <c r="F970" s="6">
        <v>17</v>
      </c>
      <c r="G970" s="6">
        <v>969</v>
      </c>
      <c r="H970" s="7"/>
    </row>
    <row r="971" spans="1:8">
      <c r="A971" s="4" t="str">
        <f>HYPERLINK("https://scryfall.com/card/thb/76/thryx-the-sudden-storm","Thryx, the Sudden Storm")</f>
        <v>Thryx, the Sudden Storm</v>
      </c>
      <c r="B971" s="5">
        <v>1239</v>
      </c>
      <c r="C971" s="6">
        <v>3</v>
      </c>
      <c r="D971" s="6">
        <v>6</v>
      </c>
      <c r="E971" s="6">
        <v>8</v>
      </c>
      <c r="F971" s="6">
        <v>17</v>
      </c>
      <c r="G971" s="6">
        <v>970</v>
      </c>
      <c r="H971" s="7"/>
    </row>
    <row r="972" spans="1:8">
      <c r="A972" s="4" t="s">
        <v>744</v>
      </c>
      <c r="B972" s="5">
        <v>1243</v>
      </c>
      <c r="C972" s="6">
        <v>2</v>
      </c>
      <c r="D972" s="6">
        <v>7</v>
      </c>
      <c r="E972" s="6">
        <v>8</v>
      </c>
      <c r="F972" s="6">
        <v>17</v>
      </c>
      <c r="G972" s="6">
        <v>971</v>
      </c>
      <c r="H972" s="7"/>
    </row>
    <row r="973" spans="1:8">
      <c r="A973" s="4" t="s">
        <v>746</v>
      </c>
      <c r="B973" s="5">
        <v>1245</v>
      </c>
      <c r="C973" s="6">
        <v>2</v>
      </c>
      <c r="D973" s="6">
        <v>7</v>
      </c>
      <c r="E973" s="6">
        <v>8</v>
      </c>
      <c r="F973" s="6">
        <v>17</v>
      </c>
      <c r="G973" s="6">
        <v>972</v>
      </c>
      <c r="H973" s="7"/>
    </row>
    <row r="974" spans="1:8">
      <c r="A974" s="4" t="s">
        <v>748</v>
      </c>
      <c r="B974" s="5">
        <v>1249</v>
      </c>
      <c r="C974" s="6">
        <v>1</v>
      </c>
      <c r="D974" s="6">
        <v>8</v>
      </c>
      <c r="E974" s="6">
        <v>8</v>
      </c>
      <c r="F974" s="6">
        <v>17</v>
      </c>
      <c r="G974" s="6">
        <v>973</v>
      </c>
      <c r="H974" s="7"/>
    </row>
    <row r="975" spans="1:8">
      <c r="A975" s="4" t="s">
        <v>760</v>
      </c>
      <c r="B975" s="5">
        <v>1264</v>
      </c>
      <c r="C975" s="6">
        <v>4</v>
      </c>
      <c r="D975" s="6">
        <v>7</v>
      </c>
      <c r="E975" s="6">
        <v>6</v>
      </c>
      <c r="F975" s="6">
        <v>17</v>
      </c>
      <c r="G975" s="6">
        <v>974</v>
      </c>
      <c r="H975" s="7"/>
    </row>
    <row r="976" spans="1:8">
      <c r="A976" s="4" t="s">
        <v>761</v>
      </c>
      <c r="B976" s="5">
        <v>1265</v>
      </c>
      <c r="C976" s="6">
        <v>3</v>
      </c>
      <c r="D976" s="6">
        <v>6</v>
      </c>
      <c r="E976" s="6">
        <v>8</v>
      </c>
      <c r="F976" s="6">
        <v>17</v>
      </c>
      <c r="G976" s="6">
        <v>975</v>
      </c>
      <c r="H976" s="7"/>
    </row>
    <row r="977" spans="1:8">
      <c r="A977" s="4" t="s">
        <v>782</v>
      </c>
      <c r="B977" s="5">
        <v>1307</v>
      </c>
      <c r="C977" s="6">
        <v>5</v>
      </c>
      <c r="D977" s="6">
        <v>7</v>
      </c>
      <c r="E977" s="6">
        <v>5</v>
      </c>
      <c r="F977" s="6">
        <v>17</v>
      </c>
      <c r="G977" s="6">
        <v>976</v>
      </c>
      <c r="H977" s="7"/>
    </row>
    <row r="978" spans="1:8">
      <c r="A978" s="4" t="s">
        <v>784</v>
      </c>
      <c r="B978" s="5">
        <v>1309</v>
      </c>
      <c r="C978" s="6">
        <v>3</v>
      </c>
      <c r="D978" s="6">
        <v>9</v>
      </c>
      <c r="E978" s="6">
        <v>5</v>
      </c>
      <c r="F978" s="6">
        <v>17</v>
      </c>
      <c r="G978" s="6">
        <v>977</v>
      </c>
      <c r="H978" s="7"/>
    </row>
    <row r="979" spans="1:8">
      <c r="A979" s="4" t="s">
        <v>785</v>
      </c>
      <c r="B979" s="5">
        <v>1311</v>
      </c>
      <c r="C979" s="6">
        <v>3</v>
      </c>
      <c r="D979" s="6">
        <v>8</v>
      </c>
      <c r="E979" s="6">
        <v>6</v>
      </c>
      <c r="F979" s="6">
        <v>17</v>
      </c>
      <c r="G979" s="6">
        <v>978</v>
      </c>
      <c r="H979" s="7"/>
    </row>
    <row r="980" spans="1:8">
      <c r="A980" s="4" t="s">
        <v>800</v>
      </c>
      <c r="B980" s="5">
        <v>1335</v>
      </c>
      <c r="C980" s="6">
        <v>3</v>
      </c>
      <c r="D980" s="6">
        <v>6</v>
      </c>
      <c r="E980" s="6">
        <v>8</v>
      </c>
      <c r="F980" s="6">
        <v>17</v>
      </c>
      <c r="G980" s="6">
        <v>979</v>
      </c>
      <c r="H980" s="7"/>
    </row>
    <row r="981" spans="1:8">
      <c r="A981" s="4" t="s">
        <v>806</v>
      </c>
      <c r="B981" s="5">
        <v>1348</v>
      </c>
      <c r="C981" s="6">
        <v>2</v>
      </c>
      <c r="D981" s="6">
        <v>5</v>
      </c>
      <c r="E981" s="6">
        <v>10</v>
      </c>
      <c r="F981" s="6">
        <v>17</v>
      </c>
      <c r="G981" s="6">
        <v>980</v>
      </c>
      <c r="H981" s="7"/>
    </row>
    <row r="982" spans="1:8">
      <c r="A982" s="4" t="str">
        <f>HYPERLINK("https://scryfall.com/card/thb/216/eutropia-the-twice-favored","Eutropia, the Twice-Favored")</f>
        <v>Eutropia, the Twice-Favored</v>
      </c>
      <c r="B982" s="5">
        <v>1362</v>
      </c>
      <c r="C982" s="6">
        <v>3</v>
      </c>
      <c r="D982" s="6">
        <v>7</v>
      </c>
      <c r="E982" s="6">
        <v>7</v>
      </c>
      <c r="F982" s="6">
        <v>17</v>
      </c>
      <c r="G982" s="6">
        <v>981</v>
      </c>
      <c r="H982" s="7"/>
    </row>
    <row r="983" spans="1:8">
      <c r="A983" s="4" t="str">
        <f>HYPERLINK("https://scryfall.com/card/fut/158/sliver-legion","Sliver Legion")</f>
        <v>Sliver Legion</v>
      </c>
      <c r="B983" s="5">
        <v>1384</v>
      </c>
      <c r="C983" s="6">
        <v>4</v>
      </c>
      <c r="D983" s="6">
        <v>10</v>
      </c>
      <c r="E983" s="6">
        <v>3</v>
      </c>
      <c r="F983" s="6">
        <v>17</v>
      </c>
      <c r="G983" s="6">
        <v>982</v>
      </c>
      <c r="H983" s="7"/>
    </row>
    <row r="984" spans="1:8">
      <c r="A984" s="4" t="s">
        <v>824</v>
      </c>
      <c r="B984" s="5">
        <v>1390</v>
      </c>
      <c r="C984" s="6">
        <v>3</v>
      </c>
      <c r="D984" s="6">
        <v>5</v>
      </c>
      <c r="E984" s="6">
        <v>9</v>
      </c>
      <c r="F984" s="6">
        <v>17</v>
      </c>
      <c r="G984" s="6">
        <v>983</v>
      </c>
      <c r="H984" s="7"/>
    </row>
    <row r="985" spans="1:8">
      <c r="A985" s="4" t="str">
        <f>HYPERLINK("https://scryfall.com/card/grn/168/emmara-soul-of-the-accord","Emmara, Soul of the Accord")</f>
        <v>Emmara, Soul of the Accord</v>
      </c>
      <c r="B985" s="5">
        <v>1438</v>
      </c>
      <c r="C985" s="6">
        <v>3</v>
      </c>
      <c r="D985" s="6">
        <v>7</v>
      </c>
      <c r="E985" s="6">
        <v>7</v>
      </c>
      <c r="F985" s="6">
        <v>17</v>
      </c>
      <c r="G985" s="6">
        <v>984</v>
      </c>
      <c r="H985" s="7"/>
    </row>
    <row r="986" spans="1:8">
      <c r="A986" s="4" t="str">
        <f>HYPERLINK("https://scryfall.com/card/c18/38/arixmethes-slumbering-isle","Arixmethes, Slumbering Isle")</f>
        <v>Arixmethes, Slumbering Isle</v>
      </c>
      <c r="B986" s="5">
        <v>364</v>
      </c>
      <c r="C986" s="6">
        <v>3</v>
      </c>
      <c r="D986" s="6">
        <v>6</v>
      </c>
      <c r="E986" s="6">
        <v>7</v>
      </c>
      <c r="F986" s="6">
        <v>16</v>
      </c>
      <c r="G986" s="6">
        <v>985</v>
      </c>
      <c r="H986" s="7"/>
    </row>
    <row r="987" spans="1:8">
      <c r="A987" s="4" t="s">
        <v>237</v>
      </c>
      <c r="B987" s="5">
        <v>418</v>
      </c>
      <c r="C987" s="6">
        <v>2</v>
      </c>
      <c r="D987" s="6">
        <v>7</v>
      </c>
      <c r="E987" s="6">
        <v>7</v>
      </c>
      <c r="F987" s="6">
        <v>16</v>
      </c>
      <c r="G987" s="6">
        <v>986</v>
      </c>
      <c r="H987" s="7"/>
    </row>
    <row r="988" spans="1:8">
      <c r="A988" s="4" t="s">
        <v>271</v>
      </c>
      <c r="B988" s="5">
        <v>470</v>
      </c>
      <c r="C988" s="6">
        <v>3</v>
      </c>
      <c r="D988" s="6">
        <v>6</v>
      </c>
      <c r="E988" s="6">
        <v>7</v>
      </c>
      <c r="F988" s="6">
        <v>16</v>
      </c>
      <c r="G988" s="6">
        <v>987</v>
      </c>
      <c r="H988" s="7"/>
    </row>
    <row r="989" spans="1:8">
      <c r="A989" s="4" t="str">
        <f>HYPERLINK("https://scryfall.com/card/ori/60/jace-vryns-prodigy-jace-telepath-unbound","Jace, Vryn's Prodigy")</f>
        <v>Jace, Vryn's Prodigy</v>
      </c>
      <c r="B989" s="5">
        <v>486</v>
      </c>
      <c r="C989" s="6">
        <v>6</v>
      </c>
      <c r="D989" s="6">
        <v>5</v>
      </c>
      <c r="E989" s="6">
        <v>5</v>
      </c>
      <c r="F989" s="6">
        <v>16</v>
      </c>
      <c r="G989" s="6">
        <v>988</v>
      </c>
      <c r="H989" s="7"/>
    </row>
    <row r="990" spans="1:8">
      <c r="A990" s="4" t="s">
        <v>281</v>
      </c>
      <c r="B990" s="5">
        <v>487</v>
      </c>
      <c r="C990" s="6">
        <v>3</v>
      </c>
      <c r="D990" s="6">
        <v>5</v>
      </c>
      <c r="E990" s="6">
        <v>8</v>
      </c>
      <c r="F990" s="6">
        <v>16</v>
      </c>
      <c r="G990" s="6">
        <v>989</v>
      </c>
      <c r="H990" s="7"/>
    </row>
    <row r="991" spans="1:8">
      <c r="A991" s="4" t="str">
        <f>HYPERLINK("https://scryfall.com/card/me1/150/phelddagrif","Phelddagrif")</f>
        <v>Phelddagrif</v>
      </c>
      <c r="B991" s="5">
        <v>495</v>
      </c>
      <c r="C991" s="6">
        <v>1</v>
      </c>
      <c r="D991" s="6">
        <v>10</v>
      </c>
      <c r="E991" s="6">
        <v>5</v>
      </c>
      <c r="F991" s="6">
        <v>16</v>
      </c>
      <c r="G991" s="6">
        <v>990</v>
      </c>
      <c r="H991" s="7"/>
    </row>
    <row r="992" spans="1:8">
      <c r="A992" s="4" t="str">
        <f>HYPERLINK("https://scryfall.com/card/ori/106/liliana-heretical-healer-liliana-defiant-necromancer","Liliana, Heretical Healer")</f>
        <v>Liliana, Heretical Healer</v>
      </c>
      <c r="B992" s="5">
        <v>522</v>
      </c>
      <c r="C992" s="6">
        <v>3</v>
      </c>
      <c r="D992" s="6">
        <v>6</v>
      </c>
      <c r="E992" s="6">
        <v>7</v>
      </c>
      <c r="F992" s="6">
        <v>16</v>
      </c>
      <c r="G992" s="6">
        <v>991</v>
      </c>
      <c r="H992" s="7"/>
    </row>
    <row r="993" spans="1:8">
      <c r="A993" s="4" t="str">
        <f>HYPERLINK("https://scryfall.com/card/m15/110/ob-nixilis-unshackled","Ob Nixilis, Unshackled")</f>
        <v>Ob Nixilis, Unshackled</v>
      </c>
      <c r="B993" s="5">
        <v>542</v>
      </c>
      <c r="C993" s="6">
        <v>3</v>
      </c>
      <c r="D993" s="6">
        <v>10</v>
      </c>
      <c r="E993" s="6">
        <v>3</v>
      </c>
      <c r="F993" s="6">
        <v>16</v>
      </c>
      <c r="G993" s="6">
        <v>992</v>
      </c>
      <c r="H993" s="7"/>
    </row>
    <row r="994" spans="1:8">
      <c r="A994" s="4" t="s">
        <v>319</v>
      </c>
      <c r="B994" s="5">
        <v>545</v>
      </c>
      <c r="C994" s="6">
        <v>3</v>
      </c>
      <c r="D994" s="6">
        <v>7</v>
      </c>
      <c r="E994" s="6">
        <v>6</v>
      </c>
      <c r="F994" s="6">
        <v>16</v>
      </c>
      <c r="G994" s="6">
        <v>993</v>
      </c>
      <c r="H994" s="7"/>
    </row>
    <row r="995" spans="1:8">
      <c r="A995" s="4" t="str">
        <f>HYPERLINK("https://scryfall.com/card/c17/176/kolaghan-the-storms-fury","Kolaghan, the Storm's Fury")</f>
        <v>Kolaghan, the Storm's Fury</v>
      </c>
      <c r="B995" s="5">
        <v>559</v>
      </c>
      <c r="C995" s="6">
        <v>3</v>
      </c>
      <c r="D995" s="6">
        <v>6</v>
      </c>
      <c r="E995" s="6">
        <v>7</v>
      </c>
      <c r="F995" s="6">
        <v>16</v>
      </c>
      <c r="G995" s="6">
        <v>994</v>
      </c>
      <c r="H995" s="7"/>
    </row>
    <row r="996" spans="1:8">
      <c r="A996" s="4" t="str">
        <f>HYPERLINK("https://scryfall.com/card/ori/23/kytheon-hero-of-akros-gideon-battle-forged","Kytheon, Hero of Akros")</f>
        <v>Kytheon, Hero of Akros</v>
      </c>
      <c r="B996" s="5">
        <v>561</v>
      </c>
      <c r="C996" s="6">
        <v>1</v>
      </c>
      <c r="D996" s="6">
        <v>5</v>
      </c>
      <c r="E996" s="6">
        <v>10</v>
      </c>
      <c r="F996" s="6">
        <v>16</v>
      </c>
      <c r="G996" s="6">
        <v>995</v>
      </c>
      <c r="H996" s="7"/>
    </row>
    <row r="997" spans="1:8">
      <c r="A997" s="4" t="str">
        <f>HYPERLINK("https://scryfall.com/card/dtk/219/dragonlord-ojutai","Dragonlord Ojutai")</f>
        <v>Dragonlord Ojutai</v>
      </c>
      <c r="B997" s="5">
        <v>570</v>
      </c>
      <c r="C997" s="6">
        <v>3</v>
      </c>
      <c r="D997" s="6">
        <v>5</v>
      </c>
      <c r="E997" s="6">
        <v>8</v>
      </c>
      <c r="F997" s="6">
        <v>16</v>
      </c>
      <c r="G997" s="6">
        <v>996</v>
      </c>
      <c r="H997" s="7"/>
    </row>
    <row r="998" spans="1:8">
      <c r="A998" s="4" t="s">
        <v>346</v>
      </c>
      <c r="B998" s="5">
        <v>586</v>
      </c>
      <c r="C998" s="6">
        <v>4</v>
      </c>
      <c r="D998" s="6">
        <v>4</v>
      </c>
      <c r="E998" s="6">
        <v>8</v>
      </c>
      <c r="F998" s="6">
        <v>16</v>
      </c>
      <c r="G998" s="6">
        <v>997</v>
      </c>
      <c r="H998" s="7"/>
    </row>
    <row r="999" spans="1:8">
      <c r="A999" s="4" t="str">
        <f>HYPERLINK("https://scryfall.com/card/ima/75/teferi-mage-of-zhalfir","Teferi, Mage of Zhalfir")</f>
        <v>Teferi, Mage of Zhalfir</v>
      </c>
      <c r="B999" s="5">
        <v>604</v>
      </c>
      <c r="C999" s="6">
        <v>6</v>
      </c>
      <c r="D999" s="6">
        <v>3</v>
      </c>
      <c r="E999" s="6">
        <v>7</v>
      </c>
      <c r="F999" s="6">
        <v>16</v>
      </c>
      <c r="G999" s="6">
        <v>998</v>
      </c>
      <c r="H999" s="7"/>
    </row>
    <row r="1000" spans="1:8">
      <c r="A1000" s="4" t="str">
        <f>HYPERLINK("https://scryfall.com/card/phuk/1/marrow-gnawer","Marrow-Gnawer")</f>
        <v>Marrow-Gnawer</v>
      </c>
      <c r="B1000" s="5">
        <v>638</v>
      </c>
      <c r="C1000" s="6">
        <v>2</v>
      </c>
      <c r="D1000" s="6">
        <v>8</v>
      </c>
      <c r="E1000" s="6">
        <v>6</v>
      </c>
      <c r="F1000" s="6">
        <v>16</v>
      </c>
      <c r="G1000" s="6">
        <v>999</v>
      </c>
      <c r="H1000" s="7"/>
    </row>
    <row r="1001" spans="1:8">
      <c r="A1001" s="4" t="s">
        <v>391</v>
      </c>
      <c r="B1001" s="5">
        <v>656</v>
      </c>
      <c r="C1001" s="6">
        <v>3</v>
      </c>
      <c r="D1001" s="6">
        <v>6</v>
      </c>
      <c r="E1001" s="6">
        <v>7</v>
      </c>
      <c r="F1001" s="6">
        <v>16</v>
      </c>
      <c r="G1001" s="6">
        <v>1000</v>
      </c>
      <c r="H1001" s="7"/>
    </row>
    <row r="1002" spans="1:8">
      <c r="A1002" s="4" t="s">
        <v>395</v>
      </c>
      <c r="B1002" s="5">
        <v>665</v>
      </c>
      <c r="C1002" s="6">
        <v>3</v>
      </c>
      <c r="D1002" s="6">
        <v>5</v>
      </c>
      <c r="E1002" s="6">
        <v>8</v>
      </c>
      <c r="F1002" s="6">
        <v>16</v>
      </c>
      <c r="G1002" s="6">
        <v>1001</v>
      </c>
      <c r="H1002" s="7"/>
    </row>
    <row r="1003" spans="1:8">
      <c r="A1003" s="4" t="s">
        <v>400</v>
      </c>
      <c r="B1003" s="5">
        <v>672</v>
      </c>
      <c r="C1003" s="6">
        <v>2</v>
      </c>
      <c r="D1003" s="6">
        <v>6</v>
      </c>
      <c r="E1003" s="6">
        <v>8</v>
      </c>
      <c r="F1003" s="6">
        <v>16</v>
      </c>
      <c r="G1003" s="6">
        <v>1002</v>
      </c>
      <c r="H1003" s="7"/>
    </row>
    <row r="1004" spans="1:8">
      <c r="A1004" s="4" t="s">
        <v>412</v>
      </c>
      <c r="B1004" s="5">
        <v>693</v>
      </c>
      <c r="C1004" s="6">
        <v>2</v>
      </c>
      <c r="D1004" s="6">
        <v>6</v>
      </c>
      <c r="E1004" s="6">
        <v>8</v>
      </c>
      <c r="F1004" s="6">
        <v>16</v>
      </c>
      <c r="G1004" s="6">
        <v>1003</v>
      </c>
      <c r="H1004" s="7"/>
    </row>
    <row r="1005" spans="1:8">
      <c r="A1005" s="4" t="str">
        <f>HYPERLINK("https://scryfall.com/card/kld/84/gonti-lord-of-luxury","Gonti, Lord of Luxury")</f>
        <v>Gonti, Lord of Luxury</v>
      </c>
      <c r="B1005" s="5">
        <v>700</v>
      </c>
      <c r="C1005" s="6">
        <v>1</v>
      </c>
      <c r="D1005" s="6">
        <v>8</v>
      </c>
      <c r="E1005" s="6">
        <v>7</v>
      </c>
      <c r="F1005" s="6">
        <v>16</v>
      </c>
      <c r="G1005" s="6">
        <v>1004</v>
      </c>
      <c r="H1005" s="7"/>
    </row>
    <row r="1006" spans="1:8">
      <c r="A1006" s="4" t="str">
        <f>HYPERLINK("https://scryfall.com/card/ths/17/heliod-god-of-the-sun","Heliod, God of the Sun")</f>
        <v>Heliod, God of the Sun</v>
      </c>
      <c r="B1006" s="5">
        <v>713</v>
      </c>
      <c r="C1006" s="6">
        <v>3</v>
      </c>
      <c r="D1006" s="6">
        <v>5</v>
      </c>
      <c r="E1006" s="6">
        <v>8</v>
      </c>
      <c r="F1006" s="6">
        <v>16</v>
      </c>
      <c r="G1006" s="6">
        <v>1005</v>
      </c>
      <c r="H1006" s="7"/>
    </row>
    <row r="1007" spans="1:8">
      <c r="A1007" s="4" t="str">
        <f>HYPERLINK("https://scryfall.com/card/ths/172/polukranos-world-eater","Polukranos, World Eater")</f>
        <v>Polukranos, World Eater</v>
      </c>
      <c r="B1007" s="5">
        <v>720</v>
      </c>
      <c r="C1007" s="6">
        <v>2</v>
      </c>
      <c r="D1007" s="6">
        <v>5</v>
      </c>
      <c r="E1007" s="6">
        <v>9</v>
      </c>
      <c r="F1007" s="6">
        <v>16</v>
      </c>
      <c r="G1007" s="6">
        <v>1006</v>
      </c>
      <c r="H1007" s="7"/>
    </row>
    <row r="1008" spans="1:8">
      <c r="A1008" s="4" t="s">
        <v>443</v>
      </c>
      <c r="B1008" s="5">
        <v>734</v>
      </c>
      <c r="C1008" s="6">
        <v>2</v>
      </c>
      <c r="D1008" s="6">
        <v>5</v>
      </c>
      <c r="E1008" s="6">
        <v>9</v>
      </c>
      <c r="F1008" s="6">
        <v>16</v>
      </c>
      <c r="G1008" s="6">
        <v>1007</v>
      </c>
      <c r="H1008" s="7"/>
    </row>
    <row r="1009" spans="1:8">
      <c r="A1009" s="4" t="s">
        <v>444</v>
      </c>
      <c r="B1009" s="5">
        <v>735</v>
      </c>
      <c r="C1009" s="6">
        <v>3</v>
      </c>
      <c r="D1009" s="6">
        <v>6</v>
      </c>
      <c r="E1009" s="6">
        <v>7</v>
      </c>
      <c r="F1009" s="6">
        <v>16</v>
      </c>
      <c r="G1009" s="6">
        <v>1008</v>
      </c>
      <c r="H1009" s="7"/>
    </row>
    <row r="1010" spans="1:8">
      <c r="A1010" s="4" t="str">
        <f>HYPERLINK("https://scryfall.com/card/uma/206/sigarda-host-of-herons","Sigarda, Host of Herons")</f>
        <v>Sigarda, Host of Herons</v>
      </c>
      <c r="B1010" s="5">
        <v>748</v>
      </c>
      <c r="C1010" s="6">
        <v>5</v>
      </c>
      <c r="D1010" s="6">
        <v>4</v>
      </c>
      <c r="E1010" s="6">
        <v>7</v>
      </c>
      <c r="F1010" s="6">
        <v>16</v>
      </c>
      <c r="G1010" s="6">
        <v>1009</v>
      </c>
      <c r="H1010" s="7"/>
    </row>
    <row r="1011" spans="1:8">
      <c r="A1011" s="10" t="s">
        <v>455</v>
      </c>
      <c r="B1011" s="5">
        <v>749</v>
      </c>
      <c r="C1011" s="11">
        <v>5</v>
      </c>
      <c r="D1011" s="11">
        <v>6</v>
      </c>
      <c r="E1011" s="11">
        <v>5</v>
      </c>
      <c r="F1011" s="11">
        <v>16</v>
      </c>
      <c r="G1011" s="6">
        <v>1010</v>
      </c>
      <c r="H1011" s="7"/>
    </row>
    <row r="1012" spans="1:8">
      <c r="A1012" s="4" t="s">
        <v>466</v>
      </c>
      <c r="B1012" s="5">
        <v>763</v>
      </c>
      <c r="C1012" s="6">
        <v>3</v>
      </c>
      <c r="D1012" s="6">
        <v>6</v>
      </c>
      <c r="E1012" s="6">
        <v>7</v>
      </c>
      <c r="F1012" s="6">
        <v>16</v>
      </c>
      <c r="G1012" s="6">
        <v>1011</v>
      </c>
      <c r="H1012" s="7"/>
    </row>
    <row r="1013" spans="1:8">
      <c r="A1013" s="4" t="s">
        <v>469</v>
      </c>
      <c r="B1013" s="5">
        <v>766</v>
      </c>
      <c r="C1013" s="6">
        <v>4</v>
      </c>
      <c r="D1013" s="6">
        <v>5</v>
      </c>
      <c r="E1013" s="6">
        <v>7</v>
      </c>
      <c r="F1013" s="6">
        <v>16</v>
      </c>
      <c r="G1013" s="6">
        <v>1012</v>
      </c>
      <c r="H1013" s="7"/>
    </row>
    <row r="1014" spans="1:8">
      <c r="A1014" s="4" t="str">
        <f>HYPERLINK("https://scryfall.com/card/tsp/245/saffi-eriksdotter","Saffi Eriksdotter")</f>
        <v>Saffi Eriksdotter</v>
      </c>
      <c r="B1014" s="5">
        <v>772</v>
      </c>
      <c r="C1014" s="6">
        <v>4</v>
      </c>
      <c r="D1014" s="6">
        <v>7</v>
      </c>
      <c r="E1014" s="6">
        <v>5</v>
      </c>
      <c r="F1014" s="6">
        <v>16</v>
      </c>
      <c r="G1014" s="6">
        <v>1013</v>
      </c>
      <c r="H1014" s="7"/>
    </row>
    <row r="1015" spans="1:8">
      <c r="A1015" s="4" t="str">
        <f>HYPERLINK("https://scryfall.com/card/c16/231/zedruu-the-greathearted","Zedruu the Greathearted")</f>
        <v>Zedruu the Greathearted</v>
      </c>
      <c r="B1015" s="5">
        <v>784</v>
      </c>
      <c r="C1015" s="6">
        <v>2</v>
      </c>
      <c r="D1015" s="6">
        <v>9</v>
      </c>
      <c r="E1015" s="6">
        <v>5</v>
      </c>
      <c r="F1015" s="6">
        <v>16</v>
      </c>
      <c r="G1015" s="6">
        <v>1014</v>
      </c>
      <c r="H1015" s="7"/>
    </row>
    <row r="1016" spans="1:8">
      <c r="A1016" s="4" t="s">
        <v>484</v>
      </c>
      <c r="B1016" s="5">
        <v>789</v>
      </c>
      <c r="C1016" s="6">
        <v>2</v>
      </c>
      <c r="D1016" s="6">
        <v>6</v>
      </c>
      <c r="E1016" s="6">
        <v>8</v>
      </c>
      <c r="F1016" s="6">
        <v>16</v>
      </c>
      <c r="G1016" s="6">
        <v>1015</v>
      </c>
      <c r="H1016" s="7"/>
    </row>
    <row r="1017" spans="1:8">
      <c r="A1017" s="4" t="str">
        <f>HYPERLINK("https://scryfall.com/card/mm3/176/obzedat-ghost-council","Obzedat, Ghost Council")</f>
        <v>Obzedat, Ghost Council</v>
      </c>
      <c r="B1017" s="5">
        <v>794</v>
      </c>
      <c r="C1017" s="6">
        <v>2</v>
      </c>
      <c r="D1017" s="6">
        <v>4</v>
      </c>
      <c r="E1017" s="6">
        <v>10</v>
      </c>
      <c r="F1017" s="6">
        <v>16</v>
      </c>
      <c r="G1017" s="6">
        <v>1016</v>
      </c>
      <c r="H1017" s="7"/>
    </row>
    <row r="1018" spans="1:8">
      <c r="A1018" s="4" t="s">
        <v>487</v>
      </c>
      <c r="B1018" s="5">
        <v>796</v>
      </c>
      <c r="C1018" s="6">
        <v>2</v>
      </c>
      <c r="D1018" s="6">
        <v>5</v>
      </c>
      <c r="E1018" s="6">
        <v>9</v>
      </c>
      <c r="F1018" s="6">
        <v>16</v>
      </c>
      <c r="G1018" s="6">
        <v>1017</v>
      </c>
      <c r="H1018" s="7"/>
    </row>
    <row r="1019" spans="1:8">
      <c r="A1019" s="4" t="str">
        <f>HYPERLINK("https://scryfall.com/card/dds/34/lovisa-coldeyes","Lovisa Coldeyes")</f>
        <v>Lovisa Coldeyes</v>
      </c>
      <c r="B1019" s="5">
        <v>803</v>
      </c>
      <c r="C1019" s="6">
        <v>1</v>
      </c>
      <c r="D1019" s="6">
        <v>6</v>
      </c>
      <c r="E1019" s="6">
        <v>9</v>
      </c>
      <c r="F1019" s="6">
        <v>16</v>
      </c>
      <c r="G1019" s="6">
        <v>1018</v>
      </c>
      <c r="H1019" s="7"/>
    </row>
    <row r="1020" spans="1:8">
      <c r="A1020" s="4" t="str">
        <f>HYPERLINK("https://scryfall.com/card/ths/91/hythonia-the-cruel","Hythonia the Cruel")</f>
        <v>Hythonia the Cruel</v>
      </c>
      <c r="B1020" s="5">
        <v>811</v>
      </c>
      <c r="C1020" s="6">
        <v>2</v>
      </c>
      <c r="D1020" s="6">
        <v>4</v>
      </c>
      <c r="E1020" s="6">
        <v>10</v>
      </c>
      <c r="F1020" s="6">
        <v>16</v>
      </c>
      <c r="G1020" s="6">
        <v>1019</v>
      </c>
      <c r="H1020" s="7"/>
    </row>
    <row r="1021" spans="1:8">
      <c r="A1021" s="4" t="s">
        <v>497</v>
      </c>
      <c r="B1021" s="5">
        <v>813</v>
      </c>
      <c r="C1021" s="6">
        <v>3</v>
      </c>
      <c r="D1021" s="6">
        <v>7</v>
      </c>
      <c r="E1021" s="6">
        <v>6</v>
      </c>
      <c r="F1021" s="6">
        <v>16</v>
      </c>
      <c r="G1021" s="6">
        <v>1020</v>
      </c>
      <c r="H1021" s="7"/>
    </row>
    <row r="1022" spans="1:8">
      <c r="A1022" s="10" t="s">
        <v>503</v>
      </c>
      <c r="B1022" s="5">
        <v>821</v>
      </c>
      <c r="C1022" s="11">
        <v>5</v>
      </c>
      <c r="D1022" s="11">
        <v>6</v>
      </c>
      <c r="E1022" s="11">
        <v>5</v>
      </c>
      <c r="F1022" s="11">
        <v>16</v>
      </c>
      <c r="G1022" s="6">
        <v>1021</v>
      </c>
      <c r="H1022" s="7"/>
    </row>
    <row r="1023" spans="1:8">
      <c r="A1023" s="4" t="str">
        <f>HYPERLINK("https://scryfall.com/card/cm2/6/feldon-of-the-third-path","Feldon of the Third Path")</f>
        <v>Feldon of the Third Path</v>
      </c>
      <c r="B1023" s="5">
        <v>838</v>
      </c>
      <c r="C1023" s="6">
        <v>3</v>
      </c>
      <c r="D1023" s="6">
        <v>5</v>
      </c>
      <c r="E1023" s="6">
        <v>8</v>
      </c>
      <c r="F1023" s="6">
        <v>16</v>
      </c>
      <c r="G1023" s="6">
        <v>1022</v>
      </c>
      <c r="H1023" s="7"/>
    </row>
    <row r="1024" spans="1:8">
      <c r="A1024" s="10" t="s">
        <v>515</v>
      </c>
      <c r="B1024" s="5">
        <v>842</v>
      </c>
      <c r="C1024" s="11">
        <v>5</v>
      </c>
      <c r="D1024" s="11">
        <v>6</v>
      </c>
      <c r="E1024" s="11">
        <v>5</v>
      </c>
      <c r="F1024" s="11">
        <v>16</v>
      </c>
      <c r="G1024" s="6">
        <v>1023</v>
      </c>
      <c r="H1024" s="7"/>
    </row>
    <row r="1025" spans="1:8">
      <c r="A1025" s="4" t="s">
        <v>516</v>
      </c>
      <c r="B1025" s="5">
        <v>843</v>
      </c>
      <c r="C1025" s="6">
        <v>3</v>
      </c>
      <c r="D1025" s="6">
        <v>5</v>
      </c>
      <c r="E1025" s="6">
        <v>8</v>
      </c>
      <c r="F1025" s="6">
        <v>16</v>
      </c>
      <c r="G1025" s="6">
        <v>1024</v>
      </c>
      <c r="H1025" s="7"/>
    </row>
    <row r="1026" spans="1:8">
      <c r="A1026" s="4" t="str">
        <f>HYPERLINK("https://scryfall.com/card/ema/198/brago-king-eternal","Brago, King Eternal")</f>
        <v>Brago, King Eternal</v>
      </c>
      <c r="B1026" s="5">
        <v>846</v>
      </c>
      <c r="C1026" s="6">
        <v>5</v>
      </c>
      <c r="D1026" s="6">
        <v>8</v>
      </c>
      <c r="E1026" s="6">
        <v>3</v>
      </c>
      <c r="F1026" s="6">
        <v>16</v>
      </c>
      <c r="G1026" s="6">
        <v>1025</v>
      </c>
      <c r="H1026" s="7"/>
    </row>
    <row r="1027" spans="1:8">
      <c r="A1027" s="4" t="str">
        <f>HYPERLINK("https://scryfall.com/card/soi/250/sigarda-herons-grace","Sigarda, Heron's Grace")</f>
        <v>Sigarda, Heron's Grace</v>
      </c>
      <c r="B1027" s="5">
        <v>848</v>
      </c>
      <c r="C1027" s="6">
        <v>3</v>
      </c>
      <c r="D1027" s="6">
        <v>6</v>
      </c>
      <c r="E1027" s="6">
        <v>7</v>
      </c>
      <c r="F1027" s="6">
        <v>16</v>
      </c>
      <c r="G1027" s="6">
        <v>1026</v>
      </c>
      <c r="H1027" s="7"/>
    </row>
    <row r="1028" spans="1:8">
      <c r="A1028" s="4" t="str">
        <f>HYPERLINK("https://scryfall.com/card/rna/193/nikya-of-the-old-ways","Nikya of the Old Ways")</f>
        <v>Nikya of the Old Ways</v>
      </c>
      <c r="B1028" s="5">
        <v>890</v>
      </c>
      <c r="C1028" s="6">
        <v>4</v>
      </c>
      <c r="D1028" s="6">
        <v>6</v>
      </c>
      <c r="E1028" s="6">
        <v>6</v>
      </c>
      <c r="F1028" s="6">
        <v>16</v>
      </c>
      <c r="G1028" s="6">
        <v>1027</v>
      </c>
      <c r="H1028" s="7"/>
    </row>
    <row r="1029" spans="1:8">
      <c r="A1029" s="12" t="s">
        <v>551</v>
      </c>
      <c r="B1029" s="5">
        <v>900</v>
      </c>
      <c r="C1029" s="11">
        <v>2</v>
      </c>
      <c r="D1029" s="11">
        <v>8</v>
      </c>
      <c r="E1029" s="11">
        <v>6</v>
      </c>
      <c r="F1029" s="11">
        <v>16</v>
      </c>
      <c r="G1029" s="6">
        <v>1028</v>
      </c>
      <c r="H1029" s="7"/>
    </row>
    <row r="1030" spans="1:8">
      <c r="A1030" s="4" t="s">
        <v>574</v>
      </c>
      <c r="B1030" s="5">
        <v>933</v>
      </c>
      <c r="C1030" s="6">
        <v>2</v>
      </c>
      <c r="D1030" s="6">
        <v>4</v>
      </c>
      <c r="E1030" s="6">
        <v>10</v>
      </c>
      <c r="F1030" s="6">
        <v>16</v>
      </c>
      <c r="G1030" s="6">
        <v>1029</v>
      </c>
      <c r="H1030" s="7"/>
    </row>
    <row r="1031" spans="1:8">
      <c r="A1031" s="10" t="s">
        <v>578</v>
      </c>
      <c r="B1031" s="5">
        <v>938</v>
      </c>
      <c r="C1031" s="11">
        <v>5</v>
      </c>
      <c r="D1031" s="11">
        <v>4</v>
      </c>
      <c r="E1031" s="11">
        <v>7</v>
      </c>
      <c r="F1031" s="11">
        <v>16</v>
      </c>
      <c r="G1031" s="6">
        <v>1030</v>
      </c>
      <c r="H1031" s="7"/>
    </row>
    <row r="1032" spans="1:8">
      <c r="A1032" s="10" t="s">
        <v>584</v>
      </c>
      <c r="B1032" s="5">
        <v>946</v>
      </c>
      <c r="C1032" s="11">
        <v>4</v>
      </c>
      <c r="D1032" s="11">
        <v>6</v>
      </c>
      <c r="E1032" s="11">
        <v>6</v>
      </c>
      <c r="F1032" s="11">
        <v>16</v>
      </c>
      <c r="G1032" s="6">
        <v>1031</v>
      </c>
      <c r="H1032" s="7"/>
    </row>
    <row r="1033" spans="1:8">
      <c r="A1033" s="4" t="str">
        <f>HYPERLINK("https://scryfall.com/card/c16/39/ravos-soultender","Ravos, Soultender")</f>
        <v>Ravos, Soultender</v>
      </c>
      <c r="B1033" s="5">
        <v>952</v>
      </c>
      <c r="C1033" s="6">
        <v>4</v>
      </c>
      <c r="D1033" s="6">
        <v>7</v>
      </c>
      <c r="E1033" s="6">
        <v>5</v>
      </c>
      <c r="F1033" s="6">
        <v>16</v>
      </c>
      <c r="G1033" s="6">
        <v>1032</v>
      </c>
      <c r="H1033" s="7"/>
    </row>
    <row r="1034" spans="1:8">
      <c r="A1034" s="4" t="s">
        <v>589</v>
      </c>
      <c r="B1034" s="5">
        <v>957</v>
      </c>
      <c r="C1034" s="6">
        <v>2</v>
      </c>
      <c r="D1034" s="6">
        <v>8</v>
      </c>
      <c r="E1034" s="6">
        <v>6</v>
      </c>
      <c r="F1034" s="6">
        <v>16</v>
      </c>
      <c r="G1034" s="6">
        <v>1033</v>
      </c>
      <c r="H1034" s="7"/>
    </row>
    <row r="1035" spans="1:8">
      <c r="A1035" s="4" t="str">
        <f>HYPERLINK("https://scryfall.com/card/war/133/ilharg-the-raze-boar","Ilharg, the Raze-Boar")</f>
        <v>Ilharg, the Raze-Boar</v>
      </c>
      <c r="B1035" s="5">
        <v>959</v>
      </c>
      <c r="C1035" s="6">
        <v>2</v>
      </c>
      <c r="D1035" s="6">
        <v>7</v>
      </c>
      <c r="E1035" s="6">
        <v>7</v>
      </c>
      <c r="F1035" s="6">
        <v>16</v>
      </c>
      <c r="G1035" s="6">
        <v>1034</v>
      </c>
      <c r="H1035" s="7"/>
    </row>
    <row r="1036" spans="1:8">
      <c r="A1036" s="4" t="str">
        <f>HYPERLINK("https://scryfall.com/card/pca/99/krond-the-dawn-clad","Krond the Dawn-Clad")</f>
        <v>Krond the Dawn-Clad</v>
      </c>
      <c r="B1036" s="5">
        <v>975</v>
      </c>
      <c r="C1036" s="6">
        <v>2</v>
      </c>
      <c r="D1036" s="6">
        <v>6</v>
      </c>
      <c r="E1036" s="6">
        <v>8</v>
      </c>
      <c r="F1036" s="6">
        <v>16</v>
      </c>
      <c r="G1036" s="6">
        <v>1035</v>
      </c>
      <c r="H1036" s="7"/>
    </row>
    <row r="1037" spans="1:8">
      <c r="A1037" s="4" t="str">
        <f>HYPERLINK("https://scryfall.com/card/cm2/171/wrexial-the-risen-deep","Wrexial, the Risen Deep")</f>
        <v>Wrexial, the Risen Deep</v>
      </c>
      <c r="B1037" s="5">
        <v>981</v>
      </c>
      <c r="C1037" s="6">
        <v>3</v>
      </c>
      <c r="D1037" s="6">
        <v>7</v>
      </c>
      <c r="E1037" s="6">
        <v>6</v>
      </c>
      <c r="F1037" s="6">
        <v>16</v>
      </c>
      <c r="G1037" s="6">
        <v>1036</v>
      </c>
      <c r="H1037" s="7"/>
    </row>
    <row r="1038" spans="1:8">
      <c r="A1038" s="4" t="s">
        <v>599</v>
      </c>
      <c r="B1038" s="5">
        <v>991</v>
      </c>
      <c r="C1038" s="6">
        <v>2</v>
      </c>
      <c r="D1038" s="6">
        <v>8</v>
      </c>
      <c r="E1038" s="6">
        <v>6</v>
      </c>
      <c r="F1038" s="6">
        <v>16</v>
      </c>
      <c r="G1038" s="6">
        <v>1037</v>
      </c>
      <c r="H1038" s="7"/>
    </row>
    <row r="1039" spans="1:8">
      <c r="A1039" s="4" t="s">
        <v>628</v>
      </c>
      <c r="B1039" s="5">
        <v>1031</v>
      </c>
      <c r="C1039" s="6">
        <v>3</v>
      </c>
      <c r="D1039" s="6">
        <v>5</v>
      </c>
      <c r="E1039" s="6">
        <v>8</v>
      </c>
      <c r="F1039" s="6">
        <v>16</v>
      </c>
      <c r="G1039" s="6">
        <v>1038</v>
      </c>
      <c r="H1039" s="7"/>
    </row>
    <row r="1040" spans="1:8">
      <c r="A1040" s="4" t="str">
        <f>HYPERLINK("https://scryfall.com/card/c20/19/yannik-scavenging-sentinel","Yannik, Scavenging Sentinel")</f>
        <v>Yannik, Scavenging Sentinel</v>
      </c>
      <c r="B1040" s="5">
        <v>1039</v>
      </c>
      <c r="C1040" s="6">
        <v>4</v>
      </c>
      <c r="D1040" s="6">
        <v>6</v>
      </c>
      <c r="E1040" s="6">
        <v>6</v>
      </c>
      <c r="F1040" s="6">
        <v>16</v>
      </c>
      <c r="G1040" s="6">
        <v>1039</v>
      </c>
      <c r="H1040" s="7"/>
    </row>
    <row r="1041" spans="1:8">
      <c r="A1041" s="4" t="str">
        <f>HYPERLINK("https://scryfall.com/card/cmd/234/vish-kal-blood-arbiter","Vish Kal, Blood Arbiter")</f>
        <v>Vish Kal, Blood Arbiter</v>
      </c>
      <c r="B1041" s="5">
        <v>1044</v>
      </c>
      <c r="C1041" s="6">
        <v>4</v>
      </c>
      <c r="D1041" s="6">
        <v>7</v>
      </c>
      <c r="E1041" s="6">
        <v>5</v>
      </c>
      <c r="F1041" s="6">
        <v>16</v>
      </c>
      <c r="G1041" s="6">
        <v>1040</v>
      </c>
      <c r="H1041" s="7"/>
    </row>
    <row r="1042" spans="1:8">
      <c r="A1042" s="4" t="s">
        <v>637</v>
      </c>
      <c r="B1042" s="5">
        <v>1050</v>
      </c>
      <c r="C1042" s="6">
        <v>1</v>
      </c>
      <c r="D1042" s="6">
        <v>8</v>
      </c>
      <c r="E1042" s="6">
        <v>7</v>
      </c>
      <c r="F1042" s="6">
        <v>16</v>
      </c>
      <c r="G1042" s="6">
        <v>1041</v>
      </c>
      <c r="H1042" s="7"/>
    </row>
    <row r="1043" spans="1:8">
      <c r="A1043" s="4" t="str">
        <f>HYPERLINK("https://scryfall.com/card/ima/39/yosei-the-morning-star","Yosei, the Morning Star")</f>
        <v>Yosei, the Morning Star</v>
      </c>
      <c r="B1043" s="5">
        <v>1055</v>
      </c>
      <c r="C1043" s="6">
        <v>2</v>
      </c>
      <c r="D1043" s="6">
        <v>5</v>
      </c>
      <c r="E1043" s="6">
        <v>9</v>
      </c>
      <c r="F1043" s="6">
        <v>16</v>
      </c>
      <c r="G1043" s="6">
        <v>1042</v>
      </c>
      <c r="H1043" s="7"/>
    </row>
    <row r="1044" spans="1:8">
      <c r="A1044" s="4" t="str">
        <f>HYPERLINK("https://scryfall.com/card/xln/136/captain-lannery-storm","Captain Lannery Storm")</f>
        <v>Captain Lannery Storm</v>
      </c>
      <c r="B1044" s="5">
        <v>1057</v>
      </c>
      <c r="C1044" s="6">
        <v>2</v>
      </c>
      <c r="D1044" s="6">
        <v>6</v>
      </c>
      <c r="E1044" s="6">
        <v>8</v>
      </c>
      <c r="F1044" s="6">
        <v>16</v>
      </c>
      <c r="G1044" s="6">
        <v>1043</v>
      </c>
      <c r="H1044" s="7"/>
    </row>
    <row r="1045" spans="1:8">
      <c r="A1045" s="10" t="s">
        <v>640</v>
      </c>
      <c r="B1045" s="5">
        <v>1059</v>
      </c>
      <c r="C1045" s="11">
        <v>4</v>
      </c>
      <c r="D1045" s="11">
        <v>6</v>
      </c>
      <c r="E1045" s="11">
        <v>6</v>
      </c>
      <c r="F1045" s="11">
        <v>16</v>
      </c>
      <c r="G1045" s="6">
        <v>1044</v>
      </c>
      <c r="H1045" s="7"/>
    </row>
    <row r="1046" spans="1:8">
      <c r="A1046" s="4" t="s">
        <v>644</v>
      </c>
      <c r="B1046" s="5">
        <v>1070</v>
      </c>
      <c r="C1046" s="6">
        <v>1</v>
      </c>
      <c r="D1046" s="6">
        <v>5</v>
      </c>
      <c r="E1046" s="6">
        <v>10</v>
      </c>
      <c r="F1046" s="6">
        <v>16</v>
      </c>
      <c r="G1046" s="6">
        <v>1045</v>
      </c>
      <c r="H1046" s="7"/>
    </row>
    <row r="1047" spans="1:8">
      <c r="A1047" s="4" t="str">
        <f>HYPERLINK("https://scryfall.com/card/c17/201/vela-the-night-clad","Vela the Night-Clad")</f>
        <v>Vela the Night-Clad</v>
      </c>
      <c r="B1047" s="5">
        <v>1088</v>
      </c>
      <c r="C1047" s="6">
        <v>3</v>
      </c>
      <c r="D1047" s="6">
        <v>7</v>
      </c>
      <c r="E1047" s="6">
        <v>6</v>
      </c>
      <c r="F1047" s="6">
        <v>16</v>
      </c>
      <c r="G1047" s="6">
        <v>1046</v>
      </c>
      <c r="H1047" s="7"/>
    </row>
    <row r="1048" spans="1:8">
      <c r="A1048" s="4" t="str">
        <f>HYPERLINK("https://scryfall.com/card/m19/149/lathliss-dragon-queen","Lathliss, Dragon Queen")</f>
        <v>Lathliss, Dragon Queen</v>
      </c>
      <c r="B1048" s="5">
        <v>1091</v>
      </c>
      <c r="C1048" s="6">
        <v>3</v>
      </c>
      <c r="D1048" s="6">
        <v>7</v>
      </c>
      <c r="E1048" s="6">
        <v>6</v>
      </c>
      <c r="F1048" s="6">
        <v>16</v>
      </c>
      <c r="G1048" s="6">
        <v>1047</v>
      </c>
      <c r="H1048" s="7"/>
    </row>
    <row r="1049" spans="1:8">
      <c r="A1049" s="4" t="s">
        <v>659</v>
      </c>
      <c r="B1049" s="5">
        <v>1092</v>
      </c>
      <c r="C1049" s="6">
        <v>3</v>
      </c>
      <c r="D1049" s="6">
        <v>4</v>
      </c>
      <c r="E1049" s="6">
        <v>9</v>
      </c>
      <c r="F1049" s="6">
        <v>16</v>
      </c>
      <c r="G1049" s="6">
        <v>1048</v>
      </c>
      <c r="H1049" s="7"/>
    </row>
    <row r="1050" spans="1:8">
      <c r="A1050" s="4" t="str">
        <f>HYPERLINK("https://scryfall.com/card/bok/58/tomorrow-azamis-familiar","Tomorrow, Azami's Familiar")</f>
        <v>Tomorrow, Azami's Familiar</v>
      </c>
      <c r="B1050" s="5">
        <v>1105</v>
      </c>
      <c r="C1050" s="6">
        <v>3</v>
      </c>
      <c r="D1050" s="6">
        <v>6</v>
      </c>
      <c r="E1050" s="6">
        <v>7</v>
      </c>
      <c r="F1050" s="6">
        <v>16</v>
      </c>
      <c r="G1050" s="6">
        <v>1049</v>
      </c>
      <c r="H1050" s="7"/>
    </row>
    <row r="1051" spans="1:8">
      <c r="A1051" s="4" t="s">
        <v>670</v>
      </c>
      <c r="B1051" s="5">
        <v>1110</v>
      </c>
      <c r="C1051" s="6">
        <v>3</v>
      </c>
      <c r="D1051" s="6">
        <v>5</v>
      </c>
      <c r="E1051" s="6">
        <v>8</v>
      </c>
      <c r="F1051" s="6">
        <v>16</v>
      </c>
      <c r="G1051" s="6">
        <v>1050</v>
      </c>
      <c r="H1051" s="7"/>
    </row>
    <row r="1052" spans="1:8">
      <c r="A1052" s="4" t="s">
        <v>671</v>
      </c>
      <c r="B1052" s="5">
        <v>1112</v>
      </c>
      <c r="C1052" s="6">
        <v>3</v>
      </c>
      <c r="D1052" s="6">
        <v>6</v>
      </c>
      <c r="E1052" s="6">
        <v>7</v>
      </c>
      <c r="F1052" s="6">
        <v>16</v>
      </c>
      <c r="G1052" s="6">
        <v>1051</v>
      </c>
      <c r="H1052" s="7"/>
    </row>
    <row r="1053" spans="1:8">
      <c r="A1053" s="4" t="str">
        <f>HYPERLINK("https://scryfall.com/card/dtk/2/anafenza-kin-tree-spirit","Anafenza, Kin-Tree Spirit")</f>
        <v>Anafenza, Kin-Tree Spirit</v>
      </c>
      <c r="B1053" s="5">
        <v>1127</v>
      </c>
      <c r="C1053" s="6">
        <v>3</v>
      </c>
      <c r="D1053" s="6">
        <v>6</v>
      </c>
      <c r="E1053" s="6">
        <v>7</v>
      </c>
      <c r="F1053" s="6">
        <v>16</v>
      </c>
      <c r="G1053" s="6">
        <v>1052</v>
      </c>
      <c r="H1053" s="7"/>
    </row>
    <row r="1054" spans="1:8">
      <c r="A1054" s="4" t="str">
        <f>HYPERLINK("https://scryfall.com/card/chk/241/seshiro-the-anointed","Seshiro the Anointed")</f>
        <v>Seshiro the Anointed</v>
      </c>
      <c r="B1054" s="5">
        <v>1128</v>
      </c>
      <c r="C1054" s="6">
        <v>2</v>
      </c>
      <c r="D1054" s="6">
        <v>9</v>
      </c>
      <c r="E1054" s="6">
        <v>5</v>
      </c>
      <c r="F1054" s="6">
        <v>16</v>
      </c>
      <c r="G1054" s="6">
        <v>1053</v>
      </c>
      <c r="H1054" s="7"/>
    </row>
    <row r="1055" spans="1:8">
      <c r="A1055" s="4" t="str">
        <f>HYPERLINK("https://scryfall.com/card/emn/28a/gisela-the-broken-blade","Gisela, the Broken Blade")</f>
        <v>Gisela, the Broken Blade</v>
      </c>
      <c r="B1055" s="5">
        <v>1129</v>
      </c>
      <c r="C1055" s="6">
        <v>1</v>
      </c>
      <c r="D1055" s="6">
        <v>5</v>
      </c>
      <c r="E1055" s="6">
        <v>10</v>
      </c>
      <c r="F1055" s="6">
        <v>16</v>
      </c>
      <c r="G1055" s="6">
        <v>1054</v>
      </c>
      <c r="H1055" s="7"/>
    </row>
    <row r="1056" spans="1:8">
      <c r="A1056" s="4" t="s">
        <v>679</v>
      </c>
      <c r="B1056" s="5">
        <v>1130</v>
      </c>
      <c r="C1056" s="6">
        <v>2</v>
      </c>
      <c r="D1056" s="6">
        <v>7</v>
      </c>
      <c r="E1056" s="6">
        <v>7</v>
      </c>
      <c r="F1056" s="6">
        <v>16</v>
      </c>
      <c r="G1056" s="6">
        <v>1055</v>
      </c>
      <c r="H1056" s="7"/>
    </row>
    <row r="1057" spans="1:8">
      <c r="A1057" s="4" t="s">
        <v>680</v>
      </c>
      <c r="B1057" s="5">
        <v>1131</v>
      </c>
      <c r="C1057" s="6">
        <v>3</v>
      </c>
      <c r="D1057" s="6">
        <v>6</v>
      </c>
      <c r="E1057" s="6">
        <v>7</v>
      </c>
      <c r="F1057" s="6">
        <v>16</v>
      </c>
      <c r="G1057" s="6">
        <v>1056</v>
      </c>
      <c r="H1057" s="7"/>
    </row>
    <row r="1058" spans="1:8">
      <c r="A1058" s="4" t="s">
        <v>682</v>
      </c>
      <c r="B1058" s="5">
        <v>1134</v>
      </c>
      <c r="C1058" s="6">
        <v>4</v>
      </c>
      <c r="D1058" s="6">
        <v>5</v>
      </c>
      <c r="E1058" s="6">
        <v>7</v>
      </c>
      <c r="F1058" s="6">
        <v>16</v>
      </c>
      <c r="G1058" s="6">
        <v>1057</v>
      </c>
      <c r="H1058" s="7"/>
    </row>
    <row r="1059" spans="1:8">
      <c r="A1059" s="4" t="s">
        <v>683</v>
      </c>
      <c r="B1059" s="5">
        <v>1136</v>
      </c>
      <c r="C1059" s="6">
        <v>3</v>
      </c>
      <c r="D1059" s="6">
        <v>8</v>
      </c>
      <c r="E1059" s="6">
        <v>5</v>
      </c>
      <c r="F1059" s="6">
        <v>16</v>
      </c>
      <c r="G1059" s="6">
        <v>1058</v>
      </c>
      <c r="H1059" s="7"/>
    </row>
    <row r="1060" spans="1:8">
      <c r="A1060" s="4" t="s">
        <v>687</v>
      </c>
      <c r="B1060" s="5">
        <v>1141</v>
      </c>
      <c r="C1060" s="6">
        <v>3</v>
      </c>
      <c r="D1060" s="6">
        <v>5</v>
      </c>
      <c r="E1060" s="6">
        <v>8</v>
      </c>
      <c r="F1060" s="6">
        <v>16</v>
      </c>
      <c r="G1060" s="6">
        <v>1059</v>
      </c>
      <c r="H1060" s="7"/>
    </row>
    <row r="1061" spans="1:8">
      <c r="A1061" s="4" t="s">
        <v>688</v>
      </c>
      <c r="B1061" s="5">
        <v>1142</v>
      </c>
      <c r="C1061" s="6">
        <v>1</v>
      </c>
      <c r="D1061" s="6">
        <v>5</v>
      </c>
      <c r="E1061" s="6">
        <v>10</v>
      </c>
      <c r="F1061" s="6">
        <v>16</v>
      </c>
      <c r="G1061" s="6">
        <v>1060</v>
      </c>
      <c r="H1061" s="7"/>
    </row>
    <row r="1062" spans="1:8">
      <c r="A1062" s="4" t="s">
        <v>698</v>
      </c>
      <c r="B1062" s="5">
        <v>1155</v>
      </c>
      <c r="C1062" s="6">
        <v>4</v>
      </c>
      <c r="D1062" s="6">
        <v>6</v>
      </c>
      <c r="E1062" s="6">
        <v>6</v>
      </c>
      <c r="F1062" s="6">
        <v>16</v>
      </c>
      <c r="G1062" s="6">
        <v>1061</v>
      </c>
      <c r="H1062" s="7"/>
    </row>
    <row r="1063" spans="1:8">
      <c r="A1063" s="4" t="str">
        <f>HYPERLINK("https://scryfall.com/card/c18/44/saheeli-the-gifted","Saheeli, the Gifted")</f>
        <v>Saheeli, the Gifted</v>
      </c>
      <c r="B1063" s="5">
        <v>1158</v>
      </c>
      <c r="C1063" s="6">
        <v>5</v>
      </c>
      <c r="D1063" s="6">
        <v>8</v>
      </c>
      <c r="E1063" s="6">
        <v>3</v>
      </c>
      <c r="F1063" s="6">
        <v>16</v>
      </c>
      <c r="G1063" s="6">
        <v>1062</v>
      </c>
      <c r="H1063" s="7"/>
    </row>
    <row r="1064" spans="1:8">
      <c r="A1064" s="4" t="s">
        <v>702</v>
      </c>
      <c r="B1064" s="5">
        <v>1163</v>
      </c>
      <c r="C1064" s="6">
        <v>2</v>
      </c>
      <c r="D1064" s="6">
        <v>8</v>
      </c>
      <c r="E1064" s="6">
        <v>6</v>
      </c>
      <c r="F1064" s="6">
        <v>16</v>
      </c>
      <c r="G1064" s="6">
        <v>1063</v>
      </c>
      <c r="H1064" s="7"/>
    </row>
    <row r="1065" spans="1:8">
      <c r="A1065" s="4" t="s">
        <v>713</v>
      </c>
      <c r="B1065" s="5">
        <v>1181</v>
      </c>
      <c r="C1065" s="6">
        <v>3</v>
      </c>
      <c r="D1065" s="6">
        <v>7</v>
      </c>
      <c r="E1065" s="6">
        <v>6</v>
      </c>
      <c r="F1065" s="6">
        <v>16</v>
      </c>
      <c r="G1065" s="6">
        <v>1064</v>
      </c>
      <c r="H1065" s="7"/>
    </row>
    <row r="1066" spans="1:8">
      <c r="A1066" s="4" t="s">
        <v>716</v>
      </c>
      <c r="B1066" s="5">
        <v>1185</v>
      </c>
      <c r="C1066" s="6">
        <v>3</v>
      </c>
      <c r="D1066" s="6">
        <v>6</v>
      </c>
      <c r="E1066" s="6">
        <v>7</v>
      </c>
      <c r="F1066" s="6">
        <v>16</v>
      </c>
      <c r="G1066" s="6">
        <v>1065</v>
      </c>
      <c r="H1066" s="7"/>
    </row>
    <row r="1067" spans="1:8">
      <c r="A1067" s="4" t="str">
        <f>HYPERLINK("https://scryfall.com/card/mh1/202/hogaak-arisen-necropolis","Hogaak, Arisen Necropolis")</f>
        <v>Hogaak, Arisen Necropolis</v>
      </c>
      <c r="B1067" s="5">
        <v>1197</v>
      </c>
      <c r="C1067" s="6">
        <v>0</v>
      </c>
      <c r="D1067" s="6">
        <v>9</v>
      </c>
      <c r="E1067" s="6">
        <v>7</v>
      </c>
      <c r="F1067" s="6">
        <v>16</v>
      </c>
      <c r="G1067" s="6">
        <v>1066</v>
      </c>
      <c r="H1067" s="7"/>
    </row>
    <row r="1068" spans="1:8">
      <c r="A1068" s="4" t="s">
        <v>725</v>
      </c>
      <c r="B1068" s="5">
        <v>1201</v>
      </c>
      <c r="C1068" s="6">
        <v>2</v>
      </c>
      <c r="D1068" s="6">
        <v>7</v>
      </c>
      <c r="E1068" s="6">
        <v>7</v>
      </c>
      <c r="F1068" s="6">
        <v>16</v>
      </c>
      <c r="G1068" s="6">
        <v>1067</v>
      </c>
      <c r="H1068" s="7"/>
    </row>
    <row r="1069" spans="1:8">
      <c r="A1069" s="4" t="str">
        <f>HYPERLINK("https://scryfall.com/card/thb/196/renata-called-to-the-hunt","Renata, Called to the Hunt")</f>
        <v>Renata, Called to the Hunt</v>
      </c>
      <c r="B1069" s="5">
        <v>1202</v>
      </c>
      <c r="C1069" s="6">
        <v>3</v>
      </c>
      <c r="D1069" s="6">
        <v>8</v>
      </c>
      <c r="E1069" s="6">
        <v>5</v>
      </c>
      <c r="F1069" s="6">
        <v>16</v>
      </c>
      <c r="G1069" s="6">
        <v>1068</v>
      </c>
      <c r="H1069" s="7"/>
    </row>
    <row r="1070" spans="1:8">
      <c r="A1070" s="4" t="s">
        <v>735</v>
      </c>
      <c r="B1070" s="5">
        <v>1226</v>
      </c>
      <c r="C1070" s="6">
        <v>3</v>
      </c>
      <c r="D1070" s="6">
        <v>5</v>
      </c>
      <c r="E1070" s="6">
        <v>8</v>
      </c>
      <c r="F1070" s="6">
        <v>16</v>
      </c>
      <c r="G1070" s="6">
        <v>1069</v>
      </c>
      <c r="H1070" s="7"/>
    </row>
    <row r="1071" spans="1:8">
      <c r="A1071" s="10" t="s">
        <v>737</v>
      </c>
      <c r="B1071" s="5">
        <v>1231</v>
      </c>
      <c r="C1071" s="11">
        <v>4</v>
      </c>
      <c r="D1071" s="11">
        <v>5</v>
      </c>
      <c r="E1071" s="11">
        <v>7</v>
      </c>
      <c r="F1071" s="11">
        <v>16</v>
      </c>
      <c r="G1071" s="6">
        <v>1070</v>
      </c>
      <c r="H1071" s="7"/>
    </row>
    <row r="1072" spans="1:8">
      <c r="A1072" s="4" t="s">
        <v>740</v>
      </c>
      <c r="B1072" s="5">
        <v>1238</v>
      </c>
      <c r="C1072" s="6">
        <v>4</v>
      </c>
      <c r="D1072" s="6">
        <v>5</v>
      </c>
      <c r="E1072" s="6">
        <v>7</v>
      </c>
      <c r="F1072" s="6">
        <v>16</v>
      </c>
      <c r="G1072" s="6">
        <v>1071</v>
      </c>
      <c r="H1072" s="7"/>
    </row>
    <row r="1073" spans="1:8">
      <c r="A1073" s="4" t="s">
        <v>743</v>
      </c>
      <c r="B1073" s="5">
        <v>1242</v>
      </c>
      <c r="C1073" s="6">
        <v>3</v>
      </c>
      <c r="D1073" s="6">
        <v>6</v>
      </c>
      <c r="E1073" s="6">
        <v>7</v>
      </c>
      <c r="F1073" s="6">
        <v>16</v>
      </c>
      <c r="G1073" s="6">
        <v>1072</v>
      </c>
      <c r="H1073" s="7"/>
    </row>
    <row r="1074" spans="1:8">
      <c r="A1074" s="4" t="s">
        <v>755</v>
      </c>
      <c r="B1074" s="5">
        <v>1259</v>
      </c>
      <c r="C1074" s="6">
        <v>1</v>
      </c>
      <c r="D1074" s="6">
        <v>8</v>
      </c>
      <c r="E1074" s="6">
        <v>7</v>
      </c>
      <c r="F1074" s="6">
        <v>16</v>
      </c>
      <c r="G1074" s="6">
        <v>1073</v>
      </c>
      <c r="H1074" s="7"/>
    </row>
    <row r="1075" spans="1:8">
      <c r="A1075" s="4" t="s">
        <v>759</v>
      </c>
      <c r="B1075" s="5">
        <v>1263</v>
      </c>
      <c r="C1075" s="6">
        <v>4</v>
      </c>
      <c r="D1075" s="6">
        <v>5</v>
      </c>
      <c r="E1075" s="6">
        <v>7</v>
      </c>
      <c r="F1075" s="6">
        <v>16</v>
      </c>
      <c r="G1075" s="6">
        <v>1074</v>
      </c>
      <c r="H1075" s="7"/>
    </row>
    <row r="1076" spans="1:8">
      <c r="A1076" s="4" t="s">
        <v>766</v>
      </c>
      <c r="B1076" s="5">
        <v>1270</v>
      </c>
      <c r="C1076" s="6">
        <v>4</v>
      </c>
      <c r="D1076" s="6">
        <v>8</v>
      </c>
      <c r="E1076" s="6">
        <v>4</v>
      </c>
      <c r="F1076" s="6">
        <v>16</v>
      </c>
      <c r="G1076" s="6">
        <v>1075</v>
      </c>
      <c r="H1076" s="7"/>
    </row>
    <row r="1077" spans="1:8">
      <c r="A1077" s="4" t="s">
        <v>771</v>
      </c>
      <c r="B1077" s="5">
        <v>1282</v>
      </c>
      <c r="C1077" s="6">
        <v>3</v>
      </c>
      <c r="D1077" s="6">
        <v>5</v>
      </c>
      <c r="E1077" s="6">
        <v>8</v>
      </c>
      <c r="F1077" s="6">
        <v>16</v>
      </c>
      <c r="G1077" s="6">
        <v>1076</v>
      </c>
      <c r="H1077" s="7"/>
    </row>
    <row r="1078" spans="1:8">
      <c r="A1078" s="4" t="s">
        <v>773</v>
      </c>
      <c r="B1078" s="5">
        <v>1288</v>
      </c>
      <c r="C1078" s="6">
        <v>1</v>
      </c>
      <c r="D1078" s="6">
        <v>6</v>
      </c>
      <c r="E1078" s="6">
        <v>9</v>
      </c>
      <c r="F1078" s="6">
        <v>16</v>
      </c>
      <c r="G1078" s="6">
        <v>1077</v>
      </c>
      <c r="H1078" s="7"/>
    </row>
    <row r="1079" spans="1:8">
      <c r="A1079" s="4" t="s">
        <v>778</v>
      </c>
      <c r="B1079" s="5">
        <v>1294</v>
      </c>
      <c r="C1079" s="6">
        <v>3</v>
      </c>
      <c r="D1079" s="6">
        <v>7</v>
      </c>
      <c r="E1079" s="6">
        <v>6</v>
      </c>
      <c r="F1079" s="6">
        <v>16</v>
      </c>
      <c r="G1079" s="6">
        <v>1078</v>
      </c>
      <c r="H1079" s="7"/>
    </row>
    <row r="1080" spans="1:8">
      <c r="A1080" s="4" t="str">
        <f>HYPERLINK("https://scryfall.com/card/ogw/19/general-tazri","General Tazri")</f>
        <v>General Tazri</v>
      </c>
      <c r="B1080" s="5">
        <v>1297</v>
      </c>
      <c r="C1080" s="6">
        <v>4</v>
      </c>
      <c r="D1080" s="6">
        <v>8</v>
      </c>
      <c r="E1080" s="6">
        <v>4</v>
      </c>
      <c r="F1080" s="6">
        <v>16</v>
      </c>
      <c r="G1080" s="6">
        <v>1079</v>
      </c>
      <c r="H1080" s="7"/>
    </row>
    <row r="1081" spans="1:8">
      <c r="A1081" s="4" t="s">
        <v>780</v>
      </c>
      <c r="B1081" s="5">
        <v>1298</v>
      </c>
      <c r="C1081" s="6">
        <v>5</v>
      </c>
      <c r="D1081" s="6">
        <v>6</v>
      </c>
      <c r="E1081" s="6">
        <v>5</v>
      </c>
      <c r="F1081" s="6">
        <v>16</v>
      </c>
      <c r="G1081" s="6">
        <v>1080</v>
      </c>
      <c r="H1081" s="7"/>
    </row>
    <row r="1082" spans="1:8">
      <c r="A1082" s="4" t="s">
        <v>783</v>
      </c>
      <c r="B1082" s="5">
        <v>1308</v>
      </c>
      <c r="C1082" s="6">
        <v>2</v>
      </c>
      <c r="D1082" s="6">
        <v>6</v>
      </c>
      <c r="E1082" s="6">
        <v>8</v>
      </c>
      <c r="F1082" s="6">
        <v>16</v>
      </c>
      <c r="G1082" s="6">
        <v>1081</v>
      </c>
      <c r="H1082" s="7"/>
    </row>
    <row r="1083" spans="1:8">
      <c r="A1083" s="4" t="s">
        <v>789</v>
      </c>
      <c r="B1083" s="5">
        <v>1318</v>
      </c>
      <c r="C1083" s="6">
        <v>3</v>
      </c>
      <c r="D1083" s="6">
        <v>6</v>
      </c>
      <c r="E1083" s="6">
        <v>7</v>
      </c>
      <c r="F1083" s="6">
        <v>16</v>
      </c>
      <c r="G1083" s="6">
        <v>1082</v>
      </c>
      <c r="H1083" s="7"/>
    </row>
    <row r="1084" spans="1:8">
      <c r="A1084" s="4" t="s">
        <v>796</v>
      </c>
      <c r="B1084" s="5">
        <v>1328</v>
      </c>
      <c r="C1084" s="6">
        <v>1</v>
      </c>
      <c r="D1084" s="6">
        <v>7</v>
      </c>
      <c r="E1084" s="6">
        <v>8</v>
      </c>
      <c r="F1084" s="6">
        <v>16</v>
      </c>
      <c r="G1084" s="6">
        <v>1083</v>
      </c>
      <c r="H1084" s="7"/>
    </row>
    <row r="1085" spans="1:8">
      <c r="A1085" s="4" t="s">
        <v>798</v>
      </c>
      <c r="B1085" s="5">
        <v>1331</v>
      </c>
      <c r="C1085" s="6">
        <v>4</v>
      </c>
      <c r="D1085" s="6">
        <v>5</v>
      </c>
      <c r="E1085" s="6">
        <v>7</v>
      </c>
      <c r="F1085" s="6">
        <v>16</v>
      </c>
      <c r="G1085" s="6">
        <v>1084</v>
      </c>
      <c r="H1085" s="7"/>
    </row>
    <row r="1086" spans="1:8">
      <c r="A1086" s="4" t="s">
        <v>799</v>
      </c>
      <c r="B1086" s="5">
        <v>1332</v>
      </c>
      <c r="C1086" s="6">
        <v>3</v>
      </c>
      <c r="D1086" s="6">
        <v>6</v>
      </c>
      <c r="E1086" s="6">
        <v>7</v>
      </c>
      <c r="F1086" s="6">
        <v>16</v>
      </c>
      <c r="G1086" s="6">
        <v>1085</v>
      </c>
      <c r="H1086" s="7"/>
    </row>
    <row r="1087" spans="1:8">
      <c r="A1087" s="4" t="s">
        <v>802</v>
      </c>
      <c r="B1087" s="5">
        <v>1342</v>
      </c>
      <c r="C1087" s="6">
        <v>4</v>
      </c>
      <c r="D1087" s="6">
        <v>5</v>
      </c>
      <c r="E1087" s="6">
        <v>7</v>
      </c>
      <c r="F1087" s="6">
        <v>16</v>
      </c>
      <c r="G1087" s="6">
        <v>1086</v>
      </c>
      <c r="H1087" s="7"/>
    </row>
    <row r="1088" spans="1:8">
      <c r="A1088" s="4" t="s">
        <v>807</v>
      </c>
      <c r="B1088" s="5">
        <v>1352</v>
      </c>
      <c r="C1088" s="6">
        <v>3</v>
      </c>
      <c r="D1088" s="6">
        <v>6</v>
      </c>
      <c r="E1088" s="6">
        <v>7</v>
      </c>
      <c r="F1088" s="6">
        <v>16</v>
      </c>
      <c r="G1088" s="6">
        <v>1087</v>
      </c>
      <c r="H1088" s="7"/>
    </row>
    <row r="1089" spans="1:8">
      <c r="A1089" s="4" t="s">
        <v>811</v>
      </c>
      <c r="B1089" s="5">
        <v>1371</v>
      </c>
      <c r="C1089" s="6">
        <v>4</v>
      </c>
      <c r="D1089" s="6">
        <v>6</v>
      </c>
      <c r="E1089" s="6">
        <v>6</v>
      </c>
      <c r="F1089" s="6">
        <v>16</v>
      </c>
      <c r="G1089" s="6">
        <v>1088</v>
      </c>
      <c r="H1089" s="7"/>
    </row>
    <row r="1090" spans="1:8">
      <c r="A1090" s="4" t="s">
        <v>828</v>
      </c>
      <c r="B1090" s="5">
        <v>1401</v>
      </c>
      <c r="C1090" s="6">
        <v>2</v>
      </c>
      <c r="D1090" s="6">
        <v>5</v>
      </c>
      <c r="E1090" s="6">
        <v>9</v>
      </c>
      <c r="F1090" s="6">
        <v>16</v>
      </c>
      <c r="G1090" s="6">
        <v>1089</v>
      </c>
      <c r="H1090" s="7"/>
    </row>
    <row r="1091" spans="1:8">
      <c r="A1091" s="4" t="s">
        <v>831</v>
      </c>
      <c r="B1091" s="5">
        <v>1406</v>
      </c>
      <c r="C1091" s="6">
        <v>2</v>
      </c>
      <c r="D1091" s="6">
        <v>6</v>
      </c>
      <c r="E1091" s="6">
        <v>8</v>
      </c>
      <c r="F1091" s="6">
        <v>16</v>
      </c>
      <c r="G1091" s="6">
        <v>1090</v>
      </c>
      <c r="H1091" s="7"/>
    </row>
    <row r="1092" spans="1:8">
      <c r="A1092" s="4" t="s">
        <v>836</v>
      </c>
      <c r="B1092" s="5">
        <v>1422</v>
      </c>
      <c r="C1092" s="6">
        <v>2</v>
      </c>
      <c r="D1092" s="6">
        <v>5</v>
      </c>
      <c r="E1092" s="6">
        <v>9</v>
      </c>
      <c r="F1092" s="6">
        <v>16</v>
      </c>
      <c r="G1092" s="6">
        <v>1091</v>
      </c>
      <c r="H1092" s="7"/>
    </row>
    <row r="1093" spans="1:8">
      <c r="A1093" s="4" t="str">
        <f>HYPERLINK("https://scryfall.com/card/bok/89/toshiro-umezawa","Toshiro Umezawa")</f>
        <v>Toshiro Umezawa</v>
      </c>
      <c r="B1093" s="5">
        <v>556</v>
      </c>
      <c r="C1093" s="6">
        <v>2</v>
      </c>
      <c r="D1093" s="6">
        <v>6</v>
      </c>
      <c r="E1093" s="6">
        <v>7</v>
      </c>
      <c r="F1093" s="6">
        <v>15</v>
      </c>
      <c r="G1093" s="6">
        <v>1092</v>
      </c>
      <c r="H1093" s="7"/>
    </row>
    <row r="1094" spans="1:8">
      <c r="A1094" s="4" t="str">
        <f>HYPERLINK("https://scryfall.com/card/ima/205/malfegor","Malfegor")</f>
        <v>Malfegor</v>
      </c>
      <c r="B1094" s="5">
        <v>558</v>
      </c>
      <c r="C1094" s="6">
        <v>2</v>
      </c>
      <c r="D1094" s="6">
        <v>6</v>
      </c>
      <c r="E1094" s="6">
        <v>7</v>
      </c>
      <c r="F1094" s="6">
        <v>15</v>
      </c>
      <c r="G1094" s="6">
        <v>1093</v>
      </c>
      <c r="H1094" s="7"/>
    </row>
    <row r="1095" spans="1:8">
      <c r="A1095" s="4" t="str">
        <f>HYPERLINK("https://scryfall.com/card/emn/46/thalia-heretic-cathar","Thalia, Heretic Cathar")</f>
        <v>Thalia, Heretic Cathar</v>
      </c>
      <c r="B1095" s="5">
        <v>609</v>
      </c>
      <c r="C1095" s="6">
        <v>3</v>
      </c>
      <c r="D1095" s="6">
        <v>6</v>
      </c>
      <c r="E1095" s="6">
        <v>6</v>
      </c>
      <c r="F1095" s="6">
        <v>15</v>
      </c>
      <c r="G1095" s="6">
        <v>1094</v>
      </c>
      <c r="H1095" s="7"/>
    </row>
    <row r="1096" spans="1:8">
      <c r="A1096" s="4" t="str">
        <f>HYPERLINK("https://scryfall.com/card/bbd/4/krav-the-unredeemed","Krav, the Unredeemed")</f>
        <v>Krav, the Unredeemed</v>
      </c>
      <c r="B1096" s="5">
        <v>661</v>
      </c>
      <c r="C1096" s="6">
        <v>5</v>
      </c>
      <c r="D1096" s="6">
        <v>7</v>
      </c>
      <c r="E1096" s="6">
        <v>3</v>
      </c>
      <c r="F1096" s="6">
        <v>15</v>
      </c>
      <c r="G1096" s="6">
        <v>1095</v>
      </c>
      <c r="H1096" s="7"/>
    </row>
    <row r="1097" spans="1:8">
      <c r="A1097" s="4" t="str">
        <f>HYPERLINK("https://scryfall.com/card/c18/28/varchild-betrayer-of-kjeldor","Varchild, Betrayer of Kjeldor")</f>
        <v>Varchild, Betrayer of Kjeldor</v>
      </c>
      <c r="B1097" s="5">
        <v>698</v>
      </c>
      <c r="C1097" s="6">
        <v>1</v>
      </c>
      <c r="D1097" s="6">
        <v>7</v>
      </c>
      <c r="E1097" s="6">
        <v>7</v>
      </c>
      <c r="F1097" s="6">
        <v>15</v>
      </c>
      <c r="G1097" s="6">
        <v>1096</v>
      </c>
      <c r="H1097" s="7"/>
    </row>
    <row r="1098" spans="1:8">
      <c r="A1098" s="4" t="str">
        <f>HYPERLINK("https://scryfall.com/card/jud/61/balthor-the-defiled","Balthor the Defiled")</f>
        <v>Balthor the Defiled</v>
      </c>
      <c r="B1098" s="5">
        <v>709</v>
      </c>
      <c r="C1098" s="6">
        <v>4</v>
      </c>
      <c r="D1098" s="6">
        <v>5</v>
      </c>
      <c r="E1098" s="6">
        <v>6</v>
      </c>
      <c r="F1098" s="6">
        <v>15</v>
      </c>
      <c r="G1098" s="6">
        <v>1097</v>
      </c>
      <c r="H1098" s="7"/>
    </row>
    <row r="1099" spans="1:8">
      <c r="A1099" s="4" t="str">
        <f>HYPERLINK("https://scryfall.com/card/war/140/neheb-dreadhorde-champion","Neheb, Dreadhorde Champion")</f>
        <v>Neheb, Dreadhorde Champion</v>
      </c>
      <c r="B1099" s="5">
        <v>728</v>
      </c>
      <c r="C1099" s="6">
        <v>3</v>
      </c>
      <c r="D1099" s="6">
        <v>7</v>
      </c>
      <c r="E1099" s="6">
        <v>5</v>
      </c>
      <c r="F1099" s="6">
        <v>15</v>
      </c>
      <c r="G1099" s="6">
        <v>1098</v>
      </c>
      <c r="H1099" s="7"/>
    </row>
    <row r="1100" spans="1:8">
      <c r="A1100" s="4" t="str">
        <f>HYPERLINK("https://scryfall.com/card/a25/209/nicol-bolas","Nicol Bolas")</f>
        <v>Nicol Bolas</v>
      </c>
      <c r="B1100" s="5">
        <v>743</v>
      </c>
      <c r="C1100" s="6">
        <v>2</v>
      </c>
      <c r="D1100" s="6">
        <v>5</v>
      </c>
      <c r="E1100" s="6">
        <v>8</v>
      </c>
      <c r="F1100" s="6">
        <v>15</v>
      </c>
      <c r="G1100" s="6">
        <v>1099</v>
      </c>
      <c r="H1100" s="7"/>
    </row>
    <row r="1101" spans="1:8">
      <c r="A1101" s="4" t="s">
        <v>453</v>
      </c>
      <c r="B1101" s="5">
        <v>745</v>
      </c>
      <c r="C1101" s="6">
        <v>2</v>
      </c>
      <c r="D1101" s="6">
        <v>4</v>
      </c>
      <c r="E1101" s="6">
        <v>9</v>
      </c>
      <c r="F1101" s="6">
        <v>15</v>
      </c>
      <c r="G1101" s="6">
        <v>1100</v>
      </c>
      <c r="H1101" s="7"/>
    </row>
    <row r="1102" spans="1:8">
      <c r="A1102" s="4" t="str">
        <f>HYPERLINK("https://scryfall.com/card/jou/150/iroas-god-of-victory","Iroas, God of Victory")</f>
        <v>Iroas, God of Victory</v>
      </c>
      <c r="B1102" s="5">
        <v>755</v>
      </c>
      <c r="C1102" s="6">
        <v>4</v>
      </c>
      <c r="D1102" s="6">
        <v>6</v>
      </c>
      <c r="E1102" s="6">
        <v>5</v>
      </c>
      <c r="F1102" s="6">
        <v>15</v>
      </c>
      <c r="G1102" s="6">
        <v>1101</v>
      </c>
      <c r="H1102" s="7"/>
    </row>
    <row r="1103" spans="1:8">
      <c r="A1103" s="4" t="str">
        <f>HYPERLINK("https://scryfall.com/card/c17/49/wasitora-nekoru-queen","Wasitora, Nekoru Queen")</f>
        <v>Wasitora, Nekoru Queen</v>
      </c>
      <c r="B1103" s="5">
        <v>797</v>
      </c>
      <c r="C1103" s="6">
        <v>2</v>
      </c>
      <c r="D1103" s="6">
        <v>8</v>
      </c>
      <c r="E1103" s="6">
        <v>5</v>
      </c>
      <c r="F1103" s="6">
        <v>15</v>
      </c>
      <c r="G1103" s="6">
        <v>1102</v>
      </c>
      <c r="H1103" s="7"/>
    </row>
    <row r="1104" spans="1:8">
      <c r="A1104" s="4" t="str">
        <f>HYPERLINK("https://scryfall.com/card/c17/45/o-kagachi-vengeful-kami","O-Kagachi, Vengeful Kami")</f>
        <v>O-Kagachi, Vengeful Kami</v>
      </c>
      <c r="B1104" s="5">
        <v>810</v>
      </c>
      <c r="C1104" s="6">
        <v>1</v>
      </c>
      <c r="D1104" s="6">
        <v>5</v>
      </c>
      <c r="E1104" s="6">
        <v>9</v>
      </c>
      <c r="F1104" s="6">
        <v>15</v>
      </c>
      <c r="G1104" s="6">
        <v>1103</v>
      </c>
      <c r="H1104" s="7"/>
    </row>
    <row r="1105" spans="1:8">
      <c r="A1105" s="4" t="str">
        <f>HYPERLINK("https://scryfall.com/card/tsp/171/norin-the-wary","Norin the Wary")</f>
        <v>Norin the Wary</v>
      </c>
      <c r="B1105" s="5">
        <v>818</v>
      </c>
      <c r="C1105" s="6">
        <v>0</v>
      </c>
      <c r="D1105" s="6">
        <v>10</v>
      </c>
      <c r="E1105" s="6">
        <v>5</v>
      </c>
      <c r="F1105" s="6">
        <v>15</v>
      </c>
      <c r="G1105" s="6">
        <v>1104</v>
      </c>
      <c r="H1105" s="7"/>
    </row>
    <row r="1106" spans="1:8">
      <c r="A1106" s="4" t="s">
        <v>505</v>
      </c>
      <c r="B1106" s="5">
        <v>824</v>
      </c>
      <c r="C1106" s="6">
        <v>4</v>
      </c>
      <c r="D1106" s="6">
        <v>6</v>
      </c>
      <c r="E1106" s="6">
        <v>5</v>
      </c>
      <c r="F1106" s="6">
        <v>15</v>
      </c>
      <c r="G1106" s="6">
        <v>1105</v>
      </c>
      <c r="H1106" s="7"/>
    </row>
    <row r="1107" spans="1:8">
      <c r="A1107" s="4" t="s">
        <v>507</v>
      </c>
      <c r="B1107" s="5">
        <v>827</v>
      </c>
      <c r="C1107" s="6">
        <v>3</v>
      </c>
      <c r="D1107" s="6">
        <v>6</v>
      </c>
      <c r="E1107" s="6">
        <v>6</v>
      </c>
      <c r="F1107" s="6">
        <v>15</v>
      </c>
      <c r="G1107" s="6">
        <v>1106</v>
      </c>
      <c r="H1107" s="7"/>
    </row>
    <row r="1108" spans="1:8">
      <c r="A1108" s="4" t="str">
        <f>HYPERLINK("https://scryfall.com/card/c14/10/nahiri-the-lithomancer","Nahiri, the Lithomancer")</f>
        <v>Nahiri, the Lithomancer</v>
      </c>
      <c r="B1108" s="5">
        <v>828</v>
      </c>
      <c r="C1108" s="6">
        <v>2</v>
      </c>
      <c r="D1108" s="6">
        <v>7</v>
      </c>
      <c r="E1108" s="6">
        <v>6</v>
      </c>
      <c r="F1108" s="6">
        <v>15</v>
      </c>
      <c r="G1108" s="6">
        <v>1107</v>
      </c>
      <c r="H1108" s="7"/>
    </row>
    <row r="1109" spans="1:8">
      <c r="A1109" s="4" t="str">
        <f>HYPERLINK("https://scryfall.com/card/m19/214/chromium-the-mutable","Chromium, the Mutable")</f>
        <v>Chromium, the Mutable</v>
      </c>
      <c r="B1109" s="5">
        <v>836</v>
      </c>
      <c r="C1109" s="6">
        <v>4</v>
      </c>
      <c r="D1109" s="6">
        <v>6</v>
      </c>
      <c r="E1109" s="6">
        <v>5</v>
      </c>
      <c r="F1109" s="6">
        <v>15</v>
      </c>
      <c r="G1109" s="6">
        <v>1108</v>
      </c>
      <c r="H1109" s="7"/>
    </row>
    <row r="1110" spans="1:8">
      <c r="A1110" s="4" t="str">
        <f>HYPERLINK("https://scryfall.com/card/ima/101/ob-nixilis-the-fallen","Ob Nixilis, the Fallen")</f>
        <v>Ob Nixilis, the Fallen</v>
      </c>
      <c r="B1110" s="5">
        <v>847</v>
      </c>
      <c r="C1110" s="6">
        <v>3</v>
      </c>
      <c r="D1110" s="6">
        <v>7</v>
      </c>
      <c r="E1110" s="6">
        <v>5</v>
      </c>
      <c r="F1110" s="6">
        <v>15</v>
      </c>
      <c r="G1110" s="6">
        <v>1109</v>
      </c>
      <c r="H1110" s="7"/>
    </row>
    <row r="1111" spans="1:8">
      <c r="A1111" s="4" t="str">
        <f>HYPERLINK("https://scryfall.com/card/ddu/47/pia-and-kiran-nalaar","Pia and Kiran Nalaar")</f>
        <v>Pia and Kiran Nalaar</v>
      </c>
      <c r="B1111" s="5">
        <v>849</v>
      </c>
      <c r="C1111" s="6">
        <v>2</v>
      </c>
      <c r="D1111" s="6">
        <v>5</v>
      </c>
      <c r="E1111" s="6">
        <v>8</v>
      </c>
      <c r="F1111" s="6">
        <v>15</v>
      </c>
      <c r="G1111" s="6">
        <v>1110</v>
      </c>
      <c r="H1111" s="7"/>
    </row>
    <row r="1112" spans="1:8">
      <c r="A1112" s="4" t="s">
        <v>520</v>
      </c>
      <c r="B1112" s="5">
        <v>851</v>
      </c>
      <c r="C1112" s="6">
        <v>2</v>
      </c>
      <c r="D1112" s="6">
        <v>8</v>
      </c>
      <c r="E1112" s="6">
        <v>5</v>
      </c>
      <c r="F1112" s="6">
        <v>15</v>
      </c>
      <c r="G1112" s="6">
        <v>1111</v>
      </c>
      <c r="H1112" s="7"/>
    </row>
    <row r="1113" spans="1:8">
      <c r="A1113" s="4" t="s">
        <v>521</v>
      </c>
      <c r="B1113" s="5">
        <v>852</v>
      </c>
      <c r="C1113" s="6">
        <v>3</v>
      </c>
      <c r="D1113" s="6">
        <v>5</v>
      </c>
      <c r="E1113" s="6">
        <v>7</v>
      </c>
      <c r="F1113" s="6">
        <v>15</v>
      </c>
      <c r="G1113" s="6">
        <v>1112</v>
      </c>
      <c r="H1113" s="7"/>
    </row>
    <row r="1114" spans="1:8">
      <c r="A1114" s="4" t="str">
        <f>HYPERLINK("https://scryfall.com/card/cm2/2/damia-sage-of-stone","Damia, Sage of Stone")</f>
        <v>Damia, Sage of Stone</v>
      </c>
      <c r="B1114" s="5">
        <v>860</v>
      </c>
      <c r="C1114" s="6">
        <v>3</v>
      </c>
      <c r="D1114" s="6">
        <v>4</v>
      </c>
      <c r="E1114" s="6">
        <v>8</v>
      </c>
      <c r="F1114" s="6">
        <v>15</v>
      </c>
      <c r="G1114" s="6">
        <v>1113</v>
      </c>
      <c r="H1114" s="7"/>
    </row>
    <row r="1115" spans="1:8">
      <c r="A1115" s="4" t="s">
        <v>529</v>
      </c>
      <c r="B1115" s="5">
        <v>862</v>
      </c>
      <c r="C1115" s="6">
        <v>2</v>
      </c>
      <c r="D1115" s="6">
        <v>6</v>
      </c>
      <c r="E1115" s="6">
        <v>7</v>
      </c>
      <c r="F1115" s="6">
        <v>15</v>
      </c>
      <c r="G1115" s="6">
        <v>1114</v>
      </c>
      <c r="H1115" s="7"/>
    </row>
    <row r="1116" spans="1:8">
      <c r="A1116" s="4" t="s">
        <v>541</v>
      </c>
      <c r="B1116" s="5">
        <v>883</v>
      </c>
      <c r="C1116" s="6">
        <v>4</v>
      </c>
      <c r="D1116" s="6">
        <v>6</v>
      </c>
      <c r="E1116" s="6">
        <v>5</v>
      </c>
      <c r="F1116" s="6">
        <v>15</v>
      </c>
      <c r="G1116" s="6">
        <v>1115</v>
      </c>
      <c r="H1116" s="7"/>
    </row>
    <row r="1117" spans="1:8">
      <c r="A1117" s="4" t="s">
        <v>543</v>
      </c>
      <c r="B1117" s="5">
        <v>887</v>
      </c>
      <c r="C1117" s="6">
        <v>2</v>
      </c>
      <c r="D1117" s="6">
        <v>7</v>
      </c>
      <c r="E1117" s="6">
        <v>6</v>
      </c>
      <c r="F1117" s="6">
        <v>15</v>
      </c>
      <c r="G1117" s="6">
        <v>1116</v>
      </c>
      <c r="H1117" s="7"/>
    </row>
    <row r="1118" spans="1:8">
      <c r="A1118" s="4" t="s">
        <v>544</v>
      </c>
      <c r="B1118" s="5">
        <v>888</v>
      </c>
      <c r="C1118" s="6">
        <v>2</v>
      </c>
      <c r="D1118" s="6">
        <v>4</v>
      </c>
      <c r="E1118" s="6">
        <v>9</v>
      </c>
      <c r="F1118" s="6">
        <v>15</v>
      </c>
      <c r="G1118" s="6">
        <v>1117</v>
      </c>
      <c r="H1118" s="7"/>
    </row>
    <row r="1119" spans="1:8">
      <c r="A1119" s="4" t="str">
        <f>HYPERLINK("https://scryfall.com/card/c17/187/ojutai-soul-of-winter","Ojutai, Soul of Winter")</f>
        <v>Ojutai, Soul of Winter</v>
      </c>
      <c r="B1119" s="5">
        <v>893</v>
      </c>
      <c r="C1119" s="6">
        <v>2</v>
      </c>
      <c r="D1119" s="6">
        <v>6</v>
      </c>
      <c r="E1119" s="6">
        <v>7</v>
      </c>
      <c r="F1119" s="6">
        <v>15</v>
      </c>
      <c r="G1119" s="6">
        <v>1118</v>
      </c>
      <c r="H1119" s="7"/>
    </row>
    <row r="1120" spans="1:8">
      <c r="A1120" s="4" t="str">
        <f>HYPERLINK("https://scryfall.com/card/con/101/child-of-alara","Child of Alara")</f>
        <v>Child of Alara</v>
      </c>
      <c r="B1120" s="5">
        <v>894</v>
      </c>
      <c r="C1120" s="6">
        <v>2</v>
      </c>
      <c r="D1120" s="6">
        <v>6</v>
      </c>
      <c r="E1120" s="6">
        <v>7</v>
      </c>
      <c r="F1120" s="6">
        <v>15</v>
      </c>
      <c r="G1120" s="6">
        <v>1119</v>
      </c>
      <c r="H1120" s="7"/>
    </row>
    <row r="1121" spans="1:8">
      <c r="A1121" s="4" t="str">
        <f>HYPERLINK("https://scryfall.com/card/evg/43/ib-halfheart-goblin-tactician","Ib Halfheart, Goblin Tactician")</f>
        <v>Ib Halfheart, Goblin Tactician</v>
      </c>
      <c r="B1121" s="5">
        <v>897</v>
      </c>
      <c r="C1121" s="6">
        <v>2</v>
      </c>
      <c r="D1121" s="6">
        <v>5</v>
      </c>
      <c r="E1121" s="6">
        <v>8</v>
      </c>
      <c r="F1121" s="6">
        <v>15</v>
      </c>
      <c r="G1121" s="6">
        <v>1120</v>
      </c>
      <c r="H1121" s="7"/>
    </row>
    <row r="1122" spans="1:8">
      <c r="A1122" s="12" t="s">
        <v>550</v>
      </c>
      <c r="B1122" s="5">
        <v>899</v>
      </c>
      <c r="C1122" s="11">
        <v>1</v>
      </c>
      <c r="D1122" s="11">
        <v>9</v>
      </c>
      <c r="E1122" s="11">
        <v>5</v>
      </c>
      <c r="F1122" s="11">
        <v>15</v>
      </c>
      <c r="G1122" s="6">
        <v>1121</v>
      </c>
      <c r="H1122" s="7"/>
    </row>
    <row r="1123" spans="1:8">
      <c r="A1123" s="4" t="s">
        <v>555</v>
      </c>
      <c r="B1123" s="5">
        <v>905</v>
      </c>
      <c r="C1123" s="6">
        <v>1</v>
      </c>
      <c r="D1123" s="6">
        <v>5</v>
      </c>
      <c r="E1123" s="6">
        <v>9</v>
      </c>
      <c r="F1123" s="6">
        <v>15</v>
      </c>
      <c r="G1123" s="6">
        <v>1122</v>
      </c>
      <c r="H1123" s="7"/>
    </row>
    <row r="1124" spans="1:8">
      <c r="A1124" s="4" t="s">
        <v>556</v>
      </c>
      <c r="B1124" s="5">
        <v>906</v>
      </c>
      <c r="C1124" s="6">
        <v>4</v>
      </c>
      <c r="D1124" s="6">
        <v>5</v>
      </c>
      <c r="E1124" s="6">
        <v>6</v>
      </c>
      <c r="F1124" s="6">
        <v>15</v>
      </c>
      <c r="G1124" s="6">
        <v>1123</v>
      </c>
      <c r="H1124" s="7"/>
    </row>
    <row r="1125" spans="1:8">
      <c r="A1125" s="4" t="str">
        <f>HYPERLINK("https://scryfall.com/card/tsp/237/dralnu-lich-lord","Dralnu, Lich Lord")</f>
        <v>Dralnu, Lich Lord</v>
      </c>
      <c r="B1125" s="5">
        <v>908</v>
      </c>
      <c r="C1125" s="6">
        <v>1</v>
      </c>
      <c r="D1125" s="6">
        <v>7</v>
      </c>
      <c r="E1125" s="6">
        <v>7</v>
      </c>
      <c r="F1125" s="6">
        <v>15</v>
      </c>
      <c r="G1125" s="6">
        <v>1124</v>
      </c>
      <c r="H1125" s="7"/>
    </row>
    <row r="1126" spans="1:8">
      <c r="A1126" s="4" t="str">
        <f>HYPERLINK("https://scryfall.com/card/war/99/massacre-girl","Massacre Girl")</f>
        <v>Massacre Girl</v>
      </c>
      <c r="B1126" s="5">
        <v>913</v>
      </c>
      <c r="C1126" s="6">
        <v>3</v>
      </c>
      <c r="D1126" s="6">
        <v>5</v>
      </c>
      <c r="E1126" s="6">
        <v>7</v>
      </c>
      <c r="F1126" s="6">
        <v>15</v>
      </c>
      <c r="G1126" s="6">
        <v>1125</v>
      </c>
      <c r="H1126" s="7"/>
    </row>
    <row r="1127" spans="1:8">
      <c r="A1127" s="4" t="str">
        <f>HYPERLINK("https://scryfall.com/card/a25/9/darien-king-of-kjeldor","Darien, King of Kjeldor")</f>
        <v>Darien, King of Kjeldor</v>
      </c>
      <c r="B1127" s="5">
        <v>920</v>
      </c>
      <c r="C1127" s="6">
        <v>2</v>
      </c>
      <c r="D1127" s="6">
        <v>7</v>
      </c>
      <c r="E1127" s="6">
        <v>6</v>
      </c>
      <c r="F1127" s="6">
        <v>15</v>
      </c>
      <c r="G1127" s="6">
        <v>1126</v>
      </c>
      <c r="H1127" s="7"/>
    </row>
    <row r="1128" spans="1:8">
      <c r="A1128" s="4" t="s">
        <v>570</v>
      </c>
      <c r="B1128" s="5">
        <v>929</v>
      </c>
      <c r="C1128" s="6">
        <v>2</v>
      </c>
      <c r="D1128" s="6">
        <v>4</v>
      </c>
      <c r="E1128" s="6">
        <v>9</v>
      </c>
      <c r="F1128" s="6">
        <v>15</v>
      </c>
      <c r="G1128" s="6">
        <v>1127</v>
      </c>
      <c r="H1128" s="7"/>
    </row>
    <row r="1129" spans="1:8">
      <c r="A1129" s="4" t="s">
        <v>575</v>
      </c>
      <c r="B1129" s="5">
        <v>934</v>
      </c>
      <c r="C1129" s="6">
        <v>3</v>
      </c>
      <c r="D1129" s="6">
        <v>6</v>
      </c>
      <c r="E1129" s="6">
        <v>6</v>
      </c>
      <c r="F1129" s="6">
        <v>15</v>
      </c>
      <c r="G1129" s="6">
        <v>1128</v>
      </c>
      <c r="H1129" s="7"/>
    </row>
    <row r="1130" spans="1:8">
      <c r="A1130" s="4" t="str">
        <f>HYPERLINK("https://scryfall.com/card/bbd/71/grothama-all-devouring","Grothama, All-Devouring")</f>
        <v>Grothama, All-Devouring</v>
      </c>
      <c r="B1130" s="5">
        <v>935</v>
      </c>
      <c r="C1130" s="6">
        <v>2</v>
      </c>
      <c r="D1130" s="6">
        <v>7</v>
      </c>
      <c r="E1130" s="6">
        <v>6</v>
      </c>
      <c r="F1130" s="6">
        <v>15</v>
      </c>
      <c r="G1130" s="6">
        <v>1129</v>
      </c>
      <c r="H1130" s="7"/>
    </row>
    <row r="1131" spans="1:8">
      <c r="A1131" s="4" t="s">
        <v>580</v>
      </c>
      <c r="B1131" s="5">
        <v>941</v>
      </c>
      <c r="C1131" s="6">
        <v>4</v>
      </c>
      <c r="D1131" s="6">
        <v>6</v>
      </c>
      <c r="E1131" s="6">
        <v>5</v>
      </c>
      <c r="F1131" s="6">
        <v>15</v>
      </c>
      <c r="G1131" s="6">
        <v>1130</v>
      </c>
      <c r="H1131" s="7"/>
    </row>
    <row r="1132" spans="1:8">
      <c r="A1132" s="4" t="str">
        <f>HYPERLINK("https://scryfall.com/card/cn2/54/grenzo-havoc-raiser","Grenzo, Havoc Raiser")</f>
        <v>Grenzo, Havoc Raiser</v>
      </c>
      <c r="B1132" s="5">
        <v>948</v>
      </c>
      <c r="C1132" s="6">
        <v>1</v>
      </c>
      <c r="D1132" s="6">
        <v>8</v>
      </c>
      <c r="E1132" s="6">
        <v>6</v>
      </c>
      <c r="F1132" s="6">
        <v>15</v>
      </c>
      <c r="G1132" s="6">
        <v>1131</v>
      </c>
      <c r="H1132" s="7"/>
    </row>
    <row r="1133" spans="1:8">
      <c r="A1133" s="4" t="str">
        <f>HYPERLINK("https://scryfall.com/card/akh/82/bontu-the-glorified","Bontu the Glorified")</f>
        <v>Bontu the Glorified</v>
      </c>
      <c r="B1133" s="5">
        <v>951</v>
      </c>
      <c r="C1133" s="6">
        <v>3</v>
      </c>
      <c r="D1133" s="6">
        <v>3</v>
      </c>
      <c r="E1133" s="6">
        <v>9</v>
      </c>
      <c r="F1133" s="6">
        <v>15</v>
      </c>
      <c r="G1133" s="6">
        <v>1132</v>
      </c>
      <c r="H1133" s="7"/>
    </row>
    <row r="1134" spans="1:8">
      <c r="A1134" s="4" t="str">
        <f>HYPERLINK("https://scryfall.com/card/gtc/147/borborygmos-enraged","Borborygmos Enraged")</f>
        <v>Borborygmos Enraged</v>
      </c>
      <c r="B1134" s="5">
        <v>960</v>
      </c>
      <c r="C1134" s="6">
        <v>3</v>
      </c>
      <c r="D1134" s="6">
        <v>7</v>
      </c>
      <c r="E1134" s="6">
        <v>5</v>
      </c>
      <c r="F1134" s="6">
        <v>15</v>
      </c>
      <c r="G1134" s="6">
        <v>1133</v>
      </c>
      <c r="H1134" s="7"/>
    </row>
    <row r="1135" spans="1:8">
      <c r="A1135" s="4" t="str">
        <f>HYPERLINK("https://scryfall.com/card/uma/199/gaddock-teeg","Gaddock Teeg")</f>
        <v>Gaddock Teeg</v>
      </c>
      <c r="B1135" s="5">
        <v>965</v>
      </c>
      <c r="C1135" s="6">
        <v>5</v>
      </c>
      <c r="D1135" s="6">
        <v>4</v>
      </c>
      <c r="E1135" s="6">
        <v>6</v>
      </c>
      <c r="F1135" s="6">
        <v>15</v>
      </c>
      <c r="G1135" s="6">
        <v>1134</v>
      </c>
      <c r="H1135" s="7"/>
    </row>
    <row r="1136" spans="1:8">
      <c r="A1136" s="4" t="str">
        <f>HYPERLINK("https://scryfall.com/card/som/64/geth-lord-of-the-vault","Geth, Lord of the Vault")</f>
        <v>Geth, Lord of the Vault</v>
      </c>
      <c r="B1136" s="5">
        <v>972</v>
      </c>
      <c r="C1136" s="6">
        <v>2</v>
      </c>
      <c r="D1136" s="6">
        <v>8</v>
      </c>
      <c r="E1136" s="6">
        <v>5</v>
      </c>
      <c r="F1136" s="6">
        <v>15</v>
      </c>
      <c r="G1136" s="6">
        <v>1135</v>
      </c>
      <c r="H1136" s="7"/>
    </row>
    <row r="1137" spans="1:8">
      <c r="A1137" s="4" t="str">
        <f>HYPERLINK("https://scryfall.com/card/mm2/178/horde-of-notions","Horde of Notions")</f>
        <v>Horde of Notions</v>
      </c>
      <c r="B1137" s="5">
        <v>978</v>
      </c>
      <c r="C1137" s="6">
        <v>2</v>
      </c>
      <c r="D1137" s="6">
        <v>8</v>
      </c>
      <c r="E1137" s="6">
        <v>5</v>
      </c>
      <c r="F1137" s="6">
        <v>15</v>
      </c>
      <c r="G1137" s="6">
        <v>1136</v>
      </c>
      <c r="H1137" s="7"/>
    </row>
    <row r="1138" spans="1:8">
      <c r="A1138" s="4" t="str">
        <f>HYPERLINK("https://scryfall.com/card/uma/32/reya-dawnbringer","Reya Dawnbringer")</f>
        <v>Reya Dawnbringer</v>
      </c>
      <c r="B1138" s="5">
        <v>989</v>
      </c>
      <c r="C1138" s="6">
        <v>2</v>
      </c>
      <c r="D1138" s="6">
        <v>6</v>
      </c>
      <c r="E1138" s="6">
        <v>7</v>
      </c>
      <c r="F1138" s="6">
        <v>15</v>
      </c>
      <c r="G1138" s="6">
        <v>1137</v>
      </c>
      <c r="H1138" s="7"/>
    </row>
    <row r="1139" spans="1:8">
      <c r="A1139" s="4" t="s">
        <v>600</v>
      </c>
      <c r="B1139" s="5">
        <v>992</v>
      </c>
      <c r="C1139" s="6">
        <v>3</v>
      </c>
      <c r="D1139" s="6">
        <v>6</v>
      </c>
      <c r="E1139" s="6">
        <v>6</v>
      </c>
      <c r="F1139" s="6">
        <v>15</v>
      </c>
      <c r="G1139" s="6">
        <v>1138</v>
      </c>
      <c r="H1139" s="7"/>
    </row>
    <row r="1140" spans="1:8">
      <c r="A1140" s="4" t="s">
        <v>603</v>
      </c>
      <c r="B1140" s="5">
        <v>997</v>
      </c>
      <c r="C1140" s="6">
        <v>3</v>
      </c>
      <c r="D1140" s="6">
        <v>4</v>
      </c>
      <c r="E1140" s="6">
        <v>8</v>
      </c>
      <c r="F1140" s="6">
        <v>15</v>
      </c>
      <c r="G1140" s="6">
        <v>1139</v>
      </c>
      <c r="H1140" s="7"/>
    </row>
    <row r="1141" spans="1:8">
      <c r="A1141" s="4" t="s">
        <v>604</v>
      </c>
      <c r="B1141" s="5">
        <v>998</v>
      </c>
      <c r="C1141" s="6">
        <v>2</v>
      </c>
      <c r="D1141" s="6">
        <v>7</v>
      </c>
      <c r="E1141" s="6">
        <v>6</v>
      </c>
      <c r="F1141" s="6">
        <v>15</v>
      </c>
      <c r="G1141" s="6">
        <v>1140</v>
      </c>
      <c r="H1141" s="7"/>
    </row>
    <row r="1142" spans="1:8">
      <c r="A1142" s="4" t="s">
        <v>605</v>
      </c>
      <c r="B1142" s="5">
        <v>999</v>
      </c>
      <c r="C1142" s="6">
        <v>1</v>
      </c>
      <c r="D1142" s="6">
        <v>4</v>
      </c>
      <c r="E1142" s="6">
        <v>10</v>
      </c>
      <c r="F1142" s="6">
        <v>15</v>
      </c>
      <c r="G1142" s="6">
        <v>1141</v>
      </c>
      <c r="H1142" s="7"/>
    </row>
    <row r="1143" spans="1:8">
      <c r="A1143" s="4" t="s">
        <v>622</v>
      </c>
      <c r="B1143" s="5">
        <v>1023</v>
      </c>
      <c r="C1143" s="6">
        <v>3</v>
      </c>
      <c r="D1143" s="6">
        <v>6</v>
      </c>
      <c r="E1143" s="6">
        <v>6</v>
      </c>
      <c r="F1143" s="6">
        <v>15</v>
      </c>
      <c r="G1143" s="6">
        <v>1142</v>
      </c>
      <c r="H1143" s="7"/>
    </row>
    <row r="1144" spans="1:8">
      <c r="A1144" s="4" t="s">
        <v>629</v>
      </c>
      <c r="B1144" s="5">
        <v>1032</v>
      </c>
      <c r="C1144" s="6">
        <v>2</v>
      </c>
      <c r="D1144" s="6">
        <v>6</v>
      </c>
      <c r="E1144" s="6">
        <v>7</v>
      </c>
      <c r="F1144" s="6">
        <v>15</v>
      </c>
      <c r="G1144" s="6">
        <v>1143</v>
      </c>
      <c r="H1144" s="7"/>
    </row>
    <row r="1145" spans="1:8">
      <c r="A1145" s="4" t="str">
        <f>HYPERLINK("https://scryfall.com/card/csp/27/arcum-dagsson","Arcum Dagsson")</f>
        <v>Arcum Dagsson</v>
      </c>
      <c r="B1145" s="5">
        <v>1033</v>
      </c>
      <c r="C1145" s="6">
        <v>8</v>
      </c>
      <c r="D1145" s="6">
        <v>4</v>
      </c>
      <c r="E1145" s="6">
        <v>3</v>
      </c>
      <c r="F1145" s="6">
        <v>15</v>
      </c>
      <c r="G1145" s="6">
        <v>1144</v>
      </c>
      <c r="H1145" s="7"/>
    </row>
    <row r="1146" spans="1:8">
      <c r="A1146" s="10" t="s">
        <v>633</v>
      </c>
      <c r="B1146" s="5">
        <v>1041</v>
      </c>
      <c r="C1146" s="11">
        <v>4</v>
      </c>
      <c r="D1146" s="11">
        <v>6</v>
      </c>
      <c r="E1146" s="11">
        <v>5</v>
      </c>
      <c r="F1146" s="11">
        <v>15</v>
      </c>
      <c r="G1146" s="6">
        <v>1145</v>
      </c>
      <c r="H1146" s="7"/>
    </row>
    <row r="1147" spans="1:8">
      <c r="A1147" s="4" t="s">
        <v>634</v>
      </c>
      <c r="B1147" s="5">
        <v>1042</v>
      </c>
      <c r="C1147" s="6">
        <v>3</v>
      </c>
      <c r="D1147" s="6">
        <v>5</v>
      </c>
      <c r="E1147" s="6">
        <v>7</v>
      </c>
      <c r="F1147" s="6">
        <v>15</v>
      </c>
      <c r="G1147" s="6">
        <v>1146</v>
      </c>
      <c r="H1147" s="7"/>
    </row>
    <row r="1148" spans="1:8">
      <c r="A1148" s="4" t="str">
        <f>HYPERLINK("https://scryfall.com/card/dtk/210/surrak-the-hunt-caller","Surrak, the Hunt Caller")</f>
        <v>Surrak, the Hunt Caller</v>
      </c>
      <c r="B1148" s="5">
        <v>1046</v>
      </c>
      <c r="C1148" s="6">
        <v>3</v>
      </c>
      <c r="D1148" s="6">
        <v>6</v>
      </c>
      <c r="E1148" s="6">
        <v>6</v>
      </c>
      <c r="F1148" s="6">
        <v>15</v>
      </c>
      <c r="G1148" s="6">
        <v>1147</v>
      </c>
      <c r="H1148" s="7"/>
    </row>
    <row r="1149" spans="1:8">
      <c r="A1149" s="4" t="str">
        <f>HYPERLINK("https://scryfall.com/card/xln/231/vona-butcher-of-magan","Vona, Butcher of Magan")</f>
        <v>Vona, Butcher of Magan</v>
      </c>
      <c r="B1149" s="5">
        <v>1047</v>
      </c>
      <c r="C1149" s="6">
        <v>3</v>
      </c>
      <c r="D1149" s="6">
        <v>7</v>
      </c>
      <c r="E1149" s="6">
        <v>5</v>
      </c>
      <c r="F1149" s="6">
        <v>15</v>
      </c>
      <c r="G1149" s="6">
        <v>1148</v>
      </c>
      <c r="H1149" s="7"/>
    </row>
    <row r="1150" spans="1:8">
      <c r="A1150" s="4" t="str">
        <f>HYPERLINK("https://scryfall.com/card/a25/2/akroma-angel-of-wrath","Akroma, Angel of Wrath")</f>
        <v>Akroma, Angel of Wrath</v>
      </c>
      <c r="B1150" s="5">
        <v>1053</v>
      </c>
      <c r="C1150" s="6">
        <v>2</v>
      </c>
      <c r="D1150" s="6">
        <v>3</v>
      </c>
      <c r="E1150" s="6">
        <v>10</v>
      </c>
      <c r="F1150" s="6">
        <v>15</v>
      </c>
      <c r="G1150" s="6">
        <v>1149</v>
      </c>
      <c r="H1150" s="7"/>
    </row>
    <row r="1151" spans="1:8">
      <c r="A1151" s="4" t="s">
        <v>643</v>
      </c>
      <c r="B1151" s="5">
        <v>1065</v>
      </c>
      <c r="C1151" s="6">
        <v>2</v>
      </c>
      <c r="D1151" s="6">
        <v>5</v>
      </c>
      <c r="E1151" s="6">
        <v>8</v>
      </c>
      <c r="F1151" s="6">
        <v>15</v>
      </c>
      <c r="G1151" s="6">
        <v>1150</v>
      </c>
      <c r="H1151" s="7"/>
    </row>
    <row r="1152" spans="1:8">
      <c r="A1152" s="4" t="str">
        <f>HYPERLINK("https://scryfall.com/card/c17/168/crosis-the-purger","Crosis, the Purger")</f>
        <v>Crosis, the Purger</v>
      </c>
      <c r="B1152" s="5">
        <v>1066</v>
      </c>
      <c r="C1152" s="6">
        <v>2</v>
      </c>
      <c r="D1152" s="6">
        <v>4</v>
      </c>
      <c r="E1152" s="6">
        <v>9</v>
      </c>
      <c r="F1152" s="6">
        <v>15</v>
      </c>
      <c r="G1152" s="6">
        <v>1151</v>
      </c>
      <c r="H1152" s="7"/>
    </row>
    <row r="1153" spans="1:8">
      <c r="A1153" s="4" t="str">
        <f>HYPERLINK("https://scryfall.com/card/akh/21/oketra-the-true","Oketra the True")</f>
        <v>Oketra the True</v>
      </c>
      <c r="B1153" s="5">
        <v>1067</v>
      </c>
      <c r="C1153" s="6">
        <v>2</v>
      </c>
      <c r="D1153" s="6">
        <v>4</v>
      </c>
      <c r="E1153" s="6">
        <v>9</v>
      </c>
      <c r="F1153" s="6">
        <v>15</v>
      </c>
      <c r="G1153" s="6">
        <v>1152</v>
      </c>
      <c r="H1153" s="7"/>
    </row>
    <row r="1154" spans="1:8">
      <c r="A1154" s="4" t="str">
        <f>HYPERLINK("https://scryfall.com/card/a25/119/akroma-angel-of-fury","Akroma, Angel of Fury")</f>
        <v>Akroma, Angel of Fury</v>
      </c>
      <c r="B1154" s="5">
        <v>1069</v>
      </c>
      <c r="C1154" s="6">
        <v>2</v>
      </c>
      <c r="D1154" s="6">
        <v>4</v>
      </c>
      <c r="E1154" s="6">
        <v>9</v>
      </c>
      <c r="F1154" s="6">
        <v>15</v>
      </c>
      <c r="G1154" s="6">
        <v>1153</v>
      </c>
      <c r="H1154" s="7"/>
    </row>
    <row r="1155" spans="1:8">
      <c r="A1155" s="4" t="str">
        <f>HYPERLINK("https://scryfall.com/card/m20/281/rienne-angel-of-rebirth","Rienne, Angel of Rebirth")</f>
        <v>Rienne, Angel of Rebirth</v>
      </c>
      <c r="B1155" s="5">
        <v>1079</v>
      </c>
      <c r="C1155" s="6">
        <v>2</v>
      </c>
      <c r="D1155" s="6">
        <v>6</v>
      </c>
      <c r="E1155" s="6">
        <v>7</v>
      </c>
      <c r="F1155" s="6">
        <v>15</v>
      </c>
      <c r="G1155" s="6">
        <v>1154</v>
      </c>
      <c r="H1155" s="7"/>
    </row>
    <row r="1156" spans="1:8">
      <c r="A1156" s="4" t="s">
        <v>651</v>
      </c>
      <c r="B1156" s="5">
        <v>1080</v>
      </c>
      <c r="C1156" s="6">
        <v>4</v>
      </c>
      <c r="D1156" s="6">
        <v>1</v>
      </c>
      <c r="E1156" s="6">
        <v>10</v>
      </c>
      <c r="F1156" s="6">
        <v>15</v>
      </c>
      <c r="G1156" s="6">
        <v>1155</v>
      </c>
      <c r="H1156" s="7"/>
    </row>
    <row r="1157" spans="1:8">
      <c r="A1157" s="4" t="s">
        <v>654</v>
      </c>
      <c r="B1157" s="5">
        <v>1083</v>
      </c>
      <c r="C1157" s="6">
        <v>2</v>
      </c>
      <c r="D1157" s="6">
        <v>6</v>
      </c>
      <c r="E1157" s="6">
        <v>7</v>
      </c>
      <c r="F1157" s="6">
        <v>15</v>
      </c>
      <c r="G1157" s="6">
        <v>1156</v>
      </c>
      <c r="H1157" s="7"/>
    </row>
    <row r="1158" spans="1:8">
      <c r="A1158" s="4" t="str">
        <f>HYPERLINK("https://scryfall.com/card/iko/187/general-kudro-of-drannith","General Kudro of Drannith")</f>
        <v>General Kudro of Drannith</v>
      </c>
      <c r="B1158" s="5">
        <v>1095</v>
      </c>
      <c r="C1158" s="6">
        <v>3</v>
      </c>
      <c r="D1158" s="6">
        <v>5</v>
      </c>
      <c r="E1158" s="6">
        <v>7</v>
      </c>
      <c r="F1158" s="6">
        <v>15</v>
      </c>
      <c r="G1158" s="6">
        <v>1157</v>
      </c>
      <c r="H1158" s="7"/>
    </row>
    <row r="1159" spans="1:8">
      <c r="A1159" s="4" t="str">
        <f>HYPERLINK("https://scryfall.com/card/mm3/13/linvala-keeper-of-silence","Linvala, Keeper of Silence")</f>
        <v>Linvala, Keeper of Silence</v>
      </c>
      <c r="B1159" s="5">
        <v>1101</v>
      </c>
      <c r="C1159" s="6">
        <v>4</v>
      </c>
      <c r="D1159" s="6">
        <v>3</v>
      </c>
      <c r="E1159" s="6">
        <v>8</v>
      </c>
      <c r="F1159" s="6">
        <v>15</v>
      </c>
      <c r="G1159" s="6">
        <v>1158</v>
      </c>
      <c r="H1159" s="7"/>
    </row>
    <row r="1160" spans="1:8">
      <c r="A1160" s="4" t="str">
        <f>HYPERLINK("https://scryfall.com/card/dom/208/tiana-ships-caretaker","Tiana, Ship's Caretaker")</f>
        <v>Tiana, Ship's Caretaker</v>
      </c>
      <c r="B1160" s="5">
        <v>1115</v>
      </c>
      <c r="C1160" s="6">
        <v>2</v>
      </c>
      <c r="D1160" s="6">
        <v>5</v>
      </c>
      <c r="E1160" s="6">
        <v>8</v>
      </c>
      <c r="F1160" s="6">
        <v>15</v>
      </c>
      <c r="G1160" s="6">
        <v>1159</v>
      </c>
      <c r="H1160" s="7"/>
    </row>
    <row r="1161" spans="1:8">
      <c r="A1161" s="4" t="str">
        <f>HYPERLINK("https://scryfall.com/card/cm2/72/patron-of-the-nezumi","Patron of the Nezumi")</f>
        <v>Patron of the Nezumi</v>
      </c>
      <c r="B1161" s="5">
        <v>1116</v>
      </c>
      <c r="C1161" s="6">
        <v>2</v>
      </c>
      <c r="D1161" s="6">
        <v>8</v>
      </c>
      <c r="E1161" s="6">
        <v>5</v>
      </c>
      <c r="F1161" s="6">
        <v>15</v>
      </c>
      <c r="G1161" s="6">
        <v>1160</v>
      </c>
      <c r="H1161" s="7"/>
    </row>
    <row r="1162" spans="1:8">
      <c r="A1162" s="4" t="str">
        <f>HYPERLINK("https://scryfall.com/card/cns/144/heartless-hidetsugu","Heartless Hidetsugu")</f>
        <v>Heartless Hidetsugu</v>
      </c>
      <c r="B1162" s="5">
        <v>1118</v>
      </c>
      <c r="C1162" s="6">
        <v>3</v>
      </c>
      <c r="D1162" s="6">
        <v>8</v>
      </c>
      <c r="E1162" s="6">
        <v>4</v>
      </c>
      <c r="F1162" s="6">
        <v>15</v>
      </c>
      <c r="G1162" s="6">
        <v>1161</v>
      </c>
      <c r="H1162" s="7"/>
    </row>
    <row r="1163" spans="1:8">
      <c r="A1163" s="4" t="str">
        <f>HYPERLINK("https://scryfall.com/card/ogw/25/linvala-the-preserver","Linvala, the Preserver")</f>
        <v>Linvala, the Preserver</v>
      </c>
      <c r="B1163" s="5">
        <v>1132</v>
      </c>
      <c r="C1163" s="6">
        <v>2</v>
      </c>
      <c r="D1163" s="6">
        <v>3</v>
      </c>
      <c r="E1163" s="6">
        <v>10</v>
      </c>
      <c r="F1163" s="6">
        <v>15</v>
      </c>
      <c r="G1163" s="6">
        <v>1162</v>
      </c>
      <c r="H1163" s="7"/>
    </row>
    <row r="1164" spans="1:8">
      <c r="A1164" s="4" t="s">
        <v>689</v>
      </c>
      <c r="B1164" s="5">
        <v>1143</v>
      </c>
      <c r="C1164" s="6">
        <v>2</v>
      </c>
      <c r="D1164" s="6">
        <v>6</v>
      </c>
      <c r="E1164" s="6">
        <v>7</v>
      </c>
      <c r="F1164" s="6">
        <v>15</v>
      </c>
      <c r="G1164" s="6">
        <v>1163</v>
      </c>
      <c r="H1164" s="7"/>
    </row>
    <row r="1165" spans="1:8">
      <c r="A1165" s="13" t="str">
        <f>HYPERLINK("https://scryfall.com/card/c20/11/kelsien-the-plague","Kelsien, the Plague")</f>
        <v>Kelsien, the Plague</v>
      </c>
      <c r="B1165" s="5">
        <v>1145</v>
      </c>
      <c r="C1165" s="6">
        <v>2</v>
      </c>
      <c r="D1165" s="6">
        <v>6</v>
      </c>
      <c r="E1165" s="6">
        <v>7</v>
      </c>
      <c r="F1165" s="6">
        <v>15</v>
      </c>
      <c r="G1165" s="6">
        <v>1164</v>
      </c>
      <c r="H1165" s="7"/>
    </row>
    <row r="1166" spans="1:8">
      <c r="A1166" s="4" t="s">
        <v>691</v>
      </c>
      <c r="B1166" s="5">
        <v>1146</v>
      </c>
      <c r="C1166" s="6">
        <v>4</v>
      </c>
      <c r="D1166" s="6">
        <v>7</v>
      </c>
      <c r="E1166" s="6">
        <v>4</v>
      </c>
      <c r="F1166" s="6">
        <v>15</v>
      </c>
      <c r="G1166" s="6">
        <v>1165</v>
      </c>
      <c r="H1166" s="7"/>
    </row>
    <row r="1167" spans="1:8">
      <c r="A1167" s="4" t="s">
        <v>693</v>
      </c>
      <c r="B1167" s="5">
        <v>1148</v>
      </c>
      <c r="C1167" s="6">
        <v>2</v>
      </c>
      <c r="D1167" s="6">
        <v>8</v>
      </c>
      <c r="E1167" s="6">
        <v>5</v>
      </c>
      <c r="F1167" s="6">
        <v>15</v>
      </c>
      <c r="G1167" s="6">
        <v>1166</v>
      </c>
      <c r="H1167" s="7"/>
    </row>
    <row r="1168" spans="1:8">
      <c r="A1168" s="4" t="s">
        <v>694</v>
      </c>
      <c r="B1168" s="5">
        <v>1149</v>
      </c>
      <c r="C1168" s="6">
        <v>3</v>
      </c>
      <c r="D1168" s="6">
        <v>5</v>
      </c>
      <c r="E1168" s="6">
        <v>7</v>
      </c>
      <c r="F1168" s="6">
        <v>15</v>
      </c>
      <c r="G1168" s="6">
        <v>1167</v>
      </c>
      <c r="H1168" s="7"/>
    </row>
    <row r="1169" spans="1:8">
      <c r="A1169" s="4" t="str">
        <f>HYPERLINK("https://scryfall.com/card/c19/47/pramikon-sky-rampart","Pramikon, Sky Rampart")</f>
        <v>Pramikon, Sky Rampart</v>
      </c>
      <c r="B1169" s="5">
        <v>1154</v>
      </c>
      <c r="C1169" s="6">
        <v>4</v>
      </c>
      <c r="D1169" s="6">
        <v>8</v>
      </c>
      <c r="E1169" s="6">
        <v>3</v>
      </c>
      <c r="F1169" s="6">
        <v>15</v>
      </c>
      <c r="G1169" s="6">
        <v>1168</v>
      </c>
      <c r="H1169" s="7"/>
    </row>
    <row r="1170" spans="1:8">
      <c r="A1170" s="4" t="str">
        <f>HYPERLINK("https://scryfall.com/card/cm2/9/gisela-blade-of-goldnight","Gisela, Blade of Goldnight")</f>
        <v>Gisela, Blade of Goldnight</v>
      </c>
      <c r="B1170" s="5">
        <v>1160</v>
      </c>
      <c r="C1170" s="6">
        <v>3</v>
      </c>
      <c r="D1170" s="6">
        <v>7</v>
      </c>
      <c r="E1170" s="6">
        <v>5</v>
      </c>
      <c r="F1170" s="6">
        <v>15</v>
      </c>
      <c r="G1170" s="6">
        <v>1169</v>
      </c>
      <c r="H1170" s="7"/>
    </row>
    <row r="1171" spans="1:8">
      <c r="A1171" s="10" t="s">
        <v>701</v>
      </c>
      <c r="B1171" s="5">
        <v>1161</v>
      </c>
      <c r="C1171" s="11">
        <v>4</v>
      </c>
      <c r="D1171" s="11">
        <v>6</v>
      </c>
      <c r="E1171" s="11">
        <v>5</v>
      </c>
      <c r="F1171" s="11">
        <v>15</v>
      </c>
      <c r="G1171" s="6">
        <v>1170</v>
      </c>
      <c r="H1171" s="7"/>
    </row>
    <row r="1172" spans="1:8">
      <c r="A1172" s="10" t="s">
        <v>705</v>
      </c>
      <c r="B1172" s="5">
        <v>1166</v>
      </c>
      <c r="C1172" s="11">
        <v>3</v>
      </c>
      <c r="D1172" s="11">
        <v>6</v>
      </c>
      <c r="E1172" s="11">
        <v>6</v>
      </c>
      <c r="F1172" s="11">
        <v>15</v>
      </c>
      <c r="G1172" s="6">
        <v>1171</v>
      </c>
      <c r="H1172" s="7"/>
    </row>
    <row r="1173" spans="1:8">
      <c r="A1173" s="4" t="str">
        <f>HYPERLINK("https://scryfall.com/card/mh1/155/ayula-queen-among-bears","Ayula, Queen Among Bears")</f>
        <v>Ayula, Queen Among Bears</v>
      </c>
      <c r="B1173" s="5">
        <v>1169</v>
      </c>
      <c r="C1173" s="6">
        <v>2</v>
      </c>
      <c r="D1173" s="6">
        <v>6</v>
      </c>
      <c r="E1173" s="6">
        <v>7</v>
      </c>
      <c r="F1173" s="6">
        <v>15</v>
      </c>
      <c r="G1173" s="6">
        <v>1172</v>
      </c>
      <c r="H1173" s="7"/>
    </row>
    <row r="1174" spans="1:8">
      <c r="A1174" s="4" t="str">
        <f>HYPERLINK("https://scryfall.com/card/c15/47/kaseto-orochi-archmage","Kaseto, Orochi Archmage")</f>
        <v>Kaseto, Orochi Archmage</v>
      </c>
      <c r="B1174" s="5">
        <v>1177</v>
      </c>
      <c r="C1174" s="6">
        <v>3</v>
      </c>
      <c r="D1174" s="6">
        <v>7</v>
      </c>
      <c r="E1174" s="6">
        <v>5</v>
      </c>
      <c r="F1174" s="6">
        <v>15</v>
      </c>
      <c r="G1174" s="6">
        <v>1173</v>
      </c>
      <c r="H1174" s="7"/>
    </row>
    <row r="1175" spans="1:8">
      <c r="A1175" s="4" t="s">
        <v>719</v>
      </c>
      <c r="B1175" s="5">
        <v>1189</v>
      </c>
      <c r="C1175" s="6">
        <v>2</v>
      </c>
      <c r="D1175" s="6">
        <v>5</v>
      </c>
      <c r="E1175" s="6">
        <v>8</v>
      </c>
      <c r="F1175" s="6">
        <v>15</v>
      </c>
      <c r="G1175" s="6">
        <v>1174</v>
      </c>
      <c r="H1175" s="7"/>
    </row>
    <row r="1176" spans="1:8">
      <c r="A1176" s="4" t="s">
        <v>723</v>
      </c>
      <c r="B1176" s="5">
        <v>1199</v>
      </c>
      <c r="C1176" s="6">
        <v>2</v>
      </c>
      <c r="D1176" s="6">
        <v>6</v>
      </c>
      <c r="E1176" s="6">
        <v>7</v>
      </c>
      <c r="F1176" s="6">
        <v>15</v>
      </c>
      <c r="G1176" s="6">
        <v>1175</v>
      </c>
      <c r="H1176" s="7"/>
    </row>
    <row r="1177" spans="1:8">
      <c r="A1177" s="10" t="s">
        <v>730</v>
      </c>
      <c r="B1177" s="5">
        <v>1212</v>
      </c>
      <c r="C1177" s="11">
        <v>3</v>
      </c>
      <c r="D1177" s="11">
        <v>6</v>
      </c>
      <c r="E1177" s="11">
        <v>6</v>
      </c>
      <c r="F1177" s="11">
        <v>15</v>
      </c>
      <c r="G1177" s="6">
        <v>1176</v>
      </c>
      <c r="H1177" s="7"/>
    </row>
    <row r="1178" spans="1:8">
      <c r="A1178" s="4" t="str">
        <f>HYPERLINK("https://scryfall.com/card/eld/147/torbran-thane-of-red-fell","Torbran, Thane of Red Fell")</f>
        <v>Torbran, Thane of Red Fell</v>
      </c>
      <c r="B1178" s="5">
        <v>1214</v>
      </c>
      <c r="C1178" s="6">
        <v>3</v>
      </c>
      <c r="D1178" s="6">
        <v>6</v>
      </c>
      <c r="E1178" s="6">
        <v>6</v>
      </c>
      <c r="F1178" s="6">
        <v>15</v>
      </c>
      <c r="G1178" s="6">
        <v>1177</v>
      </c>
      <c r="H1178" s="7"/>
    </row>
    <row r="1179" spans="1:8">
      <c r="A1179" s="4" t="s">
        <v>736</v>
      </c>
      <c r="B1179" s="5">
        <v>1230</v>
      </c>
      <c r="C1179" s="6">
        <v>3</v>
      </c>
      <c r="D1179" s="6">
        <v>5</v>
      </c>
      <c r="E1179" s="6">
        <v>7</v>
      </c>
      <c r="F1179" s="6">
        <v>15</v>
      </c>
      <c r="G1179" s="6">
        <v>1178</v>
      </c>
      <c r="H1179" s="7"/>
    </row>
    <row r="1180" spans="1:8">
      <c r="A1180" s="4" t="str">
        <f>HYPERLINK("https://scryfall.com/card/ima/95/kokusho-the-evening-star","Kokusho, the Evening Star")</f>
        <v>Kokusho, the Evening Star</v>
      </c>
      <c r="B1180" s="5">
        <v>1234</v>
      </c>
      <c r="C1180" s="6">
        <v>3</v>
      </c>
      <c r="D1180" s="6">
        <v>5</v>
      </c>
      <c r="E1180" s="6">
        <v>7</v>
      </c>
      <c r="F1180" s="6">
        <v>15</v>
      </c>
      <c r="G1180" s="6">
        <v>1179</v>
      </c>
      <c r="H1180" s="7"/>
    </row>
    <row r="1181" spans="1:8">
      <c r="A1181" s="4" t="s">
        <v>741</v>
      </c>
      <c r="B1181" s="5">
        <v>1240</v>
      </c>
      <c r="C1181" s="6">
        <v>2</v>
      </c>
      <c r="D1181" s="6">
        <v>3</v>
      </c>
      <c r="E1181" s="6">
        <v>10</v>
      </c>
      <c r="F1181" s="6">
        <v>15</v>
      </c>
      <c r="G1181" s="6">
        <v>1180</v>
      </c>
      <c r="H1181" s="7"/>
    </row>
    <row r="1182" spans="1:8">
      <c r="A1182" s="4" t="s">
        <v>742</v>
      </c>
      <c r="B1182" s="5">
        <v>1241</v>
      </c>
      <c r="C1182" s="6">
        <v>2</v>
      </c>
      <c r="D1182" s="6">
        <v>5</v>
      </c>
      <c r="E1182" s="6">
        <v>8</v>
      </c>
      <c r="F1182" s="6">
        <v>15</v>
      </c>
      <c r="G1182" s="6">
        <v>1181</v>
      </c>
      <c r="H1182" s="7"/>
    </row>
    <row r="1183" spans="1:8">
      <c r="A1183" s="4" t="str">
        <f>HYPERLINK("https://scryfall.com/card/dom/12/danitha-capashen-paragon","Danitha Capashen, Paragon")</f>
        <v>Danitha Capashen, Paragon</v>
      </c>
      <c r="B1183" s="5">
        <v>1248</v>
      </c>
      <c r="C1183" s="6">
        <v>1</v>
      </c>
      <c r="D1183" s="6">
        <v>5</v>
      </c>
      <c r="E1183" s="6">
        <v>9</v>
      </c>
      <c r="F1183" s="6">
        <v>15</v>
      </c>
      <c r="G1183" s="6">
        <v>1182</v>
      </c>
      <c r="H1183" s="7"/>
    </row>
    <row r="1184" spans="1:8">
      <c r="A1184" s="4" t="s">
        <v>751</v>
      </c>
      <c r="B1184" s="5">
        <v>1254</v>
      </c>
      <c r="C1184" s="6">
        <v>4</v>
      </c>
      <c r="D1184" s="6">
        <v>5</v>
      </c>
      <c r="E1184" s="6">
        <v>6</v>
      </c>
      <c r="F1184" s="6">
        <v>15</v>
      </c>
      <c r="G1184" s="6">
        <v>1183</v>
      </c>
      <c r="H1184" s="7"/>
    </row>
    <row r="1185" spans="1:8">
      <c r="A1185" s="4" t="s">
        <v>758</v>
      </c>
      <c r="B1185" s="5">
        <v>1262</v>
      </c>
      <c r="C1185" s="6">
        <v>2</v>
      </c>
      <c r="D1185" s="6">
        <v>4</v>
      </c>
      <c r="E1185" s="6">
        <v>9</v>
      </c>
      <c r="F1185" s="6">
        <v>15</v>
      </c>
      <c r="G1185" s="6">
        <v>1184</v>
      </c>
      <c r="H1185" s="7"/>
    </row>
    <row r="1186" spans="1:8">
      <c r="A1186" s="4" t="s">
        <v>764</v>
      </c>
      <c r="B1186" s="5">
        <v>1268</v>
      </c>
      <c r="C1186" s="6">
        <v>5</v>
      </c>
      <c r="D1186" s="6">
        <v>6</v>
      </c>
      <c r="E1186" s="6">
        <v>4</v>
      </c>
      <c r="F1186" s="6">
        <v>15</v>
      </c>
      <c r="G1186" s="6">
        <v>1185</v>
      </c>
      <c r="H1186" s="7"/>
    </row>
    <row r="1187" spans="1:8">
      <c r="A1187" s="4" t="str">
        <f>HYPERLINK("https://scryfall.com/card/frf/9/daghatar-the-adamant","Daghatar the Adamant")</f>
        <v>Daghatar the Adamant</v>
      </c>
      <c r="B1187" s="5">
        <v>1271</v>
      </c>
      <c r="C1187" s="6">
        <v>3</v>
      </c>
      <c r="D1187" s="6">
        <v>7</v>
      </c>
      <c r="E1187" s="6">
        <v>5</v>
      </c>
      <c r="F1187" s="6">
        <v>15</v>
      </c>
      <c r="G1187" s="6">
        <v>1186</v>
      </c>
      <c r="H1187" s="7"/>
    </row>
    <row r="1188" spans="1:8">
      <c r="A1188" s="4" t="str">
        <f>HYPERLINK("https://scryfall.com/card/c18/47/tuvasa-the-sunlit","Tuvasa the Sunlit")</f>
        <v>Tuvasa the Sunlit</v>
      </c>
      <c r="B1188" s="5">
        <v>1272</v>
      </c>
      <c r="C1188" s="6">
        <v>4</v>
      </c>
      <c r="D1188" s="6">
        <v>6</v>
      </c>
      <c r="E1188" s="6">
        <v>5</v>
      </c>
      <c r="F1188" s="6">
        <v>15</v>
      </c>
      <c r="G1188" s="6">
        <v>1187</v>
      </c>
      <c r="H1188" s="7"/>
    </row>
    <row r="1189" spans="1:8">
      <c r="A1189" s="4" t="s">
        <v>767</v>
      </c>
      <c r="B1189" s="5">
        <v>1273</v>
      </c>
      <c r="C1189" s="6">
        <v>2</v>
      </c>
      <c r="D1189" s="6">
        <v>6</v>
      </c>
      <c r="E1189" s="6">
        <v>7</v>
      </c>
      <c r="F1189" s="6">
        <v>15</v>
      </c>
      <c r="G1189" s="6">
        <v>1188</v>
      </c>
      <c r="H1189" s="7"/>
    </row>
    <row r="1190" spans="1:8">
      <c r="A1190" s="4" t="s">
        <v>768</v>
      </c>
      <c r="B1190" s="5">
        <v>1274</v>
      </c>
      <c r="C1190" s="6">
        <v>1</v>
      </c>
      <c r="D1190" s="6">
        <v>5</v>
      </c>
      <c r="E1190" s="6">
        <v>9</v>
      </c>
      <c r="F1190" s="6">
        <v>15</v>
      </c>
      <c r="G1190" s="6">
        <v>1189</v>
      </c>
      <c r="H1190" s="7"/>
    </row>
    <row r="1191" spans="1:8">
      <c r="A1191" s="4" t="str">
        <f>HYPERLINK("https://scryfall.com/card/pca/106/thromok-the-insatiable","Thromok the Insatiable")</f>
        <v>Thromok the Insatiable</v>
      </c>
      <c r="B1191" s="5">
        <v>1275</v>
      </c>
      <c r="C1191" s="6">
        <v>1</v>
      </c>
      <c r="D1191" s="6">
        <v>9</v>
      </c>
      <c r="E1191" s="6">
        <v>5</v>
      </c>
      <c r="F1191" s="6">
        <v>15</v>
      </c>
      <c r="G1191" s="6">
        <v>1190</v>
      </c>
      <c r="H1191" s="7"/>
    </row>
    <row r="1192" spans="1:8">
      <c r="A1192" s="4" t="str">
        <f>HYPERLINK("https://scryfall.com/card/grn/204/tajic-legions-edge","Tajic, Legion's Edge")</f>
        <v>Tajic, Legion's Edge</v>
      </c>
      <c r="B1192" s="5">
        <v>1276</v>
      </c>
      <c r="C1192" s="6">
        <v>4</v>
      </c>
      <c r="D1192" s="6">
        <v>5</v>
      </c>
      <c r="E1192" s="6">
        <v>6</v>
      </c>
      <c r="F1192" s="6">
        <v>15</v>
      </c>
      <c r="G1192" s="6">
        <v>1191</v>
      </c>
      <c r="H1192" s="7"/>
    </row>
    <row r="1193" spans="1:8">
      <c r="A1193" s="16" t="s">
        <v>769</v>
      </c>
      <c r="B1193" s="5">
        <v>1278</v>
      </c>
      <c r="C1193" s="6">
        <v>3</v>
      </c>
      <c r="D1193" s="6">
        <v>8</v>
      </c>
      <c r="E1193" s="6">
        <v>4</v>
      </c>
      <c r="F1193" s="6">
        <v>15</v>
      </c>
      <c r="G1193" s="6">
        <v>1192</v>
      </c>
      <c r="H1193" s="7"/>
    </row>
    <row r="1194" spans="1:8">
      <c r="A1194" s="4" t="str">
        <f>HYPERLINK("https://scryfall.com/card/eld/177/syr-faren-the-hengehammer","Syr Faren, the Hengehammer")</f>
        <v>Syr Faren, the Hengehammer</v>
      </c>
      <c r="B1194" s="5">
        <v>1285</v>
      </c>
      <c r="C1194" s="6">
        <v>2</v>
      </c>
      <c r="D1194" s="6">
        <v>5</v>
      </c>
      <c r="E1194" s="6">
        <v>8</v>
      </c>
      <c r="F1194" s="6">
        <v>15</v>
      </c>
      <c r="G1194" s="6">
        <v>1193</v>
      </c>
      <c r="H1194" s="7"/>
    </row>
    <row r="1195" spans="1:8">
      <c r="A1195" s="4" t="str">
        <f>HYPERLINK("https://scryfall.com/card/c16/26/akiri-line-slinger","Akiri, Line-Slinger")</f>
        <v>Akiri, Line-Slinger</v>
      </c>
      <c r="B1195" s="5">
        <v>1287</v>
      </c>
      <c r="C1195" s="6">
        <v>5</v>
      </c>
      <c r="D1195" s="6">
        <v>5</v>
      </c>
      <c r="E1195" s="6">
        <v>5</v>
      </c>
      <c r="F1195" s="6">
        <v>15</v>
      </c>
      <c r="G1195" s="6">
        <v>1194</v>
      </c>
      <c r="H1195" s="7"/>
    </row>
    <row r="1196" spans="1:8">
      <c r="A1196" s="4" t="s">
        <v>774</v>
      </c>
      <c r="B1196" s="5">
        <v>1290</v>
      </c>
      <c r="C1196" s="6">
        <v>3</v>
      </c>
      <c r="D1196" s="6">
        <v>5</v>
      </c>
      <c r="E1196" s="6">
        <v>7</v>
      </c>
      <c r="F1196" s="6">
        <v>15</v>
      </c>
      <c r="G1196" s="6">
        <v>1195</v>
      </c>
      <c r="H1196" s="7"/>
    </row>
    <row r="1197" spans="1:8">
      <c r="A1197" s="4" t="s">
        <v>775</v>
      </c>
      <c r="B1197" s="5">
        <v>1291</v>
      </c>
      <c r="C1197" s="6">
        <v>2</v>
      </c>
      <c r="D1197" s="6">
        <v>4</v>
      </c>
      <c r="E1197" s="6">
        <v>9</v>
      </c>
      <c r="F1197" s="6">
        <v>15</v>
      </c>
      <c r="G1197" s="6">
        <v>1196</v>
      </c>
      <c r="H1197" s="7"/>
    </row>
    <row r="1198" spans="1:8">
      <c r="A1198" s="4" t="str">
        <f>HYPERLINK("https://scryfall.com/card/cn2/113/kami-of-the-crescent-moon","Kami of the Crescent Moon")</f>
        <v>Kami of the Crescent Moon</v>
      </c>
      <c r="B1198" s="5">
        <v>1295</v>
      </c>
      <c r="C1198" s="6">
        <v>2</v>
      </c>
      <c r="D1198" s="6">
        <v>8</v>
      </c>
      <c r="E1198" s="6">
        <v>5</v>
      </c>
      <c r="F1198" s="6">
        <v>15</v>
      </c>
      <c r="G1198" s="6">
        <v>1197</v>
      </c>
      <c r="H1198" s="7"/>
    </row>
    <row r="1199" spans="1:8">
      <c r="A1199" s="4" t="str">
        <f>HYPERLINK("https://scryfall.com/card/chk/238/sachi-daughter-of-seshiro","Sachi, Daughter of Seshiro")</f>
        <v>Sachi, Daughter of Seshiro</v>
      </c>
      <c r="B1199" s="5">
        <v>1299</v>
      </c>
      <c r="C1199" s="6">
        <v>2</v>
      </c>
      <c r="D1199" s="6">
        <v>9</v>
      </c>
      <c r="E1199" s="6">
        <v>4</v>
      </c>
      <c r="F1199" s="6">
        <v>15</v>
      </c>
      <c r="G1199" s="6">
        <v>1198</v>
      </c>
      <c r="H1199" s="7"/>
    </row>
    <row r="1200" spans="1:8">
      <c r="A1200" s="4" t="s">
        <v>781</v>
      </c>
      <c r="B1200" s="5">
        <v>1303</v>
      </c>
      <c r="C1200" s="6">
        <v>6</v>
      </c>
      <c r="D1200" s="6">
        <v>5</v>
      </c>
      <c r="E1200" s="6">
        <v>4</v>
      </c>
      <c r="F1200" s="6">
        <v>15</v>
      </c>
      <c r="G1200" s="6">
        <v>1199</v>
      </c>
      <c r="H1200" s="7"/>
    </row>
    <row r="1201" spans="1:8">
      <c r="A1201" s="4" t="s">
        <v>794</v>
      </c>
      <c r="B1201" s="5">
        <v>1323</v>
      </c>
      <c r="C1201" s="6">
        <v>2</v>
      </c>
      <c r="D1201" s="6">
        <v>8</v>
      </c>
      <c r="E1201" s="6">
        <v>5</v>
      </c>
      <c r="F1201" s="6">
        <v>15</v>
      </c>
      <c r="G1201" s="6">
        <v>1200</v>
      </c>
      <c r="H1201" s="7"/>
    </row>
    <row r="1202" spans="1:8">
      <c r="A1202" s="4" t="s">
        <v>808</v>
      </c>
      <c r="B1202" s="5">
        <v>1353</v>
      </c>
      <c r="C1202" s="6">
        <v>3</v>
      </c>
      <c r="D1202" s="6">
        <v>5</v>
      </c>
      <c r="E1202" s="6">
        <v>7</v>
      </c>
      <c r="F1202" s="6">
        <v>15</v>
      </c>
      <c r="G1202" s="6">
        <v>1201</v>
      </c>
      <c r="H1202" s="7"/>
    </row>
    <row r="1203" spans="1:8">
      <c r="A1203" s="4" t="s">
        <v>809</v>
      </c>
      <c r="B1203" s="5">
        <v>1355</v>
      </c>
      <c r="C1203" s="6">
        <v>3</v>
      </c>
      <c r="D1203" s="6">
        <v>6</v>
      </c>
      <c r="E1203" s="6">
        <v>6</v>
      </c>
      <c r="F1203" s="6">
        <v>15</v>
      </c>
      <c r="G1203" s="6">
        <v>1202</v>
      </c>
      <c r="H1203" s="7"/>
    </row>
    <row r="1204" spans="1:8">
      <c r="A1204" s="4" t="s">
        <v>810</v>
      </c>
      <c r="B1204" s="5">
        <v>1367</v>
      </c>
      <c r="C1204" s="6">
        <v>3</v>
      </c>
      <c r="D1204" s="6">
        <v>6</v>
      </c>
      <c r="E1204" s="6">
        <v>6</v>
      </c>
      <c r="F1204" s="6">
        <v>15</v>
      </c>
      <c r="G1204" s="6">
        <v>1203</v>
      </c>
      <c r="H1204" s="7"/>
    </row>
    <row r="1205" spans="1:8">
      <c r="A1205" s="4" t="s">
        <v>815</v>
      </c>
      <c r="B1205" s="5">
        <v>1377</v>
      </c>
      <c r="C1205" s="6">
        <v>3</v>
      </c>
      <c r="D1205" s="6">
        <v>3</v>
      </c>
      <c r="E1205" s="6">
        <v>9</v>
      </c>
      <c r="F1205" s="6">
        <v>15</v>
      </c>
      <c r="G1205" s="6">
        <v>1204</v>
      </c>
      <c r="H1205" s="7"/>
    </row>
    <row r="1206" spans="1:8">
      <c r="A1206" s="4" t="str">
        <f>HYPERLINK("https://scryfall.com/card/bng/5/brimaz-king-of-oreskos","Brimaz, King of Oreskos")</f>
        <v>Brimaz, King of Oreskos</v>
      </c>
      <c r="B1206" s="5">
        <v>1387</v>
      </c>
      <c r="C1206" s="6">
        <v>2</v>
      </c>
      <c r="D1206" s="6">
        <v>5</v>
      </c>
      <c r="E1206" s="6">
        <v>8</v>
      </c>
      <c r="F1206" s="6">
        <v>15</v>
      </c>
      <c r="G1206" s="6">
        <v>1205</v>
      </c>
      <c r="H1206" s="7"/>
    </row>
    <row r="1207" spans="1:8">
      <c r="A1207" s="4" t="s">
        <v>834</v>
      </c>
      <c r="B1207" s="5">
        <v>1416</v>
      </c>
      <c r="C1207" s="6">
        <v>2</v>
      </c>
      <c r="D1207" s="6">
        <v>6</v>
      </c>
      <c r="E1207" s="6">
        <v>7</v>
      </c>
      <c r="F1207" s="6">
        <v>15</v>
      </c>
      <c r="G1207" s="6">
        <v>1206</v>
      </c>
      <c r="H1207" s="7"/>
    </row>
    <row r="1208" spans="1:8">
      <c r="A1208" s="4" t="s">
        <v>846</v>
      </c>
      <c r="B1208" s="5">
        <v>1450</v>
      </c>
      <c r="C1208" s="6">
        <v>2</v>
      </c>
      <c r="D1208" s="6">
        <v>5</v>
      </c>
      <c r="E1208" s="6">
        <v>8</v>
      </c>
      <c r="F1208" s="6">
        <v>15</v>
      </c>
      <c r="G1208" s="6">
        <v>1207</v>
      </c>
      <c r="H1208" s="7"/>
    </row>
    <row r="1209" spans="1:8">
      <c r="A1209" s="4" t="s">
        <v>847</v>
      </c>
      <c r="B1209" s="5">
        <v>1451</v>
      </c>
      <c r="C1209" s="6">
        <v>3</v>
      </c>
      <c r="D1209" s="6">
        <v>3</v>
      </c>
      <c r="E1209" s="6">
        <v>9</v>
      </c>
      <c r="F1209" s="6">
        <v>15</v>
      </c>
      <c r="G1209" s="6">
        <v>1208</v>
      </c>
      <c r="H1209" s="7"/>
    </row>
    <row r="1210" spans="1:8">
      <c r="A1210" s="4" t="str">
        <f>HYPERLINK("https://scryfall.com/card/ddu/1/ezuri-renegade-leader","Ezuri, Renegade Leader")</f>
        <v>Ezuri, Renegade Leader</v>
      </c>
      <c r="B1210" s="5">
        <v>1469</v>
      </c>
      <c r="C1210" s="6">
        <v>6</v>
      </c>
      <c r="D1210" s="6">
        <v>6</v>
      </c>
      <c r="E1210" s="6">
        <v>3</v>
      </c>
      <c r="F1210" s="6">
        <v>15</v>
      </c>
      <c r="G1210" s="6">
        <v>1209</v>
      </c>
      <c r="H1210" s="7"/>
    </row>
    <row r="1211" spans="1:8">
      <c r="A1211" s="4" t="s">
        <v>857</v>
      </c>
      <c r="B1211" s="5">
        <v>1472</v>
      </c>
      <c r="C1211" s="6">
        <v>2</v>
      </c>
      <c r="D1211" s="6">
        <v>7</v>
      </c>
      <c r="E1211" s="6">
        <v>6</v>
      </c>
      <c r="F1211" s="6">
        <v>15</v>
      </c>
      <c r="G1211" s="6">
        <v>1210</v>
      </c>
      <c r="H1211" s="7"/>
    </row>
    <row r="1212" spans="1:8">
      <c r="A1212" s="4" t="s">
        <v>862</v>
      </c>
      <c r="B1212" s="5">
        <v>1486</v>
      </c>
      <c r="C1212" s="6">
        <v>2</v>
      </c>
      <c r="D1212" s="6">
        <v>3</v>
      </c>
      <c r="E1212" s="6">
        <v>10</v>
      </c>
      <c r="F1212" s="6">
        <v>15</v>
      </c>
      <c r="G1212" s="6">
        <v>1211</v>
      </c>
      <c r="H1212" s="7"/>
    </row>
    <row r="1213" spans="1:8">
      <c r="A1213" s="4" t="str">
        <f>HYPERLINK("https://scryfall.com/card/arb/109/sen-triplets","Sen Triplets")</f>
        <v>Sen Triplets</v>
      </c>
      <c r="B1213" s="5">
        <v>667</v>
      </c>
      <c r="C1213" s="6">
        <v>3</v>
      </c>
      <c r="D1213" s="6">
        <v>5</v>
      </c>
      <c r="E1213" s="6">
        <v>6</v>
      </c>
      <c r="F1213" s="6">
        <v>14</v>
      </c>
      <c r="G1213" s="6">
        <v>1212</v>
      </c>
      <c r="H1213" s="7"/>
    </row>
    <row r="1214" spans="1:8">
      <c r="A1214" s="4" t="s">
        <v>472</v>
      </c>
      <c r="B1214" s="5">
        <v>773</v>
      </c>
      <c r="C1214" s="6">
        <v>2</v>
      </c>
      <c r="D1214" s="6">
        <v>5</v>
      </c>
      <c r="E1214" s="6">
        <v>7</v>
      </c>
      <c r="F1214" s="6">
        <v>14</v>
      </c>
      <c r="G1214" s="6">
        <v>1213</v>
      </c>
      <c r="H1214" s="7"/>
    </row>
    <row r="1215" spans="1:8">
      <c r="A1215" s="4" t="str">
        <f>HYPERLINK("https://scryfall.com/card/soi/31/odric-lunarch-marshal","Odric, Lunarch Marshal")</f>
        <v>Odric, Lunarch Marshal</v>
      </c>
      <c r="B1215" s="5">
        <v>855</v>
      </c>
      <c r="C1215" s="6">
        <v>3</v>
      </c>
      <c r="D1215" s="6">
        <v>6</v>
      </c>
      <c r="E1215" s="6">
        <v>5</v>
      </c>
      <c r="F1215" s="6">
        <v>14</v>
      </c>
      <c r="G1215" s="6">
        <v>1214</v>
      </c>
      <c r="H1215" s="7"/>
    </row>
    <row r="1216" spans="1:8">
      <c r="A1216" s="4" t="s">
        <v>525</v>
      </c>
      <c r="B1216" s="5">
        <v>857</v>
      </c>
      <c r="C1216" s="6">
        <v>3</v>
      </c>
      <c r="D1216" s="6">
        <v>7</v>
      </c>
      <c r="E1216" s="6">
        <v>4</v>
      </c>
      <c r="F1216" s="6">
        <v>14</v>
      </c>
      <c r="G1216" s="6">
        <v>1215</v>
      </c>
      <c r="H1216" s="7"/>
    </row>
    <row r="1217" spans="1:8">
      <c r="A1217" s="4" t="s">
        <v>533</v>
      </c>
      <c r="B1217" s="5">
        <v>869</v>
      </c>
      <c r="C1217" s="6">
        <v>3</v>
      </c>
      <c r="D1217" s="6">
        <v>3</v>
      </c>
      <c r="E1217" s="6">
        <v>8</v>
      </c>
      <c r="F1217" s="6">
        <v>14</v>
      </c>
      <c r="G1217" s="6">
        <v>1216</v>
      </c>
      <c r="H1217" s="7"/>
    </row>
    <row r="1218" spans="1:8">
      <c r="A1218" s="4" t="s">
        <v>536</v>
      </c>
      <c r="B1218" s="5">
        <v>874</v>
      </c>
      <c r="C1218" s="6">
        <v>2</v>
      </c>
      <c r="D1218" s="6">
        <v>4</v>
      </c>
      <c r="E1218" s="6">
        <v>8</v>
      </c>
      <c r="F1218" s="6">
        <v>14</v>
      </c>
      <c r="G1218" s="6">
        <v>1217</v>
      </c>
      <c r="H1218" s="7"/>
    </row>
    <row r="1219" spans="1:8">
      <c r="A1219" s="4" t="str">
        <f>HYPERLINK("https://scryfall.com/card/pca/18/higure-the-still-wind","Higure, the Still Wind")</f>
        <v>Higure, the Still Wind</v>
      </c>
      <c r="B1219" s="5">
        <v>879</v>
      </c>
      <c r="C1219" s="6">
        <v>1</v>
      </c>
      <c r="D1219" s="6">
        <v>8</v>
      </c>
      <c r="E1219" s="6">
        <v>5</v>
      </c>
      <c r="F1219" s="6">
        <v>14</v>
      </c>
      <c r="G1219" s="6">
        <v>1218</v>
      </c>
      <c r="H1219" s="7"/>
    </row>
    <row r="1220" spans="1:8">
      <c r="A1220" s="4" t="s">
        <v>553</v>
      </c>
      <c r="B1220" s="5">
        <v>902</v>
      </c>
      <c r="C1220" s="6">
        <v>6</v>
      </c>
      <c r="D1220" s="6">
        <v>4</v>
      </c>
      <c r="E1220" s="6">
        <v>4</v>
      </c>
      <c r="F1220" s="6">
        <v>14</v>
      </c>
      <c r="G1220" s="6">
        <v>1219</v>
      </c>
      <c r="H1220" s="7"/>
    </row>
    <row r="1221" spans="1:8">
      <c r="A1221" s="4" t="str">
        <f>HYPERLINK("https://scryfall.com/card/emn/183/gisa-and-geralf","Gisa and Geralf")</f>
        <v>Gisa and Geralf</v>
      </c>
      <c r="B1221" s="5">
        <v>911</v>
      </c>
      <c r="C1221" s="6">
        <v>3</v>
      </c>
      <c r="D1221" s="6">
        <v>8</v>
      </c>
      <c r="E1221" s="6">
        <v>3</v>
      </c>
      <c r="F1221" s="6">
        <v>14</v>
      </c>
      <c r="G1221" s="6">
        <v>1220</v>
      </c>
      <c r="H1221" s="7"/>
    </row>
    <row r="1222" spans="1:8">
      <c r="A1222" s="4" t="str">
        <f>HYPERLINK("https://scryfall.com/card/eve/128/sapling-of-colfenor","Sapling of Colfenor")</f>
        <v>Sapling of Colfenor</v>
      </c>
      <c r="B1222" s="5">
        <v>928</v>
      </c>
      <c r="C1222" s="6">
        <v>2</v>
      </c>
      <c r="D1222" s="6">
        <v>7</v>
      </c>
      <c r="E1222" s="6">
        <v>5</v>
      </c>
      <c r="F1222" s="6">
        <v>14</v>
      </c>
      <c r="G1222" s="6">
        <v>1221</v>
      </c>
      <c r="H1222" s="7"/>
    </row>
    <row r="1223" spans="1:8">
      <c r="A1223" s="4" t="s">
        <v>571</v>
      </c>
      <c r="B1223" s="5">
        <v>930</v>
      </c>
      <c r="C1223" s="6">
        <v>3</v>
      </c>
      <c r="D1223" s="6">
        <v>6</v>
      </c>
      <c r="E1223" s="6">
        <v>5</v>
      </c>
      <c r="F1223" s="6">
        <v>14</v>
      </c>
      <c r="G1223" s="6">
        <v>1222</v>
      </c>
      <c r="H1223" s="7"/>
    </row>
    <row r="1224" spans="1:8">
      <c r="A1224" s="4" t="str">
        <f>HYPERLINK("https://scryfall.com/card/c16/133/slobad-goblin-tinkerer","Slobad, Goblin Tinkerer")</f>
        <v>Slobad, Goblin Tinkerer</v>
      </c>
      <c r="B1224" s="5">
        <v>939</v>
      </c>
      <c r="C1224" s="6">
        <v>3</v>
      </c>
      <c r="D1224" s="6">
        <v>5</v>
      </c>
      <c r="E1224" s="6">
        <v>6</v>
      </c>
      <c r="F1224" s="6">
        <v>14</v>
      </c>
      <c r="G1224" s="6">
        <v>1223</v>
      </c>
      <c r="H1224" s="7"/>
    </row>
    <row r="1225" spans="1:8">
      <c r="A1225" s="4" t="str">
        <f>HYPERLINK("https://scryfall.com/card/scg/138/karona-false-god","Karona, False God")</f>
        <v>Karona, False God</v>
      </c>
      <c r="B1225" s="5">
        <v>964</v>
      </c>
      <c r="C1225" s="6">
        <v>2</v>
      </c>
      <c r="D1225" s="6">
        <v>8</v>
      </c>
      <c r="E1225" s="6">
        <v>4</v>
      </c>
      <c r="F1225" s="6">
        <v>14</v>
      </c>
      <c r="G1225" s="6">
        <v>1224</v>
      </c>
      <c r="H1225" s="7"/>
    </row>
    <row r="1226" spans="1:8">
      <c r="A1226" s="4" t="str">
        <f>HYPERLINK("https://scryfall.com/card/rix/86/tetzimoc-primal-death","Tetzimoc, Primal Death")</f>
        <v>Tetzimoc, Primal Death</v>
      </c>
      <c r="B1226" s="5">
        <v>968</v>
      </c>
      <c r="C1226" s="6">
        <v>1</v>
      </c>
      <c r="D1226" s="6">
        <v>6</v>
      </c>
      <c r="E1226" s="6">
        <v>7</v>
      </c>
      <c r="F1226" s="6">
        <v>14</v>
      </c>
      <c r="G1226" s="6">
        <v>1225</v>
      </c>
      <c r="H1226" s="7"/>
    </row>
    <row r="1227" spans="1:8">
      <c r="A1227" s="4" t="str">
        <f>HYPERLINK("https://scryfall.com/card/pls/107/ertai-the-corrupted","Ertai, the Corrupted")</f>
        <v>Ertai, the Corrupted</v>
      </c>
      <c r="B1227" s="5">
        <v>970</v>
      </c>
      <c r="C1227" s="6">
        <v>4</v>
      </c>
      <c r="D1227" s="6">
        <v>5</v>
      </c>
      <c r="E1227" s="6">
        <v>5</v>
      </c>
      <c r="F1227" s="6">
        <v>14</v>
      </c>
      <c r="G1227" s="6">
        <v>1226</v>
      </c>
      <c r="H1227" s="7"/>
    </row>
    <row r="1228" spans="1:8">
      <c r="A1228" s="4" t="s">
        <v>596</v>
      </c>
      <c r="B1228" s="5">
        <v>983</v>
      </c>
      <c r="C1228" s="6">
        <v>1</v>
      </c>
      <c r="D1228" s="6">
        <v>6</v>
      </c>
      <c r="E1228" s="6">
        <v>7</v>
      </c>
      <c r="F1228" s="6">
        <v>14</v>
      </c>
      <c r="G1228" s="6">
        <v>1227</v>
      </c>
      <c r="H1228" s="7"/>
    </row>
    <row r="1229" spans="1:8">
      <c r="A1229" s="4" t="str">
        <f>HYPERLINK("https://scryfall.com/card/c20/2/haldan-avid-arcanist","Haldan, Avid Arcanist")</f>
        <v>Haldan, Avid Arcanist</v>
      </c>
      <c r="B1229" s="5">
        <v>985</v>
      </c>
      <c r="C1229" s="6">
        <v>1</v>
      </c>
      <c r="D1229" s="6">
        <v>8</v>
      </c>
      <c r="E1229" s="6">
        <v>5</v>
      </c>
      <c r="F1229" s="6">
        <v>14</v>
      </c>
      <c r="G1229" s="6">
        <v>1228</v>
      </c>
      <c r="H1229" s="7"/>
    </row>
    <row r="1230" spans="1:8">
      <c r="A1230" s="4" t="s">
        <v>598</v>
      </c>
      <c r="B1230" s="5">
        <v>990</v>
      </c>
      <c r="C1230" s="6">
        <v>3</v>
      </c>
      <c r="D1230" s="6">
        <v>6</v>
      </c>
      <c r="E1230" s="6">
        <v>5</v>
      </c>
      <c r="F1230" s="6">
        <v>14</v>
      </c>
      <c r="G1230" s="6">
        <v>1229</v>
      </c>
      <c r="H1230" s="7"/>
    </row>
    <row r="1231" spans="1:8">
      <c r="A1231" s="4" t="str">
        <f>HYPERLINK("https://scryfall.com/card/cns/120/phage-the-untouchable","Phage the Untouchable")</f>
        <v>Phage the Untouchable</v>
      </c>
      <c r="B1231" s="5">
        <v>993</v>
      </c>
      <c r="C1231" s="6">
        <v>1</v>
      </c>
      <c r="D1231" s="6">
        <v>8</v>
      </c>
      <c r="E1231" s="6">
        <v>5</v>
      </c>
      <c r="F1231" s="6">
        <v>14</v>
      </c>
      <c r="G1231" s="6">
        <v>1230</v>
      </c>
      <c r="H1231" s="7"/>
    </row>
    <row r="1232" spans="1:8">
      <c r="A1232" s="4" t="s">
        <v>601</v>
      </c>
      <c r="B1232" s="5">
        <v>995</v>
      </c>
      <c r="C1232" s="6">
        <v>2</v>
      </c>
      <c r="D1232" s="6">
        <v>5</v>
      </c>
      <c r="E1232" s="6">
        <v>7</v>
      </c>
      <c r="F1232" s="6">
        <v>14</v>
      </c>
      <c r="G1232" s="6">
        <v>1231</v>
      </c>
      <c r="H1232" s="7"/>
    </row>
    <row r="1233" spans="1:8">
      <c r="A1233" s="4" t="str">
        <f>HYPERLINK("https://scryfall.com/card/sok/145/sasaya-orochi-ascendant-sasayas-essence","Sasaya, Orochi Ascendant")</f>
        <v>Sasaya, Orochi Ascendant</v>
      </c>
      <c r="B1233" s="5">
        <v>1004</v>
      </c>
      <c r="C1233" s="6">
        <v>1</v>
      </c>
      <c r="D1233" s="6">
        <v>9</v>
      </c>
      <c r="E1233" s="6">
        <v>4</v>
      </c>
      <c r="F1233" s="6">
        <v>14</v>
      </c>
      <c r="G1233" s="6">
        <v>1232</v>
      </c>
      <c r="H1233" s="7"/>
    </row>
    <row r="1234" spans="1:8">
      <c r="A1234" s="4" t="str">
        <f>HYPERLINK("https://scryfall.com/card/c16/130/kazuul-tyrant-of-the-cliffs","Kazuul, Tyrant of the Cliffs")</f>
        <v>Kazuul, Tyrant of the Cliffs</v>
      </c>
      <c r="B1234" s="5">
        <v>1006</v>
      </c>
      <c r="C1234" s="6">
        <v>2</v>
      </c>
      <c r="D1234" s="6">
        <v>8</v>
      </c>
      <c r="E1234" s="6">
        <v>4</v>
      </c>
      <c r="F1234" s="6">
        <v>14</v>
      </c>
      <c r="G1234" s="6">
        <v>1233</v>
      </c>
      <c r="H1234" s="7"/>
    </row>
    <row r="1235" spans="1:8">
      <c r="A1235" s="4" t="str">
        <f>HYPERLINK("https://scryfall.com/card/war/137/krenko-tin-street-kingpin","Krenko, Tin Street Kingpin")</f>
        <v>Krenko, Tin Street Kingpin</v>
      </c>
      <c r="B1235" s="5">
        <v>1040</v>
      </c>
      <c r="C1235" s="6">
        <v>2</v>
      </c>
      <c r="D1235" s="6">
        <v>6</v>
      </c>
      <c r="E1235" s="6">
        <v>6</v>
      </c>
      <c r="F1235" s="6">
        <v>14</v>
      </c>
      <c r="G1235" s="6">
        <v>1234</v>
      </c>
      <c r="H1235" s="7"/>
    </row>
    <row r="1236" spans="1:8">
      <c r="A1236" s="4" t="s">
        <v>635</v>
      </c>
      <c r="B1236" s="5">
        <v>1045</v>
      </c>
      <c r="C1236" s="6">
        <v>2</v>
      </c>
      <c r="D1236" s="6">
        <v>6</v>
      </c>
      <c r="E1236" s="6">
        <v>6</v>
      </c>
      <c r="F1236" s="6">
        <v>14</v>
      </c>
      <c r="G1236" s="6">
        <v>1235</v>
      </c>
      <c r="H1236" s="7"/>
    </row>
    <row r="1237" spans="1:8">
      <c r="A1237" s="4" t="str">
        <f>HYPERLINK("https://scryfall.com/card/kld/183/kambal-consul-of-allocation","Kambal, Consul of Allocation")</f>
        <v>Kambal, Consul of Allocation</v>
      </c>
      <c r="B1237" s="5">
        <v>1048</v>
      </c>
      <c r="C1237" s="6">
        <v>5</v>
      </c>
      <c r="D1237" s="6">
        <v>5</v>
      </c>
      <c r="E1237" s="6">
        <v>4</v>
      </c>
      <c r="F1237" s="6">
        <v>14</v>
      </c>
      <c r="G1237" s="6">
        <v>1236</v>
      </c>
      <c r="H1237" s="7"/>
    </row>
    <row r="1238" spans="1:8">
      <c r="A1238" s="4" t="s">
        <v>636</v>
      </c>
      <c r="B1238" s="5">
        <v>1049</v>
      </c>
      <c r="C1238" s="6">
        <v>2</v>
      </c>
      <c r="D1238" s="6">
        <v>7</v>
      </c>
      <c r="E1238" s="6">
        <v>5</v>
      </c>
      <c r="F1238" s="6">
        <v>14</v>
      </c>
      <c r="G1238" s="6">
        <v>1237</v>
      </c>
      <c r="H1238" s="7"/>
    </row>
    <row r="1239" spans="1:8">
      <c r="A1239" s="4" t="str">
        <f>HYPERLINK("https://scryfall.com/card/c14/117/lorthos-the-tidemaker","Lorthos, the Tidemaker")</f>
        <v>Lorthos, the Tidemaker</v>
      </c>
      <c r="B1239" s="5">
        <v>1058</v>
      </c>
      <c r="C1239" s="6">
        <v>1</v>
      </c>
      <c r="D1239" s="6">
        <v>5</v>
      </c>
      <c r="E1239" s="6">
        <v>8</v>
      </c>
      <c r="F1239" s="6">
        <v>14</v>
      </c>
      <c r="G1239" s="6">
        <v>1238</v>
      </c>
      <c r="H1239" s="7"/>
    </row>
    <row r="1240" spans="1:8">
      <c r="A1240" s="4" t="str">
        <f>HYPERLINK("https://scryfall.com/card/gk1/50/izoni-thousand-eyed","Izoni, Thousand-Eyed")</f>
        <v>Izoni, Thousand-Eyed</v>
      </c>
      <c r="B1240" s="5">
        <v>1100</v>
      </c>
      <c r="C1240" s="6">
        <v>3</v>
      </c>
      <c r="D1240" s="6">
        <v>6</v>
      </c>
      <c r="E1240" s="6">
        <v>5</v>
      </c>
      <c r="F1240" s="6">
        <v>14</v>
      </c>
      <c r="G1240" s="6">
        <v>1239</v>
      </c>
      <c r="H1240" s="7"/>
    </row>
    <row r="1241" spans="1:8">
      <c r="A1241" s="4" t="s">
        <v>674</v>
      </c>
      <c r="B1241" s="5">
        <v>1119</v>
      </c>
      <c r="C1241" s="6">
        <v>2</v>
      </c>
      <c r="D1241" s="6">
        <v>5</v>
      </c>
      <c r="E1241" s="6">
        <v>7</v>
      </c>
      <c r="F1241" s="6">
        <v>14</v>
      </c>
      <c r="G1241" s="6">
        <v>1240</v>
      </c>
      <c r="H1241" s="7"/>
    </row>
    <row r="1242" spans="1:8">
      <c r="A1242" s="4" t="s">
        <v>676</v>
      </c>
      <c r="B1242" s="5">
        <v>1123</v>
      </c>
      <c r="C1242" s="6">
        <v>4</v>
      </c>
      <c r="D1242" s="6">
        <v>7</v>
      </c>
      <c r="E1242" s="6">
        <v>3</v>
      </c>
      <c r="F1242" s="6">
        <v>14</v>
      </c>
      <c r="G1242" s="6">
        <v>1241</v>
      </c>
      <c r="H1242" s="7"/>
    </row>
    <row r="1243" spans="1:8">
      <c r="A1243" s="4" t="str">
        <f>HYPERLINK("https://scryfall.com/card/akh/182/rhonas-the-indomitable","Rhonas the Indomitable")</f>
        <v>Rhonas the Indomitable</v>
      </c>
      <c r="B1243" s="5">
        <v>1124</v>
      </c>
      <c r="C1243" s="6">
        <v>2</v>
      </c>
      <c r="D1243" s="6">
        <v>4</v>
      </c>
      <c r="E1243" s="6">
        <v>8</v>
      </c>
      <c r="F1243" s="6">
        <v>14</v>
      </c>
      <c r="G1243" s="6">
        <v>1242</v>
      </c>
      <c r="H1243" s="7"/>
    </row>
    <row r="1244" spans="1:8">
      <c r="A1244" s="4" t="s">
        <v>677</v>
      </c>
      <c r="B1244" s="5">
        <v>1125</v>
      </c>
      <c r="C1244" s="6">
        <v>2</v>
      </c>
      <c r="D1244" s="6">
        <v>2</v>
      </c>
      <c r="E1244" s="6">
        <v>10</v>
      </c>
      <c r="F1244" s="6">
        <v>14</v>
      </c>
      <c r="G1244" s="6">
        <v>1243</v>
      </c>
      <c r="H1244" s="7"/>
    </row>
    <row r="1245" spans="1:8">
      <c r="A1245" s="4" t="s">
        <v>681</v>
      </c>
      <c r="B1245" s="5">
        <v>1133</v>
      </c>
      <c r="C1245" s="6">
        <v>3</v>
      </c>
      <c r="D1245" s="6">
        <v>6</v>
      </c>
      <c r="E1245" s="6">
        <v>5</v>
      </c>
      <c r="F1245" s="6">
        <v>14</v>
      </c>
      <c r="G1245" s="6">
        <v>1244</v>
      </c>
      <c r="H1245" s="7"/>
    </row>
    <row r="1246" spans="1:8">
      <c r="A1246" s="4" t="s">
        <v>696</v>
      </c>
      <c r="B1246" s="5">
        <v>1152</v>
      </c>
      <c r="C1246" s="6">
        <v>3</v>
      </c>
      <c r="D1246" s="6">
        <v>6</v>
      </c>
      <c r="E1246" s="6">
        <v>5</v>
      </c>
      <c r="F1246" s="6">
        <v>14</v>
      </c>
      <c r="G1246" s="6">
        <v>1245</v>
      </c>
      <c r="H1246" s="7"/>
    </row>
    <row r="1247" spans="1:8">
      <c r="A1247" s="4" t="str">
        <f>HYPERLINK("https://scryfall.com/card/ogw/151/ayli-eternal-pilgrim","Ayli, Eternal Pilgrim")</f>
        <v>Ayli, Eternal Pilgrim</v>
      </c>
      <c r="B1247" s="5">
        <v>1159</v>
      </c>
      <c r="C1247" s="6">
        <v>5</v>
      </c>
      <c r="D1247" s="6">
        <v>5</v>
      </c>
      <c r="E1247" s="6">
        <v>4</v>
      </c>
      <c r="F1247" s="6">
        <v>14</v>
      </c>
      <c r="G1247" s="6">
        <v>1246</v>
      </c>
      <c r="H1247" s="7"/>
    </row>
    <row r="1248" spans="1:8">
      <c r="A1248" s="10" t="s">
        <v>708</v>
      </c>
      <c r="B1248" s="5">
        <v>1171</v>
      </c>
      <c r="C1248" s="11">
        <v>4</v>
      </c>
      <c r="D1248" s="11">
        <v>5</v>
      </c>
      <c r="E1248" s="11">
        <v>5</v>
      </c>
      <c r="F1248" s="11">
        <v>14</v>
      </c>
      <c r="G1248" s="6">
        <v>1247</v>
      </c>
      <c r="H1248" s="7"/>
    </row>
    <row r="1249" spans="1:8">
      <c r="A1249" s="4" t="str">
        <f>HYPERLINK("https://scryfall.com/card/dom/196/hallar-the-firefletcher","Hallar, the Firefletcher")</f>
        <v>Hallar, the Firefletcher</v>
      </c>
      <c r="B1249" s="5">
        <v>1188</v>
      </c>
      <c r="C1249" s="6">
        <v>2</v>
      </c>
      <c r="D1249" s="6">
        <v>6</v>
      </c>
      <c r="E1249" s="6">
        <v>6</v>
      </c>
      <c r="F1249" s="6">
        <v>14</v>
      </c>
      <c r="G1249" s="6">
        <v>1248</v>
      </c>
      <c r="H1249" s="7"/>
    </row>
    <row r="1250" spans="1:8">
      <c r="A1250" s="4" t="str">
        <f>HYPERLINK("https://scryfall.com/card/thb/119/tymaret-chosen-from-death","Tymaret, Chosen from Death")</f>
        <v>Tymaret, Chosen from Death</v>
      </c>
      <c r="B1250" s="5">
        <v>1191</v>
      </c>
      <c r="C1250" s="6">
        <v>2</v>
      </c>
      <c r="D1250" s="6">
        <v>4</v>
      </c>
      <c r="E1250" s="6">
        <v>8</v>
      </c>
      <c r="F1250" s="6">
        <v>14</v>
      </c>
      <c r="G1250" s="6">
        <v>1249</v>
      </c>
      <c r="H1250" s="7"/>
    </row>
    <row r="1251" spans="1:8">
      <c r="A1251" s="4" t="s">
        <v>720</v>
      </c>
      <c r="B1251" s="5">
        <v>1194</v>
      </c>
      <c r="C1251" s="6">
        <v>2</v>
      </c>
      <c r="D1251" s="6">
        <v>4</v>
      </c>
      <c r="E1251" s="6">
        <v>8</v>
      </c>
      <c r="F1251" s="6">
        <v>14</v>
      </c>
      <c r="G1251" s="6">
        <v>1250</v>
      </c>
      <c r="H1251" s="7"/>
    </row>
    <row r="1252" spans="1:8">
      <c r="A1252" s="4" t="str">
        <f>HYPERLINK("https://scryfall.com/card/ody/286/atogatog","Atogatog")</f>
        <v>Atogatog</v>
      </c>
      <c r="B1252" s="5">
        <v>1198</v>
      </c>
      <c r="C1252" s="6">
        <v>0</v>
      </c>
      <c r="D1252" s="6">
        <v>6</v>
      </c>
      <c r="E1252" s="6">
        <v>8</v>
      </c>
      <c r="F1252" s="6">
        <v>14</v>
      </c>
      <c r="G1252" s="6">
        <v>1251</v>
      </c>
      <c r="H1252" s="7"/>
    </row>
    <row r="1253" spans="1:8">
      <c r="A1253" s="4" t="str">
        <f>HYPERLINK("https://scryfall.com/card/c16/30/bruse-tarl-boorish-herder","Bruse Tarl, Boorish Herder")</f>
        <v>Bruse Tarl, Boorish Herder</v>
      </c>
      <c r="B1253" s="5">
        <v>1209</v>
      </c>
      <c r="C1253" s="6">
        <v>5</v>
      </c>
      <c r="D1253" s="6">
        <v>6</v>
      </c>
      <c r="E1253" s="6">
        <v>3</v>
      </c>
      <c r="F1253" s="6">
        <v>14</v>
      </c>
      <c r="G1253" s="6">
        <v>1252</v>
      </c>
      <c r="H1253" s="7"/>
    </row>
    <row r="1254" spans="1:8">
      <c r="A1254" s="4" t="str">
        <f>HYPERLINK("https://scryfall.com/card/m19/104/isareth-the-awakener","Isareth the Awakener")</f>
        <v>Isareth the Awakener</v>
      </c>
      <c r="B1254" s="5">
        <v>1215</v>
      </c>
      <c r="C1254" s="6">
        <v>2</v>
      </c>
      <c r="D1254" s="6">
        <v>6</v>
      </c>
      <c r="E1254" s="6">
        <v>6</v>
      </c>
      <c r="F1254" s="6">
        <v>14</v>
      </c>
      <c r="G1254" s="6">
        <v>1253</v>
      </c>
      <c r="H1254" s="7"/>
    </row>
    <row r="1255" spans="1:8">
      <c r="A1255" s="4" t="str">
        <f>HYPERLINK("https://scryfall.com/card/gk2/1/isperia-supreme-judge","Isperia, Supreme Judge")</f>
        <v>Isperia, Supreme Judge</v>
      </c>
      <c r="B1255" s="5">
        <v>1216</v>
      </c>
      <c r="C1255" s="6">
        <v>1</v>
      </c>
      <c r="D1255" s="6">
        <v>5</v>
      </c>
      <c r="E1255" s="6">
        <v>8</v>
      </c>
      <c r="F1255" s="6">
        <v>14</v>
      </c>
      <c r="G1255" s="6">
        <v>1254</v>
      </c>
      <c r="H1255" s="7"/>
    </row>
    <row r="1256" spans="1:8">
      <c r="A1256" s="4" t="str">
        <f>HYPERLINK("https://scryfall.com/card/c18/42/kestia-the-cultivator","Kestia, the Cultivator")</f>
        <v>Kestia, the Cultivator</v>
      </c>
      <c r="B1256" s="5">
        <v>1217</v>
      </c>
      <c r="C1256" s="6">
        <v>3</v>
      </c>
      <c r="D1256" s="6">
        <v>8</v>
      </c>
      <c r="E1256" s="6">
        <v>3</v>
      </c>
      <c r="F1256" s="6">
        <v>14</v>
      </c>
      <c r="G1256" s="6">
        <v>1255</v>
      </c>
      <c r="H1256" s="7"/>
    </row>
    <row r="1257" spans="1:8">
      <c r="A1257" s="4" t="str">
        <f>HYPERLINK("https://scryfall.com/card/c17/2/balan-wandering-knight","Balan, Wandering Knight")</f>
        <v>Balan, Wandering Knight</v>
      </c>
      <c r="B1257" s="5">
        <v>1220</v>
      </c>
      <c r="C1257" s="6">
        <v>4</v>
      </c>
      <c r="D1257" s="6">
        <v>5</v>
      </c>
      <c r="E1257" s="6">
        <v>5</v>
      </c>
      <c r="F1257" s="6">
        <v>14</v>
      </c>
      <c r="G1257" s="6">
        <v>1256</v>
      </c>
      <c r="H1257" s="7"/>
    </row>
    <row r="1258" spans="1:8">
      <c r="A1258" s="4" t="str">
        <f>HYPERLINK("https://scryfall.com/card/c13/213/shattergang-brothers","Shattergang Brothers")</f>
        <v>Shattergang Brothers</v>
      </c>
      <c r="B1258" s="5">
        <v>1221</v>
      </c>
      <c r="C1258" s="6">
        <v>3</v>
      </c>
      <c r="D1258" s="6">
        <v>8</v>
      </c>
      <c r="E1258" s="6">
        <v>3</v>
      </c>
      <c r="F1258" s="6">
        <v>14</v>
      </c>
      <c r="G1258" s="6">
        <v>1257</v>
      </c>
      <c r="H1258" s="7"/>
    </row>
    <row r="1259" spans="1:8">
      <c r="A1259" s="4" t="s">
        <v>734</v>
      </c>
      <c r="B1259" s="5">
        <v>1225</v>
      </c>
      <c r="C1259" s="6">
        <v>2</v>
      </c>
      <c r="D1259" s="6">
        <v>5</v>
      </c>
      <c r="E1259" s="6">
        <v>7</v>
      </c>
      <c r="F1259" s="6">
        <v>14</v>
      </c>
      <c r="G1259" s="6">
        <v>1258</v>
      </c>
      <c r="H1259" s="7"/>
    </row>
    <row r="1260" spans="1:8">
      <c r="A1260" s="4" t="str">
        <f>HYPERLINK("https://scryfall.com/card/ddq/1/geist-of-saint-traft","Geist of Saint Traft")</f>
        <v>Geist of Saint Traft</v>
      </c>
      <c r="B1260" s="5">
        <v>1227</v>
      </c>
      <c r="C1260" s="6">
        <v>2</v>
      </c>
      <c r="D1260" s="6">
        <v>5</v>
      </c>
      <c r="E1260" s="6">
        <v>7</v>
      </c>
      <c r="F1260" s="6">
        <v>14</v>
      </c>
      <c r="G1260" s="6">
        <v>1259</v>
      </c>
      <c r="H1260" s="7"/>
    </row>
    <row r="1261" spans="1:8">
      <c r="A1261" s="4" t="s">
        <v>745</v>
      </c>
      <c r="B1261" s="5">
        <v>1244</v>
      </c>
      <c r="C1261" s="6">
        <v>1</v>
      </c>
      <c r="D1261" s="6">
        <v>5</v>
      </c>
      <c r="E1261" s="6">
        <v>8</v>
      </c>
      <c r="F1261" s="6">
        <v>14</v>
      </c>
      <c r="G1261" s="6">
        <v>1260</v>
      </c>
      <c r="H1261" s="7"/>
    </row>
    <row r="1262" spans="1:8">
      <c r="A1262" s="4" t="s">
        <v>747</v>
      </c>
      <c r="B1262" s="5">
        <v>1246</v>
      </c>
      <c r="C1262" s="6">
        <v>3</v>
      </c>
      <c r="D1262" s="6">
        <v>5</v>
      </c>
      <c r="E1262" s="6">
        <v>6</v>
      </c>
      <c r="F1262" s="6">
        <v>14</v>
      </c>
      <c r="G1262" s="6">
        <v>1261</v>
      </c>
      <c r="H1262" s="7"/>
    </row>
    <row r="1263" spans="1:8">
      <c r="A1263" s="4" t="s">
        <v>756</v>
      </c>
      <c r="B1263" s="5">
        <v>1260</v>
      </c>
      <c r="C1263" s="6">
        <v>1</v>
      </c>
      <c r="D1263" s="6">
        <v>3</v>
      </c>
      <c r="E1263" s="6">
        <v>10</v>
      </c>
      <c r="F1263" s="6">
        <v>14</v>
      </c>
      <c r="G1263" s="6">
        <v>1262</v>
      </c>
      <c r="H1263" s="7"/>
    </row>
    <row r="1264" spans="1:8">
      <c r="A1264" s="4" t="s">
        <v>765</v>
      </c>
      <c r="B1264" s="5">
        <v>1269</v>
      </c>
      <c r="C1264" s="6">
        <v>2</v>
      </c>
      <c r="D1264" s="6">
        <v>4</v>
      </c>
      <c r="E1264" s="6">
        <v>8</v>
      </c>
      <c r="F1264" s="6">
        <v>14</v>
      </c>
      <c r="G1264" s="6">
        <v>1263</v>
      </c>
      <c r="H1264" s="7"/>
    </row>
    <row r="1265" spans="1:8">
      <c r="A1265" s="4" t="str">
        <f>HYPERLINK("https://scryfall.com/card/ori/189/nissa-vastwood-seer-nissa-sage-animist","Nissa, Vastwood Seer")</f>
        <v>Nissa, Vastwood Seer</v>
      </c>
      <c r="B1265" s="5">
        <v>1281</v>
      </c>
      <c r="C1265" s="6">
        <v>2</v>
      </c>
      <c r="D1265" s="6">
        <v>5</v>
      </c>
      <c r="E1265" s="6">
        <v>7</v>
      </c>
      <c r="F1265" s="6">
        <v>14</v>
      </c>
      <c r="G1265" s="6">
        <v>1264</v>
      </c>
      <c r="H1265" s="7"/>
    </row>
    <row r="1266" spans="1:8">
      <c r="A1266" s="4" t="s">
        <v>777</v>
      </c>
      <c r="B1266" s="5">
        <v>1293</v>
      </c>
      <c r="C1266" s="6">
        <v>2</v>
      </c>
      <c r="D1266" s="6">
        <v>5</v>
      </c>
      <c r="E1266" s="6">
        <v>7</v>
      </c>
      <c r="F1266" s="6">
        <v>14</v>
      </c>
      <c r="G1266" s="6">
        <v>1265</v>
      </c>
      <c r="H1266" s="7"/>
    </row>
    <row r="1267" spans="1:8">
      <c r="A1267" s="4" t="s">
        <v>788</v>
      </c>
      <c r="B1267" s="5">
        <v>1317</v>
      </c>
      <c r="C1267" s="6">
        <v>2</v>
      </c>
      <c r="D1267" s="6">
        <v>3</v>
      </c>
      <c r="E1267" s="6">
        <v>9</v>
      </c>
      <c r="F1267" s="6">
        <v>14</v>
      </c>
      <c r="G1267" s="6">
        <v>1266</v>
      </c>
      <c r="H1267" s="7"/>
    </row>
    <row r="1268" spans="1:8">
      <c r="A1268" s="4" t="s">
        <v>791</v>
      </c>
      <c r="B1268" s="5">
        <v>1320</v>
      </c>
      <c r="C1268" s="6">
        <v>1</v>
      </c>
      <c r="D1268" s="6">
        <v>3</v>
      </c>
      <c r="E1268" s="6">
        <v>10</v>
      </c>
      <c r="F1268" s="6">
        <v>14</v>
      </c>
      <c r="G1268" s="6">
        <v>1267</v>
      </c>
      <c r="H1268" s="7"/>
    </row>
    <row r="1269" spans="1:8">
      <c r="A1269" s="4" t="s">
        <v>793</v>
      </c>
      <c r="B1269" s="5">
        <v>1322</v>
      </c>
      <c r="C1269" s="6">
        <v>3</v>
      </c>
      <c r="D1269" s="6">
        <v>5</v>
      </c>
      <c r="E1269" s="6">
        <v>6</v>
      </c>
      <c r="F1269" s="6">
        <v>14</v>
      </c>
      <c r="G1269" s="6">
        <v>1268</v>
      </c>
      <c r="H1269" s="7"/>
    </row>
    <row r="1270" spans="1:8">
      <c r="A1270" s="4" t="str">
        <f>HYPERLINK("https://scryfall.com/card/tsb/95/merieke-ri-berit","Merieke Ri Berit")</f>
        <v>Merieke Ri Berit</v>
      </c>
      <c r="B1270" s="5">
        <v>1324</v>
      </c>
      <c r="C1270" s="6">
        <v>4</v>
      </c>
      <c r="D1270" s="6">
        <v>6</v>
      </c>
      <c r="E1270" s="6">
        <v>4</v>
      </c>
      <c r="F1270" s="6">
        <v>14</v>
      </c>
      <c r="G1270" s="6">
        <v>1269</v>
      </c>
      <c r="H1270" s="7"/>
    </row>
    <row r="1271" spans="1:8">
      <c r="A1271" s="4" t="s">
        <v>795</v>
      </c>
      <c r="B1271" s="5">
        <v>1325</v>
      </c>
      <c r="C1271" s="6">
        <v>3</v>
      </c>
      <c r="D1271" s="6">
        <v>5</v>
      </c>
      <c r="E1271" s="6">
        <v>6</v>
      </c>
      <c r="F1271" s="6">
        <v>14</v>
      </c>
      <c r="G1271" s="6">
        <v>1270</v>
      </c>
      <c r="H1271" s="7"/>
    </row>
    <row r="1272" spans="1:8">
      <c r="A1272" s="4" t="s">
        <v>797</v>
      </c>
      <c r="B1272" s="5">
        <v>1330</v>
      </c>
      <c r="C1272" s="6">
        <v>3</v>
      </c>
      <c r="D1272" s="6">
        <v>5</v>
      </c>
      <c r="E1272" s="6">
        <v>6</v>
      </c>
      <c r="F1272" s="6">
        <v>14</v>
      </c>
      <c r="G1272" s="6">
        <v>1271</v>
      </c>
      <c r="H1272" s="7"/>
    </row>
    <row r="1273" spans="1:8">
      <c r="A1273" s="4" t="s">
        <v>804</v>
      </c>
      <c r="B1273" s="5">
        <v>1345</v>
      </c>
      <c r="C1273" s="6">
        <v>1</v>
      </c>
      <c r="D1273" s="6">
        <v>6</v>
      </c>
      <c r="E1273" s="6">
        <v>7</v>
      </c>
      <c r="F1273" s="6">
        <v>14</v>
      </c>
      <c r="G1273" s="6">
        <v>1272</v>
      </c>
      <c r="H1273" s="7"/>
    </row>
    <row r="1274" spans="1:8">
      <c r="A1274" s="4" t="s">
        <v>805</v>
      </c>
      <c r="B1274" s="5">
        <v>1346</v>
      </c>
      <c r="C1274" s="6">
        <v>3</v>
      </c>
      <c r="D1274" s="6">
        <v>5</v>
      </c>
      <c r="E1274" s="6">
        <v>6</v>
      </c>
      <c r="F1274" s="6">
        <v>14</v>
      </c>
      <c r="G1274" s="6">
        <v>1273</v>
      </c>
      <c r="H1274" s="7"/>
    </row>
    <row r="1275" spans="1:8">
      <c r="A1275" s="4" t="str">
        <f>HYPERLINK("https://scryfall.com/card/bok/30/yomiji-who-bars-the-way","Yomiji, Who Bars the Way")</f>
        <v>Yomiji, Who Bars the Way</v>
      </c>
      <c r="B1275" s="5">
        <v>1363</v>
      </c>
      <c r="C1275" s="6">
        <v>1</v>
      </c>
      <c r="D1275" s="6">
        <v>7</v>
      </c>
      <c r="E1275" s="6">
        <v>6</v>
      </c>
      <c r="F1275" s="6">
        <v>14</v>
      </c>
      <c r="G1275" s="6">
        <v>1274</v>
      </c>
      <c r="H1275" s="7"/>
    </row>
    <row r="1276" spans="1:8">
      <c r="A1276" s="4" t="str">
        <f>HYPERLINK("https://scryfall.com/card/mbs/92/thrun-the-last-troll","Thrun, the Last Troll")</f>
        <v>Thrun, the Last Troll</v>
      </c>
      <c r="B1276" s="5">
        <v>1368</v>
      </c>
      <c r="C1276" s="6">
        <v>2</v>
      </c>
      <c r="D1276" s="6">
        <v>5</v>
      </c>
      <c r="E1276" s="6">
        <v>7</v>
      </c>
      <c r="F1276" s="6">
        <v>14</v>
      </c>
      <c r="G1276" s="6">
        <v>1275</v>
      </c>
      <c r="H1276" s="7"/>
    </row>
    <row r="1277" spans="1:8">
      <c r="A1277" s="4" t="s">
        <v>814</v>
      </c>
      <c r="B1277" s="5">
        <v>1376</v>
      </c>
      <c r="C1277" s="6">
        <v>3</v>
      </c>
      <c r="D1277" s="6">
        <v>7</v>
      </c>
      <c r="E1277" s="6">
        <v>4</v>
      </c>
      <c r="F1277" s="6">
        <v>14</v>
      </c>
      <c r="G1277" s="6">
        <v>1276</v>
      </c>
      <c r="H1277" s="7"/>
    </row>
    <row r="1278" spans="1:8">
      <c r="A1278" s="4" t="str">
        <f>HYPERLINK("https://scryfall.com/card/c18/170/bruna-light-of-alabaster","Bruna, Light of Alabaster")</f>
        <v>Bruna, Light of Alabaster</v>
      </c>
      <c r="B1278" s="5">
        <v>1393</v>
      </c>
      <c r="C1278" s="6">
        <v>3</v>
      </c>
      <c r="D1278" s="6">
        <v>7</v>
      </c>
      <c r="E1278" s="6">
        <v>4</v>
      </c>
      <c r="F1278" s="6">
        <v>14</v>
      </c>
      <c r="G1278" s="6">
        <v>1277</v>
      </c>
      <c r="H1278" s="7"/>
    </row>
    <row r="1279" spans="1:8">
      <c r="A1279" s="4" t="str">
        <f>HYPERLINK("https://scryfall.com/card/mh1/138/pashalik-mons","Pashalik Mons")</f>
        <v>Pashalik Mons</v>
      </c>
      <c r="B1279" s="5">
        <v>1397</v>
      </c>
      <c r="C1279" s="6">
        <v>2</v>
      </c>
      <c r="D1279" s="6">
        <v>6</v>
      </c>
      <c r="E1279" s="6">
        <v>6</v>
      </c>
      <c r="F1279" s="6">
        <v>14</v>
      </c>
      <c r="G1279" s="6">
        <v>1278</v>
      </c>
      <c r="H1279" s="7"/>
    </row>
    <row r="1280" spans="1:8">
      <c r="A1280" s="4" t="str">
        <f>HYPERLINK("https://scryfall.com/card/grn/208/trostani-discordant","Trostani Discordant")</f>
        <v>Trostani Discordant</v>
      </c>
      <c r="B1280" s="5">
        <v>1400</v>
      </c>
      <c r="C1280" s="6">
        <v>2</v>
      </c>
      <c r="D1280" s="6">
        <v>5</v>
      </c>
      <c r="E1280" s="6">
        <v>7</v>
      </c>
      <c r="F1280" s="6">
        <v>14</v>
      </c>
      <c r="G1280" s="6">
        <v>1279</v>
      </c>
      <c r="H1280" s="7"/>
    </row>
    <row r="1281" spans="1:8">
      <c r="A1281" s="4" t="str">
        <f>HYPERLINK("https://scryfall.com/card/c17/80/arcanis-the-omnipotent","Arcanis the Omnipotent")</f>
        <v>Arcanis the Omnipotent</v>
      </c>
      <c r="B1281" s="5">
        <v>1405</v>
      </c>
      <c r="C1281" s="6">
        <v>3</v>
      </c>
      <c r="D1281" s="6">
        <v>5</v>
      </c>
      <c r="E1281" s="6">
        <v>6</v>
      </c>
      <c r="F1281" s="6">
        <v>14</v>
      </c>
      <c r="G1281" s="6">
        <v>1280</v>
      </c>
      <c r="H1281" s="7"/>
    </row>
    <row r="1282" spans="1:8">
      <c r="A1282" s="4" t="str">
        <f>HYPERLINK("https://scryfall.com/card/cmd/221/ruhan-of-the-fomori","Ruhan of the Fomori")</f>
        <v>Ruhan of the Fomori</v>
      </c>
      <c r="B1282" s="5">
        <v>1411</v>
      </c>
      <c r="C1282" s="6">
        <v>0</v>
      </c>
      <c r="D1282" s="6">
        <v>8</v>
      </c>
      <c r="E1282" s="6">
        <v>6</v>
      </c>
      <c r="F1282" s="6">
        <v>14</v>
      </c>
      <c r="G1282" s="6">
        <v>1281</v>
      </c>
      <c r="H1282" s="7"/>
    </row>
    <row r="1283" spans="1:8">
      <c r="A1283" s="4" t="str">
        <f>HYPERLINK("https://scryfall.com/card/hou/52/unesh-criosphinx-sovereign","Unesh, Criosphinx Sovereign")</f>
        <v>Unesh, Criosphinx Sovereign</v>
      </c>
      <c r="B1283" s="5">
        <v>1415</v>
      </c>
      <c r="C1283" s="6">
        <v>3</v>
      </c>
      <c r="D1283" s="6">
        <v>6</v>
      </c>
      <c r="E1283" s="6">
        <v>5</v>
      </c>
      <c r="F1283" s="6">
        <v>14</v>
      </c>
      <c r="G1283" s="6">
        <v>1282</v>
      </c>
      <c r="H1283" s="7"/>
    </row>
    <row r="1284" spans="1:8">
      <c r="A1284" s="4" t="str">
        <f>HYPERLINK("https://scryfall.com/card/mma/172/verdeloth-the-ancient","Verdeloth the Ancient")</f>
        <v>Verdeloth the Ancient</v>
      </c>
      <c r="B1284" s="5">
        <v>1445</v>
      </c>
      <c r="C1284" s="6">
        <v>3</v>
      </c>
      <c r="D1284" s="6">
        <v>7</v>
      </c>
      <c r="E1284" s="6">
        <v>4</v>
      </c>
      <c r="F1284" s="6">
        <v>14</v>
      </c>
      <c r="G1284" s="6">
        <v>1283</v>
      </c>
      <c r="H1284" s="7"/>
    </row>
    <row r="1285" spans="1:8">
      <c r="A1285" s="4" t="s">
        <v>845</v>
      </c>
      <c r="B1285" s="5">
        <v>1448</v>
      </c>
      <c r="C1285" s="6">
        <v>2</v>
      </c>
      <c r="D1285" s="6">
        <v>5</v>
      </c>
      <c r="E1285" s="6">
        <v>7</v>
      </c>
      <c r="F1285" s="6">
        <v>14</v>
      </c>
      <c r="G1285" s="6">
        <v>1284</v>
      </c>
      <c r="H1285" s="7"/>
    </row>
    <row r="1286" spans="1:8">
      <c r="A1286" s="4" t="str">
        <f>HYPERLINK("https://scryfall.com/card/m20/136/drakuseth-maw-of-flames","Drakuseth, Maw of Flames")</f>
        <v>Drakuseth, Maw of Flames</v>
      </c>
      <c r="B1286" s="5">
        <v>1449</v>
      </c>
      <c r="C1286" s="6">
        <v>3</v>
      </c>
      <c r="D1286" s="6">
        <v>3</v>
      </c>
      <c r="E1286" s="6">
        <v>8</v>
      </c>
      <c r="F1286" s="6">
        <v>14</v>
      </c>
      <c r="G1286" s="6">
        <v>1285</v>
      </c>
      <c r="H1286" s="7"/>
    </row>
    <row r="1287" spans="1:8">
      <c r="A1287" s="4" t="s">
        <v>848</v>
      </c>
      <c r="B1287" s="5">
        <v>1454</v>
      </c>
      <c r="C1287" s="6">
        <v>2</v>
      </c>
      <c r="D1287" s="6">
        <v>5</v>
      </c>
      <c r="E1287" s="6">
        <v>7</v>
      </c>
      <c r="F1287" s="6">
        <v>14</v>
      </c>
      <c r="G1287" s="6">
        <v>1286</v>
      </c>
      <c r="H1287" s="7"/>
    </row>
    <row r="1288" spans="1:8">
      <c r="A1288" s="4" t="s">
        <v>849</v>
      </c>
      <c r="B1288" s="5">
        <v>1458</v>
      </c>
      <c r="C1288" s="6">
        <v>2</v>
      </c>
      <c r="D1288" s="6">
        <v>5</v>
      </c>
      <c r="E1288" s="6">
        <v>7</v>
      </c>
      <c r="F1288" s="6">
        <v>14</v>
      </c>
      <c r="G1288" s="6">
        <v>1287</v>
      </c>
      <c r="H1288" s="7"/>
    </row>
    <row r="1289" spans="1:8">
      <c r="A1289" s="4" t="str">
        <f>HYPERLINK("https://scryfall.com/card/eld/145/syr-carah-the-bold","Syr Carah, the Bold")</f>
        <v>Syr Carah, the Bold</v>
      </c>
      <c r="B1289" s="5">
        <v>1460</v>
      </c>
      <c r="C1289" s="6">
        <v>2</v>
      </c>
      <c r="D1289" s="6">
        <v>5</v>
      </c>
      <c r="E1289" s="6">
        <v>7</v>
      </c>
      <c r="F1289" s="6">
        <v>14</v>
      </c>
      <c r="G1289" s="6">
        <v>1288</v>
      </c>
      <c r="H1289" s="7"/>
    </row>
    <row r="1290" spans="1:8">
      <c r="A1290" s="4" t="s">
        <v>851</v>
      </c>
      <c r="B1290" s="5">
        <v>1462</v>
      </c>
      <c r="C1290" s="6">
        <v>2</v>
      </c>
      <c r="D1290" s="6">
        <v>5</v>
      </c>
      <c r="E1290" s="6">
        <v>7</v>
      </c>
      <c r="F1290" s="6">
        <v>14</v>
      </c>
      <c r="G1290" s="6">
        <v>1289</v>
      </c>
      <c r="H1290" s="7"/>
    </row>
    <row r="1291" spans="1:8">
      <c r="A1291" s="4" t="str">
        <f>HYPERLINK("https://scryfall.com/card/iko/222/jegantha-the-wellspring","Jegantha, the Wellspring")</f>
        <v>Jegantha, the Wellspring</v>
      </c>
      <c r="B1291" s="5">
        <v>1481</v>
      </c>
      <c r="C1291" s="6">
        <v>2</v>
      </c>
      <c r="D1291" s="6">
        <v>5</v>
      </c>
      <c r="E1291" s="6">
        <v>7</v>
      </c>
      <c r="F1291" s="6">
        <v>14</v>
      </c>
      <c r="G1291" s="6">
        <v>1290</v>
      </c>
      <c r="H1291" s="7"/>
    </row>
    <row r="1292" spans="1:8">
      <c r="A1292" s="4" t="s">
        <v>863</v>
      </c>
      <c r="B1292" s="5">
        <v>1489</v>
      </c>
      <c r="C1292" s="6">
        <v>2</v>
      </c>
      <c r="D1292" s="6">
        <v>4</v>
      </c>
      <c r="E1292" s="6">
        <v>8</v>
      </c>
      <c r="F1292" s="6">
        <v>14</v>
      </c>
      <c r="G1292" s="6">
        <v>1291</v>
      </c>
      <c r="H1292" s="7"/>
    </row>
    <row r="1293" spans="1:8">
      <c r="A1293" s="4" t="s">
        <v>866</v>
      </c>
      <c r="B1293" s="5">
        <v>1497</v>
      </c>
      <c r="C1293" s="6">
        <v>1</v>
      </c>
      <c r="D1293" s="6">
        <v>4</v>
      </c>
      <c r="E1293" s="6">
        <v>9</v>
      </c>
      <c r="F1293" s="6">
        <v>14</v>
      </c>
      <c r="G1293" s="6">
        <v>1292</v>
      </c>
      <c r="H1293" s="7"/>
    </row>
    <row r="1294" spans="1:8">
      <c r="A1294" s="4" t="s">
        <v>867</v>
      </c>
      <c r="B1294" s="5">
        <v>1504</v>
      </c>
      <c r="C1294" s="6">
        <v>2</v>
      </c>
      <c r="D1294" s="6">
        <v>5</v>
      </c>
      <c r="E1294" s="6">
        <v>7</v>
      </c>
      <c r="F1294" s="6">
        <v>14</v>
      </c>
      <c r="G1294" s="6">
        <v>1293</v>
      </c>
      <c r="H1294" s="7"/>
    </row>
    <row r="1295" spans="1:8">
      <c r="A1295" s="4" t="str">
        <f>HYPERLINK("https://scryfall.com/card/eld/185/yorvo-lord-of-garenbrig","Yorvo, Lord of Garenbrig")</f>
        <v>Yorvo, Lord of Garenbrig</v>
      </c>
      <c r="B1295" s="5">
        <v>1540</v>
      </c>
      <c r="C1295" s="6">
        <v>3</v>
      </c>
      <c r="D1295" s="6">
        <v>5</v>
      </c>
      <c r="E1295" s="6">
        <v>6</v>
      </c>
      <c r="F1295" s="6">
        <v>14</v>
      </c>
      <c r="G1295" s="6">
        <v>1294</v>
      </c>
      <c r="H1295" s="7"/>
    </row>
    <row r="1296" spans="1:8">
      <c r="A1296" s="4" t="s">
        <v>888</v>
      </c>
      <c r="B1296" s="5">
        <v>1547</v>
      </c>
      <c r="C1296" s="6">
        <v>2</v>
      </c>
      <c r="D1296" s="6">
        <v>5</v>
      </c>
      <c r="E1296" s="6">
        <v>7</v>
      </c>
      <c r="F1296" s="6">
        <v>14</v>
      </c>
      <c r="G1296" s="6">
        <v>1295</v>
      </c>
      <c r="H1296" s="7"/>
    </row>
    <row r="1297" spans="1:8">
      <c r="A1297" s="4" t="str">
        <f>HYPERLINK("https://scryfall.com/card/c17/42/mathas-fiend-seeker","Mathas, Fiend Seeker")</f>
        <v>Mathas, Fiend Seeker</v>
      </c>
      <c r="B1297" s="5">
        <v>686</v>
      </c>
      <c r="C1297" s="6">
        <v>2</v>
      </c>
      <c r="D1297" s="6">
        <v>8</v>
      </c>
      <c r="E1297" s="6">
        <v>3</v>
      </c>
      <c r="F1297" s="6">
        <v>13</v>
      </c>
      <c r="G1297" s="6">
        <v>1296</v>
      </c>
      <c r="H1297" s="7"/>
    </row>
    <row r="1298" spans="1:8">
      <c r="A1298" s="4" t="str">
        <f>HYPERLINK("https://scryfall.com/card/bbd/223/gwafa-hazid-profiteer","Gwafa Hazid, Profiteer")</f>
        <v>Gwafa Hazid, Profiteer</v>
      </c>
      <c r="B1298" s="5">
        <v>892</v>
      </c>
      <c r="C1298" s="6">
        <v>2</v>
      </c>
      <c r="D1298" s="6">
        <v>5</v>
      </c>
      <c r="E1298" s="6">
        <v>6</v>
      </c>
      <c r="F1298" s="6">
        <v>13</v>
      </c>
      <c r="G1298" s="6">
        <v>1297</v>
      </c>
      <c r="H1298" s="7"/>
    </row>
    <row r="1299" spans="1:8">
      <c r="A1299" s="4" t="s">
        <v>560</v>
      </c>
      <c r="B1299" s="5">
        <v>914</v>
      </c>
      <c r="C1299" s="6">
        <v>3</v>
      </c>
      <c r="D1299" s="6">
        <v>4</v>
      </c>
      <c r="E1299" s="6">
        <v>6</v>
      </c>
      <c r="F1299" s="6">
        <v>13</v>
      </c>
      <c r="G1299" s="6">
        <v>1298</v>
      </c>
      <c r="H1299" s="7"/>
    </row>
    <row r="1300" spans="1:8">
      <c r="A1300" s="4" t="str">
        <f>HYPERLINK("https://scryfall.com/card/sok/142/reki-the-history-of-kamigawa","Reki, the History of Kamigawa")</f>
        <v>Reki, the History of Kamigawa</v>
      </c>
      <c r="B1300" s="5">
        <v>918</v>
      </c>
      <c r="C1300" s="6">
        <v>2</v>
      </c>
      <c r="D1300" s="6">
        <v>5</v>
      </c>
      <c r="E1300" s="6">
        <v>6</v>
      </c>
      <c r="F1300" s="6">
        <v>13</v>
      </c>
      <c r="G1300" s="6">
        <v>1299</v>
      </c>
      <c r="H1300" s="7"/>
    </row>
    <row r="1301" spans="1:8">
      <c r="A1301" s="4" t="str">
        <f>HYPERLINK("https://scryfall.com/card/arc/61/kamahl-fist-of-krosa","Kamahl, Fist of Krosa")</f>
        <v>Kamahl, Fist of Krosa</v>
      </c>
      <c r="B1301" s="5">
        <v>958</v>
      </c>
      <c r="C1301" s="6">
        <v>3</v>
      </c>
      <c r="D1301" s="6">
        <v>6</v>
      </c>
      <c r="E1301" s="6">
        <v>4</v>
      </c>
      <c r="F1301" s="6">
        <v>13</v>
      </c>
      <c r="G1301" s="6">
        <v>1300</v>
      </c>
      <c r="H1301" s="7"/>
    </row>
    <row r="1302" spans="1:8">
      <c r="A1302" s="4" t="str">
        <f>HYPERLINK("https://scryfall.com/card/bbd/3/regna-the-redeemer","Regna, the Redeemer")</f>
        <v>Regna, the Redeemer</v>
      </c>
      <c r="B1302" s="5">
        <v>967</v>
      </c>
      <c r="C1302" s="6">
        <v>3</v>
      </c>
      <c r="D1302" s="6">
        <v>7</v>
      </c>
      <c r="E1302" s="6">
        <v>3</v>
      </c>
      <c r="F1302" s="6">
        <v>13</v>
      </c>
      <c r="G1302" s="6">
        <v>1301</v>
      </c>
      <c r="H1302" s="7"/>
    </row>
    <row r="1303" spans="1:8">
      <c r="A1303" s="4" t="str">
        <f>HYPERLINK("https://scryfall.com/card/bok/115/patron-of-the-akki","Patron of the Akki")</f>
        <v>Patron of the Akki</v>
      </c>
      <c r="B1303" s="5">
        <v>988</v>
      </c>
      <c r="C1303" s="6">
        <v>1</v>
      </c>
      <c r="D1303" s="6">
        <v>5</v>
      </c>
      <c r="E1303" s="6">
        <v>7</v>
      </c>
      <c r="F1303" s="6">
        <v>13</v>
      </c>
      <c r="G1303" s="6">
        <v>1302</v>
      </c>
      <c r="H1303" s="7"/>
    </row>
    <row r="1304" spans="1:8">
      <c r="A1304" s="4" t="str">
        <f>HYPERLINK("https://scryfall.com/card/bbd/7/virtus-the-veiled","Virtus the Veiled")</f>
        <v>Virtus the Veiled</v>
      </c>
      <c r="B1304" s="5">
        <v>1007</v>
      </c>
      <c r="C1304" s="6">
        <v>3</v>
      </c>
      <c r="D1304" s="6">
        <v>6</v>
      </c>
      <c r="E1304" s="6">
        <v>4</v>
      </c>
      <c r="F1304" s="6">
        <v>13</v>
      </c>
      <c r="G1304" s="6">
        <v>1303</v>
      </c>
      <c r="H1304" s="7"/>
    </row>
    <row r="1305" spans="1:8">
      <c r="A1305" s="4" t="s">
        <v>611</v>
      </c>
      <c r="B1305" s="5">
        <v>1011</v>
      </c>
      <c r="C1305" s="6">
        <v>4</v>
      </c>
      <c r="D1305" s="6">
        <v>7</v>
      </c>
      <c r="E1305" s="6">
        <v>2</v>
      </c>
      <c r="F1305" s="6">
        <v>13</v>
      </c>
      <c r="G1305" s="6">
        <v>1304</v>
      </c>
      <c r="H1305" s="7"/>
    </row>
    <row r="1306" spans="1:8">
      <c r="A1306" s="4" t="str">
        <f>HYPERLINK("https://scryfall.com/card/tsb/81/jolrael-empress-of-beasts","Jolrael, Empress of Beasts")</f>
        <v>Jolrael, Empress of Beasts</v>
      </c>
      <c r="B1306" s="5">
        <v>1027</v>
      </c>
      <c r="C1306" s="6">
        <v>3</v>
      </c>
      <c r="D1306" s="6">
        <v>5</v>
      </c>
      <c r="E1306" s="6">
        <v>5</v>
      </c>
      <c r="F1306" s="6">
        <v>13</v>
      </c>
      <c r="G1306" s="6">
        <v>1305</v>
      </c>
      <c r="H1306" s="7"/>
    </row>
    <row r="1307" spans="1:8">
      <c r="A1307" s="4" t="str">
        <f>HYPERLINK("https://scryfall.com/card/ths/206/triad-of-fates","Triad of Fates")</f>
        <v>Triad of Fates</v>
      </c>
      <c r="B1307" s="5">
        <v>1034</v>
      </c>
      <c r="C1307" s="6">
        <v>2</v>
      </c>
      <c r="D1307" s="6">
        <v>5</v>
      </c>
      <c r="E1307" s="6">
        <v>6</v>
      </c>
      <c r="F1307" s="6">
        <v>13</v>
      </c>
      <c r="G1307" s="6">
        <v>1306</v>
      </c>
      <c r="H1307" s="7"/>
    </row>
    <row r="1308" spans="1:8">
      <c r="A1308" s="4" t="s">
        <v>663</v>
      </c>
      <c r="B1308" s="5">
        <v>1102</v>
      </c>
      <c r="C1308" s="6">
        <v>3</v>
      </c>
      <c r="D1308" s="6">
        <v>5</v>
      </c>
      <c r="E1308" s="6">
        <v>5</v>
      </c>
      <c r="F1308" s="6">
        <v>13</v>
      </c>
      <c r="G1308" s="6">
        <v>1307</v>
      </c>
      <c r="H1308" s="7"/>
    </row>
    <row r="1309" spans="1:8">
      <c r="A1309" s="4" t="s">
        <v>672</v>
      </c>
      <c r="B1309" s="5">
        <v>1113</v>
      </c>
      <c r="C1309" s="6">
        <v>1</v>
      </c>
      <c r="D1309" s="6">
        <v>4</v>
      </c>
      <c r="E1309" s="6">
        <v>8</v>
      </c>
      <c r="F1309" s="6">
        <v>13</v>
      </c>
      <c r="G1309" s="6">
        <v>1308</v>
      </c>
      <c r="H1309" s="7"/>
    </row>
    <row r="1310" spans="1:8">
      <c r="A1310" s="4" t="str">
        <f>HYPERLINK("https://scryfall.com/card/gk1/71/sisters-of-stone-death","Sisters of Stone Death")</f>
        <v>Sisters of Stone Death</v>
      </c>
      <c r="B1310" s="5">
        <v>1121</v>
      </c>
      <c r="C1310" s="6">
        <v>2</v>
      </c>
      <c r="D1310" s="6">
        <v>7</v>
      </c>
      <c r="E1310" s="6">
        <v>4</v>
      </c>
      <c r="F1310" s="6">
        <v>13</v>
      </c>
      <c r="G1310" s="6">
        <v>1309</v>
      </c>
      <c r="H1310" s="7"/>
    </row>
    <row r="1311" spans="1:8">
      <c r="A1311" s="4" t="s">
        <v>685</v>
      </c>
      <c r="B1311" s="5">
        <v>1139</v>
      </c>
      <c r="C1311" s="6">
        <v>2</v>
      </c>
      <c r="D1311" s="6">
        <v>5</v>
      </c>
      <c r="E1311" s="6">
        <v>6</v>
      </c>
      <c r="F1311" s="6">
        <v>13</v>
      </c>
      <c r="G1311" s="6">
        <v>1310</v>
      </c>
      <c r="H1311" s="7"/>
    </row>
    <row r="1312" spans="1:8">
      <c r="A1312" s="4" t="str">
        <f>HYPERLINK("https://scryfall.com/card/gk1/65/jarad-golgari-lich-lord","Jarad, Golgari Lich Lord")</f>
        <v>Jarad, Golgari Lich Lord</v>
      </c>
      <c r="B1312" s="5">
        <v>1151</v>
      </c>
      <c r="C1312" s="6">
        <v>3</v>
      </c>
      <c r="D1312" s="6">
        <v>6</v>
      </c>
      <c r="E1312" s="6">
        <v>4</v>
      </c>
      <c r="F1312" s="6">
        <v>13</v>
      </c>
      <c r="G1312" s="6">
        <v>1311</v>
      </c>
      <c r="H1312" s="7"/>
    </row>
    <row r="1313" spans="1:8">
      <c r="A1313" s="4" t="s">
        <v>699</v>
      </c>
      <c r="B1313" s="5">
        <v>1156</v>
      </c>
      <c r="C1313" s="6">
        <v>2</v>
      </c>
      <c r="D1313" s="6">
        <v>4</v>
      </c>
      <c r="E1313" s="6">
        <v>7</v>
      </c>
      <c r="F1313" s="6">
        <v>13</v>
      </c>
      <c r="G1313" s="6">
        <v>1312</v>
      </c>
      <c r="H1313" s="7"/>
    </row>
    <row r="1314" spans="1:8">
      <c r="A1314" s="4" t="s">
        <v>700</v>
      </c>
      <c r="B1314" s="5">
        <v>1157</v>
      </c>
      <c r="C1314" s="6">
        <v>2</v>
      </c>
      <c r="D1314" s="6">
        <v>6</v>
      </c>
      <c r="E1314" s="6">
        <v>5</v>
      </c>
      <c r="F1314" s="6">
        <v>13</v>
      </c>
      <c r="G1314" s="6">
        <v>1313</v>
      </c>
      <c r="H1314" s="7"/>
    </row>
    <row r="1315" spans="1:8">
      <c r="A1315" s="4" t="s">
        <v>706</v>
      </c>
      <c r="B1315" s="5">
        <v>1168</v>
      </c>
      <c r="C1315" s="6">
        <v>1</v>
      </c>
      <c r="D1315" s="6">
        <v>5</v>
      </c>
      <c r="E1315" s="6">
        <v>7</v>
      </c>
      <c r="F1315" s="6">
        <v>13</v>
      </c>
      <c r="G1315" s="6">
        <v>1314</v>
      </c>
      <c r="H1315" s="7"/>
    </row>
    <row r="1316" spans="1:8">
      <c r="A1316" s="4" t="str">
        <f>HYPERLINK("https://scryfall.com/card/ima/193/bladewing-the-risen","Bladewing the Risen")</f>
        <v>Bladewing the Risen</v>
      </c>
      <c r="B1316" s="5">
        <v>1176</v>
      </c>
      <c r="C1316" s="6">
        <v>3</v>
      </c>
      <c r="D1316" s="6">
        <v>5</v>
      </c>
      <c r="E1316" s="6">
        <v>5</v>
      </c>
      <c r="F1316" s="6">
        <v>13</v>
      </c>
      <c r="G1316" s="6">
        <v>1315</v>
      </c>
      <c r="H1316" s="7"/>
    </row>
    <row r="1317" spans="1:8">
      <c r="A1317" s="4" t="str">
        <f>HYPERLINK("https://scryfall.com/card/exo/33/ertai-wizard-adept","Ertai, Wizard Adept")</f>
        <v>Ertai, Wizard Adept</v>
      </c>
      <c r="B1317" s="5">
        <v>1178</v>
      </c>
      <c r="C1317" s="6">
        <v>3</v>
      </c>
      <c r="D1317" s="6">
        <v>4</v>
      </c>
      <c r="E1317" s="6">
        <v>6</v>
      </c>
      <c r="F1317" s="6">
        <v>13</v>
      </c>
      <c r="G1317" s="6">
        <v>1316</v>
      </c>
      <c r="H1317" s="7"/>
    </row>
    <row r="1318" spans="1:8">
      <c r="A1318" s="4" t="str">
        <f>HYPERLINK("https://scryfall.com/card/c20/1/trynn-champion-of-freedom","Trynn, Champion of Freedom")</f>
        <v>Trynn, Champion of Freedom</v>
      </c>
      <c r="B1318" s="5">
        <v>1203</v>
      </c>
      <c r="C1318" s="6">
        <v>2</v>
      </c>
      <c r="D1318" s="6">
        <v>5</v>
      </c>
      <c r="E1318" s="6">
        <v>6</v>
      </c>
      <c r="F1318" s="6">
        <v>13</v>
      </c>
      <c r="G1318" s="6">
        <v>1317</v>
      </c>
      <c r="H1318" s="7"/>
    </row>
    <row r="1319" spans="1:8">
      <c r="A1319" s="4" t="s">
        <v>729</v>
      </c>
      <c r="B1319" s="5">
        <v>1211</v>
      </c>
      <c r="C1319" s="6">
        <v>2</v>
      </c>
      <c r="D1319" s="6">
        <v>1</v>
      </c>
      <c r="E1319" s="6">
        <v>10</v>
      </c>
      <c r="F1319" s="6">
        <v>13</v>
      </c>
      <c r="G1319" s="6">
        <v>1318</v>
      </c>
      <c r="H1319" s="7"/>
    </row>
    <row r="1320" spans="1:8">
      <c r="A1320" s="4" t="s">
        <v>731</v>
      </c>
      <c r="B1320" s="5">
        <v>1213</v>
      </c>
      <c r="C1320" s="6">
        <v>5</v>
      </c>
      <c r="D1320" s="6">
        <v>4</v>
      </c>
      <c r="E1320" s="6">
        <v>4</v>
      </c>
      <c r="F1320" s="6">
        <v>13</v>
      </c>
      <c r="G1320" s="6">
        <v>1319</v>
      </c>
      <c r="H1320" s="7"/>
    </row>
    <row r="1321" spans="1:8">
      <c r="A1321" s="4" t="str">
        <f>HYPERLINK("https://scryfall.com/card/eve/33/ashling-the-extinguisher","Ashling, the Extinguisher")</f>
        <v>Ashling, the Extinguisher</v>
      </c>
      <c r="B1321" s="5">
        <v>1222</v>
      </c>
      <c r="C1321" s="6">
        <v>2</v>
      </c>
      <c r="D1321" s="6">
        <v>3</v>
      </c>
      <c r="E1321" s="6">
        <v>8</v>
      </c>
      <c r="F1321" s="6">
        <v>13</v>
      </c>
      <c r="G1321" s="6">
        <v>1320</v>
      </c>
      <c r="H1321" s="7"/>
    </row>
    <row r="1322" spans="1:8">
      <c r="A1322" s="4" t="str">
        <f>HYPERLINK("https://scryfall.com/card/ori/104/kothophed-soul-hoarder","Kothophed, Soul Hoarder")</f>
        <v>Kothophed, Soul Hoarder</v>
      </c>
      <c r="B1322" s="5">
        <v>1224</v>
      </c>
      <c r="C1322" s="6">
        <v>2</v>
      </c>
      <c r="D1322" s="6">
        <v>5</v>
      </c>
      <c r="E1322" s="6">
        <v>6</v>
      </c>
      <c r="F1322" s="6">
        <v>13</v>
      </c>
      <c r="G1322" s="6">
        <v>1321</v>
      </c>
      <c r="H1322" s="7"/>
    </row>
    <row r="1323" spans="1:8">
      <c r="A1323" s="4" t="str">
        <f>HYPERLINK("https://scryfall.com/card/bfz/216/noyan-dar-roil-shaper","Noyan Dar, Roil Shaper")</f>
        <v>Noyan Dar, Roil Shaper</v>
      </c>
      <c r="B1323" s="5">
        <v>1251</v>
      </c>
      <c r="C1323" s="6">
        <v>2</v>
      </c>
      <c r="D1323" s="6">
        <v>8</v>
      </c>
      <c r="E1323" s="6">
        <v>3</v>
      </c>
      <c r="F1323" s="6">
        <v>13</v>
      </c>
      <c r="G1323" s="6">
        <v>1322</v>
      </c>
      <c r="H1323" s="7"/>
    </row>
    <row r="1324" spans="1:8">
      <c r="A1324" s="4" t="s">
        <v>757</v>
      </c>
      <c r="B1324" s="5">
        <v>1261</v>
      </c>
      <c r="C1324" s="6">
        <v>2</v>
      </c>
      <c r="D1324" s="6">
        <v>3</v>
      </c>
      <c r="E1324" s="6">
        <v>8</v>
      </c>
      <c r="F1324" s="6">
        <v>13</v>
      </c>
      <c r="G1324" s="6">
        <v>1323</v>
      </c>
      <c r="H1324" s="7"/>
    </row>
    <row r="1325" spans="1:8">
      <c r="A1325" s="15" t="str">
        <f>HYPERLINK("https://scryfall.com/card/dom/190/adeliz-the-cinder-wind","Adeliz, the Cinder Wind")</f>
        <v>Adeliz, the Cinder Wind</v>
      </c>
      <c r="B1325" s="5">
        <v>1277</v>
      </c>
      <c r="C1325" s="6">
        <v>3</v>
      </c>
      <c r="D1325" s="6">
        <v>7</v>
      </c>
      <c r="E1325" s="6">
        <v>3</v>
      </c>
      <c r="F1325" s="6">
        <v>13</v>
      </c>
      <c r="G1325" s="6">
        <v>1324</v>
      </c>
      <c r="H1325" s="7"/>
    </row>
    <row r="1326" spans="1:8">
      <c r="A1326" s="16" t="s">
        <v>770</v>
      </c>
      <c r="B1326" s="5">
        <v>1279</v>
      </c>
      <c r="C1326" s="6">
        <v>3</v>
      </c>
      <c r="D1326" s="6">
        <v>6</v>
      </c>
      <c r="E1326" s="6">
        <v>4</v>
      </c>
      <c r="F1326" s="6">
        <v>13</v>
      </c>
      <c r="G1326" s="6">
        <v>1325</v>
      </c>
      <c r="H1326" s="7"/>
    </row>
    <row r="1327" spans="1:8">
      <c r="A1327" s="4" t="str">
        <f>HYPERLINK("https://scryfall.com/card/mir/204/zirilan-of-the-claw","Zirilan of the Claw")</f>
        <v>Zirilan of the Claw</v>
      </c>
      <c r="B1327" s="5">
        <v>1283</v>
      </c>
      <c r="C1327" s="6">
        <v>4</v>
      </c>
      <c r="D1327" s="6">
        <v>8</v>
      </c>
      <c r="E1327" s="6">
        <v>1</v>
      </c>
      <c r="F1327" s="6">
        <v>13</v>
      </c>
      <c r="G1327" s="6">
        <v>1326</v>
      </c>
      <c r="H1327" s="7"/>
    </row>
    <row r="1328" spans="1:8">
      <c r="A1328" s="4" t="s">
        <v>776</v>
      </c>
      <c r="B1328" s="5">
        <v>1292</v>
      </c>
      <c r="C1328" s="6">
        <v>2</v>
      </c>
      <c r="D1328" s="6">
        <v>4</v>
      </c>
      <c r="E1328" s="6">
        <v>7</v>
      </c>
      <c r="F1328" s="6">
        <v>13</v>
      </c>
      <c r="G1328" s="6">
        <v>1327</v>
      </c>
      <c r="H1328" s="7"/>
    </row>
    <row r="1329" spans="1:8">
      <c r="A1329" s="4" t="s">
        <v>786</v>
      </c>
      <c r="B1329" s="5">
        <v>1312</v>
      </c>
      <c r="C1329" s="6">
        <v>1</v>
      </c>
      <c r="D1329" s="6">
        <v>3</v>
      </c>
      <c r="E1329" s="6">
        <v>9</v>
      </c>
      <c r="F1329" s="6">
        <v>13</v>
      </c>
      <c r="G1329" s="6">
        <v>1328</v>
      </c>
      <c r="H1329" s="7"/>
    </row>
    <row r="1330" spans="1:8">
      <c r="A1330" s="4" t="s">
        <v>792</v>
      </c>
      <c r="B1330" s="5">
        <v>1321</v>
      </c>
      <c r="C1330" s="6">
        <v>2</v>
      </c>
      <c r="D1330" s="6">
        <v>4</v>
      </c>
      <c r="E1330" s="6">
        <v>7</v>
      </c>
      <c r="F1330" s="6">
        <v>13</v>
      </c>
      <c r="G1330" s="6">
        <v>1329</v>
      </c>
      <c r="H1330" s="7"/>
    </row>
    <row r="1331" spans="1:8">
      <c r="A1331" s="4" t="str">
        <f>HYPERLINK("https://scryfall.com/card/dom/109/urgoros-the-empty-one","Urgoros, the Empty One")</f>
        <v>Urgoros, the Empty One</v>
      </c>
      <c r="B1331" s="5">
        <v>1358</v>
      </c>
      <c r="C1331" s="6">
        <v>2</v>
      </c>
      <c r="D1331" s="6">
        <v>3</v>
      </c>
      <c r="E1331" s="6">
        <v>8</v>
      </c>
      <c r="F1331" s="6">
        <v>13</v>
      </c>
      <c r="G1331" s="6">
        <v>1330</v>
      </c>
      <c r="H1331" s="7"/>
    </row>
    <row r="1332" spans="1:8">
      <c r="A1332" s="4" t="str">
        <f>HYPERLINK("https://scryfall.com/card/war/213/roalesk-apex-hybrid","Roalesk, Apex Hybrid")</f>
        <v>Roalesk, Apex Hybrid</v>
      </c>
      <c r="B1332" s="5">
        <v>1359</v>
      </c>
      <c r="C1332" s="6">
        <v>3</v>
      </c>
      <c r="D1332" s="6">
        <v>4</v>
      </c>
      <c r="E1332" s="6">
        <v>6</v>
      </c>
      <c r="F1332" s="6">
        <v>13</v>
      </c>
      <c r="G1332" s="6">
        <v>1331</v>
      </c>
      <c r="H1332" s="7"/>
    </row>
    <row r="1333" spans="1:8">
      <c r="A1333" s="4" t="str">
        <f>HYPERLINK("https://scryfall.com/card/aer/122/rishkar-peema-renegade","Rishkar, Peema Renegade")</f>
        <v>Rishkar, Peema Renegade</v>
      </c>
      <c r="B1333" s="5">
        <v>1360</v>
      </c>
      <c r="C1333" s="6">
        <v>3</v>
      </c>
      <c r="D1333" s="6">
        <v>6</v>
      </c>
      <c r="E1333" s="6">
        <v>4</v>
      </c>
      <c r="F1333" s="6">
        <v>13</v>
      </c>
      <c r="G1333" s="6">
        <v>1332</v>
      </c>
      <c r="H1333" s="7"/>
    </row>
    <row r="1334" spans="1:8">
      <c r="A1334" s="4" t="str">
        <f>HYPERLINK("https://scryfall.com/card/c17/161/atarka-world-render","Atarka, World Render")</f>
        <v>Atarka, World Render</v>
      </c>
      <c r="B1334" s="5">
        <v>1366</v>
      </c>
      <c r="C1334" s="6">
        <v>3</v>
      </c>
      <c r="D1334" s="6">
        <v>6</v>
      </c>
      <c r="E1334" s="6">
        <v>4</v>
      </c>
      <c r="F1334" s="6">
        <v>13</v>
      </c>
      <c r="G1334" s="6">
        <v>1333</v>
      </c>
      <c r="H1334" s="7"/>
    </row>
    <row r="1335" spans="1:8">
      <c r="A1335" s="4" t="str">
        <f>HYPERLINK("https://scryfall.com/card/c17/170/dromoka-the-eternal","Dromoka, the Eternal")</f>
        <v>Dromoka, the Eternal</v>
      </c>
      <c r="B1335" s="5">
        <v>1369</v>
      </c>
      <c r="C1335" s="6">
        <v>1</v>
      </c>
      <c r="D1335" s="6">
        <v>7</v>
      </c>
      <c r="E1335" s="6">
        <v>5</v>
      </c>
      <c r="F1335" s="6">
        <v>13</v>
      </c>
      <c r="G1335" s="6">
        <v>1334</v>
      </c>
      <c r="H1335" s="7"/>
    </row>
    <row r="1336" spans="1:8">
      <c r="A1336" s="4" t="s">
        <v>812</v>
      </c>
      <c r="B1336" s="5">
        <v>1373</v>
      </c>
      <c r="C1336" s="6">
        <v>2</v>
      </c>
      <c r="D1336" s="6">
        <v>5</v>
      </c>
      <c r="E1336" s="6">
        <v>6</v>
      </c>
      <c r="F1336" s="6">
        <v>13</v>
      </c>
      <c r="G1336" s="6">
        <v>1335</v>
      </c>
      <c r="H1336" s="7"/>
    </row>
    <row r="1337" spans="1:8">
      <c r="A1337" s="4" t="s">
        <v>816</v>
      </c>
      <c r="B1337" s="5">
        <v>1379</v>
      </c>
      <c r="C1337" s="6">
        <v>3</v>
      </c>
      <c r="D1337" s="6">
        <v>3</v>
      </c>
      <c r="E1337" s="6">
        <v>7</v>
      </c>
      <c r="F1337" s="6">
        <v>13</v>
      </c>
      <c r="G1337" s="6">
        <v>1336</v>
      </c>
      <c r="H1337" s="7"/>
    </row>
    <row r="1338" spans="1:8">
      <c r="A1338" s="4" t="s">
        <v>818</v>
      </c>
      <c r="B1338" s="5">
        <v>1381</v>
      </c>
      <c r="C1338" s="6">
        <v>6</v>
      </c>
      <c r="D1338" s="6">
        <v>2</v>
      </c>
      <c r="E1338" s="6">
        <v>5</v>
      </c>
      <c r="F1338" s="6">
        <v>13</v>
      </c>
      <c r="G1338" s="6">
        <v>1337</v>
      </c>
      <c r="H1338" s="7"/>
    </row>
    <row r="1339" spans="1:8">
      <c r="A1339" s="4" t="s">
        <v>822</v>
      </c>
      <c r="B1339" s="5">
        <v>1388</v>
      </c>
      <c r="C1339" s="6">
        <v>3</v>
      </c>
      <c r="D1339" s="6">
        <v>5</v>
      </c>
      <c r="E1339" s="6">
        <v>5</v>
      </c>
      <c r="F1339" s="6">
        <v>13</v>
      </c>
      <c r="G1339" s="6">
        <v>1338</v>
      </c>
      <c r="H1339" s="7"/>
    </row>
    <row r="1340" spans="1:8">
      <c r="A1340" s="4" t="s">
        <v>823</v>
      </c>
      <c r="B1340" s="5">
        <v>1389</v>
      </c>
      <c r="C1340" s="6">
        <v>3</v>
      </c>
      <c r="D1340" s="6">
        <v>5</v>
      </c>
      <c r="E1340" s="6">
        <v>5</v>
      </c>
      <c r="F1340" s="6">
        <v>13</v>
      </c>
      <c r="G1340" s="6">
        <v>1339</v>
      </c>
      <c r="H1340" s="7"/>
    </row>
    <row r="1341" spans="1:8">
      <c r="A1341" s="4" t="s">
        <v>825</v>
      </c>
      <c r="B1341" s="5">
        <v>1391</v>
      </c>
      <c r="C1341" s="6">
        <v>2</v>
      </c>
      <c r="D1341" s="6">
        <v>4</v>
      </c>
      <c r="E1341" s="6">
        <v>7</v>
      </c>
      <c r="F1341" s="6">
        <v>13</v>
      </c>
      <c r="G1341" s="6">
        <v>1340</v>
      </c>
      <c r="H1341" s="7"/>
    </row>
    <row r="1342" spans="1:8">
      <c r="A1342" s="4" t="s">
        <v>826</v>
      </c>
      <c r="B1342" s="5">
        <v>1394</v>
      </c>
      <c r="C1342" s="6">
        <v>4</v>
      </c>
      <c r="D1342" s="6">
        <v>3</v>
      </c>
      <c r="E1342" s="6">
        <v>6</v>
      </c>
      <c r="F1342" s="6">
        <v>13</v>
      </c>
      <c r="G1342" s="6">
        <v>1341</v>
      </c>
      <c r="H1342" s="7"/>
    </row>
    <row r="1343" spans="1:8">
      <c r="A1343" s="4" t="str">
        <f>HYPERLINK("https://scryfall.com/card/dom/195/grand-warlord-radha","Grand Warlord Radha")</f>
        <v>Grand Warlord Radha</v>
      </c>
      <c r="B1343" s="5">
        <v>1399</v>
      </c>
      <c r="C1343" s="6">
        <v>3</v>
      </c>
      <c r="D1343" s="6">
        <v>4</v>
      </c>
      <c r="E1343" s="6">
        <v>6</v>
      </c>
      <c r="F1343" s="6">
        <v>13</v>
      </c>
      <c r="G1343" s="6">
        <v>1342</v>
      </c>
      <c r="H1343" s="7"/>
    </row>
    <row r="1344" spans="1:8">
      <c r="A1344" s="4" t="s">
        <v>829</v>
      </c>
      <c r="B1344" s="5">
        <v>1403</v>
      </c>
      <c r="C1344" s="6">
        <v>2</v>
      </c>
      <c r="D1344" s="6">
        <v>4</v>
      </c>
      <c r="E1344" s="6">
        <v>7</v>
      </c>
      <c r="F1344" s="6">
        <v>13</v>
      </c>
      <c r="G1344" s="6">
        <v>1343</v>
      </c>
      <c r="H1344" s="7"/>
    </row>
    <row r="1345" spans="1:8">
      <c r="A1345" s="4" t="str">
        <f>HYPERLINK("https://scryfall.com/card/bbd/98/mangara-of-corondor","Mangara of Corondor")</f>
        <v>Mangara of Corondor</v>
      </c>
      <c r="B1345" s="5">
        <v>1419</v>
      </c>
      <c r="C1345" s="6">
        <v>2</v>
      </c>
      <c r="D1345" s="6">
        <v>5</v>
      </c>
      <c r="E1345" s="6">
        <v>6</v>
      </c>
      <c r="F1345" s="6">
        <v>13</v>
      </c>
      <c r="G1345" s="6">
        <v>1344</v>
      </c>
      <c r="H1345" s="7"/>
    </row>
    <row r="1346" spans="1:8">
      <c r="A1346" s="4" t="str">
        <f>HYPERLINK("https://scryfall.com/card/ori/19/hixus-prison-warden","Hixus, Prison Warden")</f>
        <v>Hixus, Prison Warden</v>
      </c>
      <c r="B1346" s="5">
        <v>1420</v>
      </c>
      <c r="C1346" s="6">
        <v>2</v>
      </c>
      <c r="D1346" s="6">
        <v>4</v>
      </c>
      <c r="E1346" s="6">
        <v>7</v>
      </c>
      <c r="F1346" s="6">
        <v>13</v>
      </c>
      <c r="G1346" s="6">
        <v>1345</v>
      </c>
      <c r="H1346" s="7"/>
    </row>
    <row r="1347" spans="1:8">
      <c r="A1347" s="4" t="str">
        <f>HYPERLINK("https://scryfall.com/card/dtk/218/dragonlord-kolaghan","Dragonlord Kolaghan")</f>
        <v>Dragonlord Kolaghan</v>
      </c>
      <c r="B1347" s="5">
        <v>1423</v>
      </c>
      <c r="C1347" s="6">
        <v>1</v>
      </c>
      <c r="D1347" s="6">
        <v>4</v>
      </c>
      <c r="E1347" s="6">
        <v>8</v>
      </c>
      <c r="F1347" s="6">
        <v>13</v>
      </c>
      <c r="G1347" s="6">
        <v>1346</v>
      </c>
      <c r="H1347" s="7"/>
    </row>
    <row r="1348" spans="1:8">
      <c r="A1348" s="4" t="s">
        <v>839</v>
      </c>
      <c r="B1348" s="5">
        <v>1428</v>
      </c>
      <c r="C1348" s="6">
        <v>2</v>
      </c>
      <c r="D1348" s="6">
        <v>1</v>
      </c>
      <c r="E1348" s="6">
        <v>10</v>
      </c>
      <c r="F1348" s="6">
        <v>13</v>
      </c>
      <c r="G1348" s="6">
        <v>1347</v>
      </c>
      <c r="H1348" s="7"/>
    </row>
    <row r="1349" spans="1:8">
      <c r="A1349" s="4" t="str">
        <f>HYPERLINK("https://scryfall.com/card/c17/174/intet-the-dreamer","Intet, the Dreamer")</f>
        <v>Intet, the Dreamer</v>
      </c>
      <c r="B1349" s="5">
        <v>1430</v>
      </c>
      <c r="C1349" s="6">
        <v>2</v>
      </c>
      <c r="D1349" s="6">
        <v>6</v>
      </c>
      <c r="E1349" s="6">
        <v>5</v>
      </c>
      <c r="F1349" s="6">
        <v>13</v>
      </c>
      <c r="G1349" s="6">
        <v>1348</v>
      </c>
      <c r="H1349" s="7"/>
    </row>
    <row r="1350" spans="1:8">
      <c r="A1350" s="4" t="s">
        <v>840</v>
      </c>
      <c r="B1350" s="5">
        <v>1432</v>
      </c>
      <c r="C1350" s="6">
        <v>1</v>
      </c>
      <c r="D1350" s="6">
        <v>2</v>
      </c>
      <c r="E1350" s="6">
        <v>10</v>
      </c>
      <c r="F1350" s="6">
        <v>13</v>
      </c>
      <c r="G1350" s="6">
        <v>1349</v>
      </c>
      <c r="H1350" s="7"/>
    </row>
    <row r="1351" spans="1:8">
      <c r="A1351" s="4" t="str">
        <f>HYPERLINK("https://scryfall.com/card/lrw/252/wort-boggart-auntie","Wort, Boggart Auntie")</f>
        <v>Wort, Boggart Auntie</v>
      </c>
      <c r="B1351" s="5">
        <v>1434</v>
      </c>
      <c r="C1351" s="6">
        <v>2</v>
      </c>
      <c r="D1351" s="6">
        <v>8</v>
      </c>
      <c r="E1351" s="6">
        <v>3</v>
      </c>
      <c r="F1351" s="6">
        <v>13</v>
      </c>
      <c r="G1351" s="6">
        <v>1350</v>
      </c>
      <c r="H1351" s="7"/>
    </row>
    <row r="1352" spans="1:8">
      <c r="A1352" s="4" t="str">
        <f>HYPERLINK("https://scryfall.com/card/dgm/107/tajic-blade-of-the-legion","Tajic, Blade of the Legion")</f>
        <v>Tajic, Blade of the Legion</v>
      </c>
      <c r="B1352" s="5">
        <v>1439</v>
      </c>
      <c r="C1352" s="6">
        <v>4</v>
      </c>
      <c r="D1352" s="6">
        <v>3</v>
      </c>
      <c r="E1352" s="6">
        <v>6</v>
      </c>
      <c r="F1352" s="6">
        <v>13</v>
      </c>
      <c r="G1352" s="6">
        <v>1351</v>
      </c>
      <c r="H1352" s="7"/>
    </row>
    <row r="1353" spans="1:8">
      <c r="A1353" s="4" t="s">
        <v>844</v>
      </c>
      <c r="B1353" s="5">
        <v>1442</v>
      </c>
      <c r="C1353" s="6">
        <v>2</v>
      </c>
      <c r="D1353" s="6">
        <v>6</v>
      </c>
      <c r="E1353" s="6">
        <v>5</v>
      </c>
      <c r="F1353" s="6">
        <v>13</v>
      </c>
      <c r="G1353" s="6">
        <v>1352</v>
      </c>
      <c r="H1353" s="7"/>
    </row>
    <row r="1354" spans="1:8">
      <c r="A1354" s="4" t="s">
        <v>852</v>
      </c>
      <c r="B1354" s="5">
        <v>1463</v>
      </c>
      <c r="C1354" s="6">
        <v>3</v>
      </c>
      <c r="D1354" s="6">
        <v>2</v>
      </c>
      <c r="E1354" s="6">
        <v>8</v>
      </c>
      <c r="F1354" s="6">
        <v>13</v>
      </c>
      <c r="G1354" s="6">
        <v>1353</v>
      </c>
      <c r="H1354" s="7"/>
    </row>
    <row r="1355" spans="1:8">
      <c r="A1355" s="4" t="s">
        <v>853</v>
      </c>
      <c r="B1355" s="5">
        <v>1466</v>
      </c>
      <c r="C1355" s="6">
        <v>2</v>
      </c>
      <c r="D1355" s="6">
        <v>4</v>
      </c>
      <c r="E1355" s="6">
        <v>7</v>
      </c>
      <c r="F1355" s="6">
        <v>13</v>
      </c>
      <c r="G1355" s="6">
        <v>1354</v>
      </c>
      <c r="H1355" s="7"/>
    </row>
    <row r="1356" spans="1:8">
      <c r="A1356" s="4" t="s">
        <v>854</v>
      </c>
      <c r="B1356" s="5">
        <v>1467</v>
      </c>
      <c r="C1356" s="6">
        <v>3</v>
      </c>
      <c r="D1356" s="6">
        <v>3</v>
      </c>
      <c r="E1356" s="6">
        <v>7</v>
      </c>
      <c r="F1356" s="6">
        <v>13</v>
      </c>
      <c r="G1356" s="6">
        <v>1355</v>
      </c>
      <c r="H1356" s="7"/>
    </row>
    <row r="1357" spans="1:8">
      <c r="A1357" s="4" t="str">
        <f>HYPERLINK("https://scryfall.com/card/tsp/247/stonebrow-krosan-hero","Stonebrow, Krosan Hero")</f>
        <v>Stonebrow, Krosan Hero</v>
      </c>
      <c r="B1357" s="5">
        <v>1476</v>
      </c>
      <c r="C1357" s="6">
        <v>2</v>
      </c>
      <c r="D1357" s="6">
        <v>6</v>
      </c>
      <c r="E1357" s="6">
        <v>5</v>
      </c>
      <c r="F1357" s="6">
        <v>13</v>
      </c>
      <c r="G1357" s="6">
        <v>1356</v>
      </c>
      <c r="H1357" s="7"/>
    </row>
    <row r="1358" spans="1:8">
      <c r="A1358" s="4" t="str">
        <f>HYPERLINK("https://scryfall.com/card/thb/45/callaphe-beloved-of-the-sea","Callaphe, Beloved of the Sea")</f>
        <v>Callaphe, Beloved of the Sea</v>
      </c>
      <c r="B1358" s="5">
        <v>1496</v>
      </c>
      <c r="C1358" s="6">
        <v>2</v>
      </c>
      <c r="D1358" s="6">
        <v>2</v>
      </c>
      <c r="E1358" s="6">
        <v>9</v>
      </c>
      <c r="F1358" s="6">
        <v>13</v>
      </c>
      <c r="G1358" s="6">
        <v>1357</v>
      </c>
      <c r="H1358" s="7"/>
    </row>
    <row r="1359" spans="1:8">
      <c r="A1359" s="4" t="s">
        <v>869</v>
      </c>
      <c r="B1359" s="5">
        <v>1506</v>
      </c>
      <c r="C1359" s="6">
        <v>2</v>
      </c>
      <c r="D1359" s="6">
        <v>4</v>
      </c>
      <c r="E1359" s="6">
        <v>7</v>
      </c>
      <c r="F1359" s="6">
        <v>13</v>
      </c>
      <c r="G1359" s="6">
        <v>1358</v>
      </c>
      <c r="H1359" s="7"/>
    </row>
    <row r="1360" spans="1:8">
      <c r="A1360" s="4" t="s">
        <v>875</v>
      </c>
      <c r="B1360" s="5">
        <v>1520</v>
      </c>
      <c r="C1360" s="6">
        <v>2</v>
      </c>
      <c r="D1360" s="6">
        <v>5</v>
      </c>
      <c r="E1360" s="6">
        <v>6</v>
      </c>
      <c r="F1360" s="6">
        <v>13</v>
      </c>
      <c r="G1360" s="6">
        <v>1359</v>
      </c>
      <c r="H1360" s="7"/>
    </row>
    <row r="1361" spans="1:8">
      <c r="A1361" s="4" t="s">
        <v>881</v>
      </c>
      <c r="B1361" s="5">
        <v>1528</v>
      </c>
      <c r="C1361" s="6">
        <v>3</v>
      </c>
      <c r="D1361" s="6">
        <v>5</v>
      </c>
      <c r="E1361" s="6">
        <v>5</v>
      </c>
      <c r="F1361" s="6">
        <v>13</v>
      </c>
      <c r="G1361" s="6">
        <v>1360</v>
      </c>
      <c r="H1361" s="7"/>
    </row>
    <row r="1362" spans="1:8">
      <c r="A1362" s="4" t="str">
        <f>HYPERLINK("https://scryfall.com/card/cma/174/basandra-battle-seraph","Basandra, Battle Seraph")</f>
        <v>Basandra, Battle Seraph</v>
      </c>
      <c r="B1362" s="5">
        <v>1532</v>
      </c>
      <c r="C1362" s="6">
        <v>2</v>
      </c>
      <c r="D1362" s="6">
        <v>3</v>
      </c>
      <c r="E1362" s="6">
        <v>8</v>
      </c>
      <c r="F1362" s="6">
        <v>13</v>
      </c>
      <c r="G1362" s="6">
        <v>1361</v>
      </c>
      <c r="H1362" s="7"/>
    </row>
    <row r="1363" spans="1:8">
      <c r="A1363" s="4" t="s">
        <v>889</v>
      </c>
      <c r="B1363" s="5">
        <v>1550</v>
      </c>
      <c r="C1363" s="6">
        <v>1</v>
      </c>
      <c r="D1363" s="6">
        <v>2</v>
      </c>
      <c r="E1363" s="6">
        <v>10</v>
      </c>
      <c r="F1363" s="6">
        <v>13</v>
      </c>
      <c r="G1363" s="6">
        <v>1362</v>
      </c>
      <c r="H1363" s="7"/>
    </row>
    <row r="1364" spans="1:8">
      <c r="A1364" s="4" t="str">
        <f>HYPERLINK("https://scryfall.com/card/war/219/storrev-devkarin-lich","Storrev, Devkarin Lich")</f>
        <v>Storrev, Devkarin Lich</v>
      </c>
      <c r="B1364" s="5">
        <v>1563</v>
      </c>
      <c r="C1364" s="6">
        <v>2</v>
      </c>
      <c r="D1364" s="6">
        <v>5</v>
      </c>
      <c r="E1364" s="6">
        <v>6</v>
      </c>
      <c r="F1364" s="6">
        <v>13</v>
      </c>
      <c r="G1364" s="6">
        <v>1363</v>
      </c>
      <c r="H1364" s="7"/>
    </row>
    <row r="1365" spans="1:8">
      <c r="A1365" s="4" t="str">
        <f>HYPERLINK("https://scryfall.com/card/rna/214/zegana-utopian-speaker","Zegana, Utopian Speaker")</f>
        <v>Zegana, Utopian Speaker</v>
      </c>
      <c r="B1365" s="5">
        <v>1564</v>
      </c>
      <c r="C1365" s="6">
        <v>3</v>
      </c>
      <c r="D1365" s="6">
        <v>4</v>
      </c>
      <c r="E1365" s="6">
        <v>6</v>
      </c>
      <c r="F1365" s="6">
        <v>13</v>
      </c>
      <c r="G1365" s="6">
        <v>1364</v>
      </c>
      <c r="H1365" s="7"/>
    </row>
    <row r="1366" spans="1:8">
      <c r="A1366" s="4" t="str">
        <f>HYPERLINK("https://scryfall.com/card/thb/84/aphemia-the-cacophony","Aphemia, the Cacophony")</f>
        <v>Aphemia, the Cacophony</v>
      </c>
      <c r="B1366" s="5">
        <v>1567</v>
      </c>
      <c r="C1366" s="6">
        <v>1</v>
      </c>
      <c r="D1366" s="6">
        <v>5</v>
      </c>
      <c r="E1366" s="6">
        <v>7</v>
      </c>
      <c r="F1366" s="6">
        <v>13</v>
      </c>
      <c r="G1366" s="6">
        <v>1365</v>
      </c>
      <c r="H1366" s="7"/>
    </row>
    <row r="1367" spans="1:8">
      <c r="A1367" s="4" t="s">
        <v>899</v>
      </c>
      <c r="B1367" s="5">
        <v>1576</v>
      </c>
      <c r="C1367" s="6">
        <v>3</v>
      </c>
      <c r="D1367" s="6">
        <v>3</v>
      </c>
      <c r="E1367" s="6">
        <v>7</v>
      </c>
      <c r="F1367" s="6">
        <v>13</v>
      </c>
      <c r="G1367" s="6">
        <v>1366</v>
      </c>
      <c r="H1367" s="7"/>
    </row>
    <row r="1368" spans="1:8">
      <c r="A1368" s="4" t="str">
        <f>HYPERLINK("https://scryfall.com/card/c20/6/akim-the-soaring-wind","Akim, the Soaring Wind")</f>
        <v>Akim, the Soaring Wind</v>
      </c>
      <c r="B1368" s="5">
        <v>1577</v>
      </c>
      <c r="C1368" s="6">
        <v>2</v>
      </c>
      <c r="D1368" s="6">
        <v>4</v>
      </c>
      <c r="E1368" s="6">
        <v>7</v>
      </c>
      <c r="F1368" s="6">
        <v>13</v>
      </c>
      <c r="G1368" s="6">
        <v>1367</v>
      </c>
      <c r="H1368" s="7"/>
    </row>
    <row r="1369" spans="1:8">
      <c r="A1369" s="4" t="s">
        <v>902</v>
      </c>
      <c r="B1369" s="5">
        <v>1584</v>
      </c>
      <c r="C1369" s="6">
        <v>3</v>
      </c>
      <c r="D1369" s="6">
        <v>5</v>
      </c>
      <c r="E1369" s="6">
        <v>5</v>
      </c>
      <c r="F1369" s="6">
        <v>13</v>
      </c>
      <c r="G1369" s="6">
        <v>1368</v>
      </c>
      <c r="H1369" s="7"/>
    </row>
    <row r="1370" spans="1:8">
      <c r="A1370" s="4" t="str">
        <f>HYPERLINK("https://scryfall.com/card/m19/21/lena-selfless-champion","Lena, Selfless Champion")</f>
        <v>Lena, Selfless Champion</v>
      </c>
      <c r="B1370" s="5">
        <v>1593</v>
      </c>
      <c r="C1370" s="6">
        <v>3</v>
      </c>
      <c r="D1370" s="6">
        <v>6</v>
      </c>
      <c r="E1370" s="6">
        <v>4</v>
      </c>
      <c r="F1370" s="6">
        <v>13</v>
      </c>
      <c r="G1370" s="6">
        <v>1369</v>
      </c>
      <c r="H1370" s="7"/>
    </row>
    <row r="1371" spans="1:8">
      <c r="A1371" s="4" t="s">
        <v>909</v>
      </c>
      <c r="B1371" s="5">
        <v>1606</v>
      </c>
      <c r="C1371" s="6">
        <v>2</v>
      </c>
      <c r="D1371" s="6">
        <v>2</v>
      </c>
      <c r="E1371" s="6">
        <v>9</v>
      </c>
      <c r="F1371" s="6">
        <v>13</v>
      </c>
      <c r="G1371" s="6">
        <v>1370</v>
      </c>
      <c r="H1371" s="7"/>
    </row>
    <row r="1372" spans="1:8">
      <c r="A1372" s="4" t="str">
        <f>HYPERLINK("https://scryfall.com/card/uma/150/squee-goblin-nabob","Squee, Goblin Nabob")</f>
        <v>Squee, Goblin Nabob</v>
      </c>
      <c r="B1372" s="5">
        <v>1043</v>
      </c>
      <c r="C1372" s="6">
        <v>0</v>
      </c>
      <c r="D1372" s="6">
        <v>5</v>
      </c>
      <c r="E1372" s="6">
        <v>7</v>
      </c>
      <c r="F1372" s="6">
        <v>12</v>
      </c>
      <c r="G1372" s="6">
        <v>1371</v>
      </c>
      <c r="H1372" s="7"/>
    </row>
    <row r="1373" spans="1:8">
      <c r="A1373" s="4" t="str">
        <f>HYPERLINK("https://scryfall.com/card/c13/64/uyo-silent-prophet","Uyo, Silent Prophet")</f>
        <v>Uyo, Silent Prophet</v>
      </c>
      <c r="B1373" s="5">
        <v>1099</v>
      </c>
      <c r="C1373" s="6">
        <v>3</v>
      </c>
      <c r="D1373" s="6">
        <v>6</v>
      </c>
      <c r="E1373" s="6">
        <v>3</v>
      </c>
      <c r="F1373" s="6">
        <v>12</v>
      </c>
      <c r="G1373" s="6">
        <v>1372</v>
      </c>
      <c r="H1373" s="7"/>
    </row>
    <row r="1374" spans="1:8">
      <c r="A1374" s="4" t="s">
        <v>686</v>
      </c>
      <c r="B1374" s="5">
        <v>1140</v>
      </c>
      <c r="C1374" s="6">
        <v>1</v>
      </c>
      <c r="D1374" s="6">
        <v>4</v>
      </c>
      <c r="E1374" s="6">
        <v>7</v>
      </c>
      <c r="F1374" s="6">
        <v>12</v>
      </c>
      <c r="G1374" s="6">
        <v>1373</v>
      </c>
      <c r="H1374" s="7"/>
    </row>
    <row r="1375" spans="1:8">
      <c r="A1375" s="4" t="str">
        <f>HYPERLINK("https://scryfall.com/card/arc/88/kaervek-the-merciless","Kaervek the Merciless")</f>
        <v>Kaervek the Merciless</v>
      </c>
      <c r="B1375" s="5">
        <v>1167</v>
      </c>
      <c r="C1375" s="6">
        <v>3</v>
      </c>
      <c r="D1375" s="6">
        <v>5</v>
      </c>
      <c r="E1375" s="6">
        <v>4</v>
      </c>
      <c r="F1375" s="6">
        <v>12</v>
      </c>
      <c r="G1375" s="6">
        <v>1374</v>
      </c>
      <c r="H1375" s="7"/>
    </row>
    <row r="1376" spans="1:8">
      <c r="A1376" s="4" t="str">
        <f>HYPERLINK("https://scryfall.com/card/dom/192/aryel-knight-of-windgrace","Aryel, Knight of Windgrace")</f>
        <v>Aryel, Knight of Windgrace</v>
      </c>
      <c r="B1376" s="5">
        <v>1175</v>
      </c>
      <c r="C1376" s="6">
        <v>2</v>
      </c>
      <c r="D1376" s="14">
        <v>5</v>
      </c>
      <c r="E1376" s="6">
        <v>5</v>
      </c>
      <c r="F1376" s="6">
        <v>12</v>
      </c>
      <c r="G1376" s="6">
        <v>1375</v>
      </c>
      <c r="H1376" s="7"/>
    </row>
    <row r="1377" spans="1:8">
      <c r="A1377" s="4" t="str">
        <f>HYPERLINK("https://scryfall.com/card/sok/73/kagemaro-first-to-suffer","Kagemaro, First to Suffer")</f>
        <v>Kagemaro, First to Suffer</v>
      </c>
      <c r="B1377" s="5">
        <v>1190</v>
      </c>
      <c r="C1377" s="6">
        <v>2</v>
      </c>
      <c r="D1377" s="6">
        <v>4</v>
      </c>
      <c r="E1377" s="6">
        <v>6</v>
      </c>
      <c r="F1377" s="6">
        <v>12</v>
      </c>
      <c r="G1377" s="6">
        <v>1376</v>
      </c>
      <c r="H1377" s="7"/>
    </row>
    <row r="1378" spans="1:8">
      <c r="A1378" s="4" t="str">
        <f>HYPERLINK("https://scryfall.com/card/ogw/86/kalitas-traitor-of-ghet","Kalitas, Traitor of Ghet")</f>
        <v>Kalitas, Traitor of Ghet</v>
      </c>
      <c r="B1378" s="5">
        <v>1210</v>
      </c>
      <c r="C1378" s="6">
        <v>3</v>
      </c>
      <c r="D1378" s="6">
        <v>4</v>
      </c>
      <c r="E1378" s="6">
        <v>5</v>
      </c>
      <c r="F1378" s="6">
        <v>12</v>
      </c>
      <c r="G1378" s="6">
        <v>1377</v>
      </c>
      <c r="H1378" s="7"/>
    </row>
    <row r="1379" spans="1:8">
      <c r="A1379" s="4" t="str">
        <f>HYPERLINK("https://scryfall.com/card/arb/117/karrthus-tyrant-of-jund","Karrthus, Tyrant of Jund")</f>
        <v>Karrthus, Tyrant of Jund</v>
      </c>
      <c r="B1379" s="5">
        <v>1228</v>
      </c>
      <c r="C1379" s="6">
        <v>2</v>
      </c>
      <c r="D1379" s="6">
        <v>8</v>
      </c>
      <c r="E1379" s="6">
        <v>2</v>
      </c>
      <c r="F1379" s="6">
        <v>12</v>
      </c>
      <c r="G1379" s="6">
        <v>1378</v>
      </c>
      <c r="H1379" s="7"/>
    </row>
    <row r="1380" spans="1:8">
      <c r="A1380" s="4" t="str">
        <f>HYPERLINK("https://scryfall.com/card/ktk/163/anafenza-the-foremost","Anafenza, the Foremost")</f>
        <v>Anafenza, the Foremost</v>
      </c>
      <c r="B1380" s="5">
        <v>1233</v>
      </c>
      <c r="C1380" s="6">
        <v>3</v>
      </c>
      <c r="D1380" s="6">
        <v>3</v>
      </c>
      <c r="E1380" s="6">
        <v>6</v>
      </c>
      <c r="F1380" s="6">
        <v>12</v>
      </c>
      <c r="G1380" s="6">
        <v>1379</v>
      </c>
      <c r="H1380" s="7"/>
    </row>
    <row r="1381" spans="1:8">
      <c r="A1381" s="4" t="str">
        <f>HYPERLINK("https://scryfall.com/card/iko/375/yidaro-wandering-monster","Yidaro, Wandering Monster")</f>
        <v>Yidaro, Wandering Monster</v>
      </c>
      <c r="B1381" s="5">
        <v>1235</v>
      </c>
      <c r="C1381" s="6">
        <v>0</v>
      </c>
      <c r="D1381" s="6">
        <v>2</v>
      </c>
      <c r="E1381" s="6">
        <v>10</v>
      </c>
      <c r="F1381" s="6">
        <v>12</v>
      </c>
      <c r="G1381" s="6">
        <v>1380</v>
      </c>
      <c r="H1381" s="7"/>
    </row>
    <row r="1382" spans="1:8">
      <c r="A1382" s="4" t="str">
        <f>HYPERLINK("https://scryfall.com/card/tsp/166/jaya-ballard-task-mage","Jaya Ballard, Task Mage")</f>
        <v>Jaya Ballard, Task Mage</v>
      </c>
      <c r="B1382" s="5">
        <v>1236</v>
      </c>
      <c r="C1382" s="6">
        <v>2</v>
      </c>
      <c r="D1382" s="6">
        <v>4</v>
      </c>
      <c r="E1382" s="6">
        <v>6</v>
      </c>
      <c r="F1382" s="6">
        <v>12</v>
      </c>
      <c r="G1382" s="6">
        <v>1381</v>
      </c>
      <c r="H1382" s="7"/>
    </row>
    <row r="1383" spans="1:8">
      <c r="A1383" s="4" t="str">
        <f>HYPERLINK("https://scryfall.com/card/dom/191/arvad-the-cursed","Arvad the Cursed")</f>
        <v>Arvad the Cursed</v>
      </c>
      <c r="B1383" s="5">
        <v>1247</v>
      </c>
      <c r="C1383" s="6">
        <v>2</v>
      </c>
      <c r="D1383" s="6">
        <v>5</v>
      </c>
      <c r="E1383" s="6">
        <v>5</v>
      </c>
      <c r="F1383" s="6">
        <v>12</v>
      </c>
      <c r="G1383" s="6">
        <v>1382</v>
      </c>
      <c r="H1383" s="7"/>
    </row>
    <row r="1384" spans="1:8">
      <c r="A1384" s="4" t="s">
        <v>750</v>
      </c>
      <c r="B1384" s="5">
        <v>1253</v>
      </c>
      <c r="C1384" s="6">
        <v>2</v>
      </c>
      <c r="D1384" s="6">
        <v>4</v>
      </c>
      <c r="E1384" s="6">
        <v>6</v>
      </c>
      <c r="F1384" s="6">
        <v>12</v>
      </c>
      <c r="G1384" s="6">
        <v>1383</v>
      </c>
      <c r="H1384" s="7"/>
    </row>
    <row r="1385" spans="1:8">
      <c r="A1385" s="4" t="s">
        <v>752</v>
      </c>
      <c r="B1385" s="5">
        <v>1255</v>
      </c>
      <c r="C1385" s="6">
        <v>2</v>
      </c>
      <c r="D1385" s="6">
        <v>3</v>
      </c>
      <c r="E1385" s="6">
        <v>7</v>
      </c>
      <c r="F1385" s="6">
        <v>12</v>
      </c>
      <c r="G1385" s="6">
        <v>1384</v>
      </c>
      <c r="H1385" s="7"/>
    </row>
    <row r="1386" spans="1:8">
      <c r="A1386" s="4" t="s">
        <v>753</v>
      </c>
      <c r="B1386" s="5">
        <v>1257</v>
      </c>
      <c r="C1386" s="6">
        <v>4</v>
      </c>
      <c r="D1386" s="6">
        <v>5</v>
      </c>
      <c r="E1386" s="6">
        <v>3</v>
      </c>
      <c r="F1386" s="6">
        <v>12</v>
      </c>
      <c r="G1386" s="6">
        <v>1385</v>
      </c>
      <c r="H1386" s="7"/>
    </row>
    <row r="1387" spans="1:8">
      <c r="A1387" s="4" t="s">
        <v>762</v>
      </c>
      <c r="B1387" s="5">
        <v>1266</v>
      </c>
      <c r="C1387" s="6">
        <v>1</v>
      </c>
      <c r="D1387" s="6">
        <v>1</v>
      </c>
      <c r="E1387" s="6">
        <v>10</v>
      </c>
      <c r="F1387" s="6">
        <v>12</v>
      </c>
      <c r="G1387" s="6">
        <v>1386</v>
      </c>
      <c r="H1387" s="7"/>
    </row>
    <row r="1388" spans="1:8">
      <c r="A1388" s="4" t="s">
        <v>772</v>
      </c>
      <c r="B1388" s="5">
        <v>1286</v>
      </c>
      <c r="C1388" s="6">
        <v>2</v>
      </c>
      <c r="D1388" s="6">
        <v>4</v>
      </c>
      <c r="E1388" s="6">
        <v>6</v>
      </c>
      <c r="F1388" s="6">
        <v>12</v>
      </c>
      <c r="G1388" s="6">
        <v>1387</v>
      </c>
      <c r="H1388" s="7"/>
    </row>
    <row r="1389" spans="1:8">
      <c r="A1389" s="4" t="str">
        <f>HYPERLINK("https://scryfall.com/card/tpr/210/selenia-dark-angel","Selenia, Dark Angel")</f>
        <v>Selenia, Dark Angel</v>
      </c>
      <c r="B1389" s="5">
        <v>1302</v>
      </c>
      <c r="C1389" s="6">
        <v>1</v>
      </c>
      <c r="D1389" s="6">
        <v>9</v>
      </c>
      <c r="E1389" s="6">
        <v>2</v>
      </c>
      <c r="F1389" s="6">
        <v>12</v>
      </c>
      <c r="G1389" s="6">
        <v>1388</v>
      </c>
      <c r="H1389" s="7"/>
    </row>
    <row r="1390" spans="1:8">
      <c r="A1390" s="4" t="str">
        <f>HYPERLINK("https://scryfall.com/card/mor/135/rhys-the-exiled","Rhys the Exiled")</f>
        <v>Rhys the Exiled</v>
      </c>
      <c r="B1390" s="5">
        <v>1305</v>
      </c>
      <c r="C1390" s="6">
        <v>1</v>
      </c>
      <c r="D1390" s="6">
        <v>6</v>
      </c>
      <c r="E1390" s="6">
        <v>5</v>
      </c>
      <c r="F1390" s="6">
        <v>12</v>
      </c>
      <c r="G1390" s="6">
        <v>1389</v>
      </c>
      <c r="H1390" s="7"/>
    </row>
    <row r="1391" spans="1:8">
      <c r="A1391" s="4" t="str">
        <f>HYPERLINK("https://scryfall.com/card/kld/124/pia-nalaar","Pia Nalaar")</f>
        <v>Pia Nalaar</v>
      </c>
      <c r="B1391" s="5">
        <v>1306</v>
      </c>
      <c r="C1391" s="6">
        <v>1</v>
      </c>
      <c r="D1391" s="6">
        <v>3</v>
      </c>
      <c r="E1391" s="6">
        <v>8</v>
      </c>
      <c r="F1391" s="6">
        <v>12</v>
      </c>
      <c r="G1391" s="6">
        <v>1390</v>
      </c>
      <c r="H1391" s="7"/>
    </row>
    <row r="1392" spans="1:8">
      <c r="A1392" s="4" t="s">
        <v>787</v>
      </c>
      <c r="B1392" s="5">
        <v>1314</v>
      </c>
      <c r="C1392" s="6">
        <v>3</v>
      </c>
      <c r="D1392" s="6">
        <v>3</v>
      </c>
      <c r="E1392" s="6">
        <v>6</v>
      </c>
      <c r="F1392" s="6">
        <v>12</v>
      </c>
      <c r="G1392" s="6">
        <v>1391</v>
      </c>
      <c r="H1392" s="7"/>
    </row>
    <row r="1393" spans="1:8">
      <c r="A1393" s="4" t="str">
        <f>HYPERLINK("https://scryfall.com/card/gk2/71/rakdos-the-defiler","Rakdos the Defiler")</f>
        <v>Rakdos the Defiler</v>
      </c>
      <c r="B1393" s="5">
        <v>1315</v>
      </c>
      <c r="C1393" s="6">
        <v>1</v>
      </c>
      <c r="D1393" s="6">
        <v>3</v>
      </c>
      <c r="E1393" s="6">
        <v>8</v>
      </c>
      <c r="F1393" s="6">
        <v>12</v>
      </c>
      <c r="G1393" s="6">
        <v>1392</v>
      </c>
      <c r="H1393" s="7"/>
    </row>
    <row r="1394" spans="1:8">
      <c r="A1394" s="4" t="str">
        <f>HYPERLINK("https://scryfall.com/card/eld/67/syr-elenora-the-discerning","Syr Elenora, the Discerning")</f>
        <v>Syr Elenora, the Discerning</v>
      </c>
      <c r="B1394" s="5">
        <v>1316</v>
      </c>
      <c r="C1394" s="6">
        <v>3</v>
      </c>
      <c r="D1394" s="6">
        <v>5</v>
      </c>
      <c r="E1394" s="6">
        <v>4</v>
      </c>
      <c r="F1394" s="6">
        <v>12</v>
      </c>
      <c r="G1394" s="6">
        <v>1393</v>
      </c>
      <c r="H1394" s="7"/>
    </row>
    <row r="1395" spans="1:8">
      <c r="A1395" s="4" t="s">
        <v>790</v>
      </c>
      <c r="B1395" s="5">
        <v>1319</v>
      </c>
      <c r="C1395" s="6">
        <v>2</v>
      </c>
      <c r="D1395" s="6">
        <v>2</v>
      </c>
      <c r="E1395" s="6">
        <v>8</v>
      </c>
      <c r="F1395" s="6">
        <v>12</v>
      </c>
      <c r="G1395" s="6">
        <v>1394</v>
      </c>
      <c r="H1395" s="7"/>
    </row>
    <row r="1396" spans="1:8">
      <c r="A1396" s="4" t="str">
        <f>HYPERLINK("https://scryfall.com/card/mm2/82/endrek-sahr-master-breeder","Endrek Sahr, Master Breeder")</f>
        <v>Endrek Sahr, Master Breeder</v>
      </c>
      <c r="B1396" s="5">
        <v>1326</v>
      </c>
      <c r="C1396" s="6">
        <v>2</v>
      </c>
      <c r="D1396" s="6">
        <v>7</v>
      </c>
      <c r="E1396" s="6">
        <v>3</v>
      </c>
      <c r="F1396" s="6">
        <v>12</v>
      </c>
      <c r="G1396" s="6">
        <v>1395</v>
      </c>
      <c r="H1396" s="7"/>
    </row>
    <row r="1397" spans="1:8">
      <c r="A1397" s="4" t="str">
        <f>HYPERLINK("https://scryfall.com/card/tor/56/chainer-dementia-master","Chainer, Dementia Master")</f>
        <v>Chainer, Dementia Master</v>
      </c>
      <c r="B1397" s="5">
        <v>1329</v>
      </c>
      <c r="C1397" s="6">
        <v>2</v>
      </c>
      <c r="D1397" s="6">
        <v>7</v>
      </c>
      <c r="E1397" s="6">
        <v>3</v>
      </c>
      <c r="F1397" s="6">
        <v>12</v>
      </c>
      <c r="G1397" s="6">
        <v>1396</v>
      </c>
      <c r="H1397" s="7"/>
    </row>
    <row r="1398" spans="1:8">
      <c r="A1398" s="4" t="str">
        <f>HYPERLINK("https://scryfall.com/card/gk1/121/tolsimir-wolfblood","Tolsimir Wolfblood")</f>
        <v>Tolsimir Wolfblood</v>
      </c>
      <c r="B1398" s="5">
        <v>1333</v>
      </c>
      <c r="C1398" s="6">
        <v>3</v>
      </c>
      <c r="D1398" s="6">
        <v>5</v>
      </c>
      <c r="E1398" s="6">
        <v>4</v>
      </c>
      <c r="F1398" s="6">
        <v>12</v>
      </c>
      <c r="G1398" s="6">
        <v>1397</v>
      </c>
      <c r="H1398" s="7"/>
    </row>
    <row r="1399" spans="1:8">
      <c r="A1399" s="4" t="str">
        <f>HYPERLINK("https://scryfall.com/card/c16/206/jor-kadeen-the-prevailer","Jor Kadeen, the Prevailer")</f>
        <v>Jor Kadeen, the Prevailer</v>
      </c>
      <c r="B1399" s="5">
        <v>1334</v>
      </c>
      <c r="C1399" s="6">
        <v>2</v>
      </c>
      <c r="D1399" s="6">
        <v>2</v>
      </c>
      <c r="E1399" s="6">
        <v>8</v>
      </c>
      <c r="F1399" s="6">
        <v>12</v>
      </c>
      <c r="G1399" s="6">
        <v>1398</v>
      </c>
      <c r="H1399" s="7"/>
    </row>
    <row r="1400" spans="1:8">
      <c r="A1400" s="10" t="s">
        <v>803</v>
      </c>
      <c r="B1400" s="5">
        <v>1344</v>
      </c>
      <c r="C1400" s="11">
        <v>3</v>
      </c>
      <c r="D1400" s="11">
        <v>5</v>
      </c>
      <c r="E1400" s="11">
        <v>4</v>
      </c>
      <c r="F1400" s="11">
        <v>12</v>
      </c>
      <c r="G1400" s="6">
        <v>1399</v>
      </c>
      <c r="H1400" s="7"/>
    </row>
    <row r="1401" spans="1:8">
      <c r="A1401" s="4" t="str">
        <f>HYPERLINK("https://scryfall.com/card/dom/86/demonlord-belzenlok","Demonlord Belzenlok")</f>
        <v>Demonlord Belzenlok</v>
      </c>
      <c r="B1401" s="5">
        <v>1351</v>
      </c>
      <c r="C1401" s="6">
        <v>2</v>
      </c>
      <c r="D1401" s="6">
        <v>5</v>
      </c>
      <c r="E1401" s="6">
        <v>5</v>
      </c>
      <c r="F1401" s="6">
        <v>12</v>
      </c>
      <c r="G1401" s="6">
        <v>1400</v>
      </c>
      <c r="H1401" s="7"/>
    </row>
    <row r="1402" spans="1:8">
      <c r="A1402" s="4" t="str">
        <f>HYPERLINK("https://scryfall.com/card/nem/12/lin-sivvi-defiant-hero","Lin Sivvi, Defiant Hero")</f>
        <v>Lin Sivvi, Defiant Hero</v>
      </c>
      <c r="B1402" s="5">
        <v>1354</v>
      </c>
      <c r="C1402" s="6">
        <v>2</v>
      </c>
      <c r="D1402" s="6">
        <v>7</v>
      </c>
      <c r="E1402" s="6">
        <v>3</v>
      </c>
      <c r="F1402" s="6">
        <v>12</v>
      </c>
      <c r="G1402" s="6">
        <v>1401</v>
      </c>
      <c r="H1402" s="7"/>
    </row>
    <row r="1403" spans="1:8">
      <c r="A1403" s="4" t="str">
        <f>HYPERLINK("https://scryfall.com/card/chk/169/godo-bandit-warlord","Godo, Bandit Warlord")</f>
        <v>Godo, Bandit Warlord</v>
      </c>
      <c r="B1403" s="5">
        <v>1357</v>
      </c>
      <c r="C1403" s="6">
        <v>5</v>
      </c>
      <c r="D1403" s="6">
        <v>5</v>
      </c>
      <c r="E1403" s="6">
        <v>2</v>
      </c>
      <c r="F1403" s="6">
        <v>12</v>
      </c>
      <c r="G1403" s="6">
        <v>1402</v>
      </c>
      <c r="H1403" s="7"/>
    </row>
    <row r="1404" spans="1:8">
      <c r="A1404" s="4" t="str">
        <f>HYPERLINK("https://scryfall.com/card/ody/58/aboshan-cephalid-emperor","Aboshan, Cephalid Emperor")</f>
        <v>Aboshan, Cephalid Emperor</v>
      </c>
      <c r="B1404" s="5">
        <v>1364</v>
      </c>
      <c r="C1404" s="6">
        <v>3</v>
      </c>
      <c r="D1404" s="6">
        <v>4</v>
      </c>
      <c r="E1404" s="6">
        <v>5</v>
      </c>
      <c r="F1404" s="6">
        <v>12</v>
      </c>
      <c r="G1404" s="6">
        <v>1403</v>
      </c>
      <c r="H1404" s="7"/>
    </row>
    <row r="1405" spans="1:8">
      <c r="A1405" s="4" t="s">
        <v>817</v>
      </c>
      <c r="B1405" s="5">
        <v>1380</v>
      </c>
      <c r="C1405" s="6">
        <v>1</v>
      </c>
      <c r="D1405" s="6">
        <v>4</v>
      </c>
      <c r="E1405" s="6">
        <v>7</v>
      </c>
      <c r="F1405" s="6">
        <v>12</v>
      </c>
      <c r="G1405" s="6">
        <v>1404</v>
      </c>
      <c r="H1405" s="7"/>
    </row>
    <row r="1406" spans="1:8">
      <c r="A1406" s="4" t="s">
        <v>820</v>
      </c>
      <c r="B1406" s="5">
        <v>1383</v>
      </c>
      <c r="C1406" s="6">
        <v>1</v>
      </c>
      <c r="D1406" s="6">
        <v>1</v>
      </c>
      <c r="E1406" s="6">
        <v>10</v>
      </c>
      <c r="F1406" s="6">
        <v>12</v>
      </c>
      <c r="G1406" s="6">
        <v>1405</v>
      </c>
      <c r="H1406" s="7"/>
    </row>
    <row r="1407" spans="1:8">
      <c r="A1407" s="4" t="str">
        <f>HYPERLINK("https://scryfall.com/card/ala/178/kresh-the-bloodbraided","Kresh the Bloodbraided")</f>
        <v>Kresh the Bloodbraided</v>
      </c>
      <c r="B1407" s="5">
        <v>1386</v>
      </c>
      <c r="C1407" s="6">
        <v>2</v>
      </c>
      <c r="D1407" s="6">
        <v>6</v>
      </c>
      <c r="E1407" s="6">
        <v>4</v>
      </c>
      <c r="F1407" s="6">
        <v>12</v>
      </c>
      <c r="G1407" s="6">
        <v>1406</v>
      </c>
      <c r="H1407" s="7"/>
    </row>
    <row r="1408" spans="1:8">
      <c r="A1408" s="4" t="str">
        <f>HYPERLINK("https://scryfall.com/card/sok/41/kaho-minamo-historian","Kaho, Minamo Historian")</f>
        <v>Kaho, Minamo Historian</v>
      </c>
      <c r="B1408" s="5">
        <v>1392</v>
      </c>
      <c r="C1408" s="6">
        <v>2</v>
      </c>
      <c r="D1408" s="6">
        <v>4</v>
      </c>
      <c r="E1408" s="6">
        <v>6</v>
      </c>
      <c r="F1408" s="6">
        <v>12</v>
      </c>
      <c r="G1408" s="6">
        <v>1407</v>
      </c>
      <c r="H1408" s="7"/>
    </row>
    <row r="1409" spans="1:8">
      <c r="A1409" s="4" t="str">
        <f>HYPERLINK("https://scryfall.com/card/dom/111/whisper-blood-liturgist","Whisper, Blood Liturgist")</f>
        <v>Whisper, Blood Liturgist</v>
      </c>
      <c r="B1409" s="5">
        <v>1396</v>
      </c>
      <c r="C1409" s="6">
        <v>2</v>
      </c>
      <c r="D1409" s="6">
        <v>4</v>
      </c>
      <c r="E1409" s="6">
        <v>6</v>
      </c>
      <c r="F1409" s="6">
        <v>12</v>
      </c>
      <c r="G1409" s="6">
        <v>1408</v>
      </c>
      <c r="H1409" s="7"/>
    </row>
    <row r="1410" spans="1:8">
      <c r="A1410" s="4" t="s">
        <v>830</v>
      </c>
      <c r="B1410" s="5">
        <v>1404</v>
      </c>
      <c r="C1410" s="6">
        <v>1</v>
      </c>
      <c r="D1410" s="6">
        <v>3</v>
      </c>
      <c r="E1410" s="6">
        <v>8</v>
      </c>
      <c r="F1410" s="6">
        <v>12</v>
      </c>
      <c r="G1410" s="6">
        <v>1409</v>
      </c>
      <c r="H1410" s="7"/>
    </row>
    <row r="1411" spans="1:8">
      <c r="A1411" s="4" t="str">
        <f>HYPERLINK("https://scryfall.com/card/hou/10/djeru-with-eyes-open","Djeru, With Eyes Open")</f>
        <v>Djeru, With Eyes Open</v>
      </c>
      <c r="B1411" s="5">
        <v>1409</v>
      </c>
      <c r="C1411" s="6">
        <v>2</v>
      </c>
      <c r="D1411" s="6">
        <v>8</v>
      </c>
      <c r="E1411" s="6">
        <v>2</v>
      </c>
      <c r="F1411" s="6">
        <v>12</v>
      </c>
      <c r="G1411" s="6">
        <v>1410</v>
      </c>
      <c r="H1411" s="7"/>
    </row>
    <row r="1412" spans="1:8">
      <c r="A1412" s="4" t="s">
        <v>833</v>
      </c>
      <c r="B1412" s="5">
        <v>1410</v>
      </c>
      <c r="C1412" s="6">
        <v>1</v>
      </c>
      <c r="D1412" s="6">
        <v>3</v>
      </c>
      <c r="E1412" s="6">
        <v>8</v>
      </c>
      <c r="F1412" s="6">
        <v>12</v>
      </c>
      <c r="G1412" s="6">
        <v>1411</v>
      </c>
      <c r="H1412" s="7"/>
    </row>
    <row r="1413" spans="1:8">
      <c r="A1413" s="4" t="str">
        <f>HYPERLINK("https://scryfall.com/card/lrw/251/sygg-river-guide","Sygg, River Guide")</f>
        <v>Sygg, River Guide</v>
      </c>
      <c r="B1413" s="5">
        <v>1412</v>
      </c>
      <c r="C1413" s="6">
        <v>1</v>
      </c>
      <c r="D1413" s="6">
        <v>6</v>
      </c>
      <c r="E1413" s="6">
        <v>5</v>
      </c>
      <c r="F1413" s="6">
        <v>12</v>
      </c>
      <c r="G1413" s="6">
        <v>1412</v>
      </c>
      <c r="H1413" s="7"/>
    </row>
    <row r="1414" spans="1:8">
      <c r="A1414" s="4" t="str">
        <f>HYPERLINK("https://scryfall.com/card/ody/267/seton-krosan-protector","Seton, Krosan Protector")</f>
        <v>Seton, Krosan Protector</v>
      </c>
      <c r="B1414" s="5">
        <v>1413</v>
      </c>
      <c r="C1414" s="6">
        <v>3</v>
      </c>
      <c r="D1414" s="6">
        <v>6</v>
      </c>
      <c r="E1414" s="6">
        <v>3</v>
      </c>
      <c r="F1414" s="6">
        <v>12</v>
      </c>
      <c r="G1414" s="6">
        <v>1413</v>
      </c>
      <c r="H1414" s="7"/>
    </row>
    <row r="1415" spans="1:8" ht="18.75" customHeight="1">
      <c r="A1415" s="4" t="str">
        <f>HYPERLINK("https://scryfall.com/card/ema/7/eight-and-a-half-tails","Eight-and-a-Half-Tails")</f>
        <v>Eight-and-a-Half-Tails</v>
      </c>
      <c r="B1415" s="5">
        <v>1421</v>
      </c>
      <c r="C1415" s="6">
        <v>1</v>
      </c>
      <c r="D1415" s="6">
        <v>3</v>
      </c>
      <c r="E1415" s="6">
        <v>8</v>
      </c>
      <c r="F1415" s="6">
        <v>12</v>
      </c>
      <c r="G1415" s="6">
        <v>1414</v>
      </c>
      <c r="H1415" s="7"/>
    </row>
    <row r="1416" spans="1:8">
      <c r="A1416" s="4" t="str">
        <f>HYPERLINK("https://scryfall.com/card/cn2/73/adriana-captain-of-the-guard","Adriana, Captain of the Guard")</f>
        <v>Adriana, Captain of the Guard</v>
      </c>
      <c r="B1416" s="5">
        <v>1431</v>
      </c>
      <c r="C1416" s="6">
        <v>5</v>
      </c>
      <c r="D1416" s="6">
        <v>2</v>
      </c>
      <c r="E1416" s="6">
        <v>5</v>
      </c>
      <c r="F1416" s="6">
        <v>12</v>
      </c>
      <c r="G1416" s="6">
        <v>1415</v>
      </c>
      <c r="H1416" s="7"/>
    </row>
    <row r="1417" spans="1:8">
      <c r="A1417" s="4" t="str">
        <f>HYPERLINK("https://scryfall.com/card/c17/47/taigam-sidisis-hand","Taigam, Sidisi's Hand")</f>
        <v>Taigam, Sidisi's Hand</v>
      </c>
      <c r="B1417" s="5">
        <v>1433</v>
      </c>
      <c r="C1417" s="6">
        <v>3</v>
      </c>
      <c r="D1417" s="6">
        <v>3</v>
      </c>
      <c r="E1417" s="6">
        <v>6</v>
      </c>
      <c r="F1417" s="6">
        <v>12</v>
      </c>
      <c r="G1417" s="6">
        <v>1416</v>
      </c>
      <c r="H1417" s="7"/>
    </row>
    <row r="1418" spans="1:8">
      <c r="A1418" s="4" t="s">
        <v>842</v>
      </c>
      <c r="B1418" s="5">
        <v>1436</v>
      </c>
      <c r="C1418" s="6">
        <v>1</v>
      </c>
      <c r="D1418" s="6">
        <v>3</v>
      </c>
      <c r="E1418" s="6">
        <v>8</v>
      </c>
      <c r="F1418" s="6">
        <v>12</v>
      </c>
      <c r="G1418" s="6">
        <v>1417</v>
      </c>
      <c r="H1418" s="7"/>
    </row>
    <row r="1419" spans="1:8">
      <c r="A1419" s="4" t="s">
        <v>850</v>
      </c>
      <c r="B1419" s="5">
        <v>1461</v>
      </c>
      <c r="C1419" s="6">
        <v>3</v>
      </c>
      <c r="D1419" s="6">
        <v>3</v>
      </c>
      <c r="E1419" s="6">
        <v>6</v>
      </c>
      <c r="F1419" s="6">
        <v>12</v>
      </c>
      <c r="G1419" s="6">
        <v>1418</v>
      </c>
      <c r="H1419" s="7"/>
    </row>
    <row r="1420" spans="1:8">
      <c r="A1420" s="4" t="s">
        <v>855</v>
      </c>
      <c r="B1420" s="5">
        <v>1468</v>
      </c>
      <c r="C1420" s="6">
        <v>1</v>
      </c>
      <c r="D1420" s="6">
        <v>1</v>
      </c>
      <c r="E1420" s="6">
        <v>10</v>
      </c>
      <c r="F1420" s="6">
        <v>12</v>
      </c>
      <c r="G1420" s="6">
        <v>1419</v>
      </c>
      <c r="H1420" s="7"/>
    </row>
    <row r="1421" spans="1:8">
      <c r="A1421" s="4" t="str">
        <f>HYPERLINK("https://scryfall.com/card/dom/280/firesong-and-sunspeaker","Firesong and Sunspeaker")</f>
        <v>Firesong and Sunspeaker</v>
      </c>
      <c r="B1421" s="5">
        <v>1474</v>
      </c>
      <c r="C1421" s="6">
        <v>2</v>
      </c>
      <c r="D1421" s="6">
        <v>5</v>
      </c>
      <c r="E1421" s="6">
        <v>5</v>
      </c>
      <c r="F1421" s="6">
        <v>12</v>
      </c>
      <c r="G1421" s="6">
        <v>1420</v>
      </c>
      <c r="H1421" s="7"/>
    </row>
    <row r="1422" spans="1:8">
      <c r="A1422" s="4" t="s">
        <v>859</v>
      </c>
      <c r="B1422" s="5">
        <v>1475</v>
      </c>
      <c r="C1422" s="6">
        <v>2</v>
      </c>
      <c r="D1422" s="6">
        <v>4</v>
      </c>
      <c r="E1422" s="6">
        <v>6</v>
      </c>
      <c r="F1422" s="6">
        <v>12</v>
      </c>
      <c r="G1422" s="6">
        <v>1421</v>
      </c>
      <c r="H1422" s="7"/>
    </row>
    <row r="1423" spans="1:8">
      <c r="A1423" s="4" t="s">
        <v>860</v>
      </c>
      <c r="B1423" s="5">
        <v>1478</v>
      </c>
      <c r="C1423" s="6">
        <v>1</v>
      </c>
      <c r="D1423" s="6">
        <v>6</v>
      </c>
      <c r="E1423" s="6">
        <v>5</v>
      </c>
      <c r="F1423" s="6">
        <v>12</v>
      </c>
      <c r="G1423" s="6">
        <v>1422</v>
      </c>
      <c r="H1423" s="7"/>
    </row>
    <row r="1424" spans="1:8">
      <c r="A1424" s="4" t="str">
        <f>HYPERLINK("https://scryfall.com/card/sok/78/kuon-ogre-ascendant-kuons-essence","Kuon, Ogre Ascendant")</f>
        <v>Kuon, Ogre Ascendant</v>
      </c>
      <c r="B1424" s="5">
        <v>1479</v>
      </c>
      <c r="C1424" s="6">
        <v>1</v>
      </c>
      <c r="D1424" s="6">
        <v>5</v>
      </c>
      <c r="E1424" s="6">
        <v>6</v>
      </c>
      <c r="F1424" s="6">
        <v>12</v>
      </c>
      <c r="G1424" s="6">
        <v>1423</v>
      </c>
      <c r="H1424" s="7"/>
    </row>
    <row r="1425" spans="1:8">
      <c r="A1425" s="4" t="s">
        <v>861</v>
      </c>
      <c r="B1425" s="5">
        <v>1482</v>
      </c>
      <c r="C1425" s="6">
        <v>4</v>
      </c>
      <c r="D1425" s="6">
        <v>3</v>
      </c>
      <c r="E1425" s="6">
        <v>5</v>
      </c>
      <c r="F1425" s="6">
        <v>12</v>
      </c>
      <c r="G1425" s="6">
        <v>1424</v>
      </c>
      <c r="H1425" s="7"/>
    </row>
    <row r="1426" spans="1:8">
      <c r="A1426" s="4" t="str">
        <f>HYPERLINK("https://scryfall.com/card/bok/18/oyobi-who-split-the-heavens","Oyobi, Who Split the Heavens")</f>
        <v>Oyobi, Who Split the Heavens</v>
      </c>
      <c r="B1426" s="5">
        <v>1499</v>
      </c>
      <c r="C1426" s="6">
        <v>1</v>
      </c>
      <c r="D1426" s="6">
        <v>4</v>
      </c>
      <c r="E1426" s="6">
        <v>7</v>
      </c>
      <c r="F1426" s="6">
        <v>12</v>
      </c>
      <c r="G1426" s="6">
        <v>1425</v>
      </c>
      <c r="H1426" s="7"/>
    </row>
    <row r="1427" spans="1:8">
      <c r="A1427" s="4" t="str">
        <f>HYPERLINK("https://scryfall.com/card/pls/85/nemata-grove-guardian","Nemata, Grove Guardian")</f>
        <v>Nemata, Grove Guardian</v>
      </c>
      <c r="B1427" s="5">
        <v>1500</v>
      </c>
      <c r="C1427" s="6">
        <v>2</v>
      </c>
      <c r="D1427" s="6">
        <v>6</v>
      </c>
      <c r="E1427" s="6">
        <v>4</v>
      </c>
      <c r="F1427" s="6">
        <v>12</v>
      </c>
      <c r="G1427" s="6">
        <v>1426</v>
      </c>
      <c r="H1427" s="7"/>
    </row>
    <row r="1428" spans="1:8">
      <c r="A1428" s="4" t="s">
        <v>872</v>
      </c>
      <c r="B1428" s="5">
        <v>1511</v>
      </c>
      <c r="C1428" s="6">
        <v>1</v>
      </c>
      <c r="D1428" s="6">
        <v>6</v>
      </c>
      <c r="E1428" s="6">
        <v>5</v>
      </c>
      <c r="F1428" s="6">
        <v>12</v>
      </c>
      <c r="G1428" s="6">
        <v>1427</v>
      </c>
      <c r="H1428" s="7"/>
    </row>
    <row r="1429" spans="1:8">
      <c r="A1429" s="4" t="str">
        <f>HYPERLINK("https://scryfall.com/card/rix/30/zetalpa-primal-dawn","Zetalpa, Primal Dawn")</f>
        <v>Zetalpa, Primal Dawn</v>
      </c>
      <c r="B1429" s="5">
        <v>1514</v>
      </c>
      <c r="C1429" s="6">
        <v>3</v>
      </c>
      <c r="D1429" s="6">
        <v>3</v>
      </c>
      <c r="E1429" s="6">
        <v>6</v>
      </c>
      <c r="F1429" s="6">
        <v>12</v>
      </c>
      <c r="G1429" s="6">
        <v>1428</v>
      </c>
      <c r="H1429" s="7"/>
    </row>
    <row r="1430" spans="1:8">
      <c r="A1430" s="4" t="s">
        <v>874</v>
      </c>
      <c r="B1430" s="5">
        <v>1519</v>
      </c>
      <c r="C1430" s="6">
        <v>2</v>
      </c>
      <c r="D1430" s="6">
        <v>5</v>
      </c>
      <c r="E1430" s="6">
        <v>5</v>
      </c>
      <c r="F1430" s="6">
        <v>12</v>
      </c>
      <c r="G1430" s="6">
        <v>1429</v>
      </c>
      <c r="H1430" s="7"/>
    </row>
    <row r="1431" spans="1:8">
      <c r="A1431" s="4" t="s">
        <v>878</v>
      </c>
      <c r="B1431" s="5">
        <v>1525</v>
      </c>
      <c r="C1431" s="6">
        <v>1</v>
      </c>
      <c r="D1431" s="6">
        <v>1</v>
      </c>
      <c r="E1431" s="6">
        <v>10</v>
      </c>
      <c r="F1431" s="6">
        <v>12</v>
      </c>
      <c r="G1431" s="6">
        <v>1430</v>
      </c>
      <c r="H1431" s="7"/>
    </row>
    <row r="1432" spans="1:8">
      <c r="A1432" s="4" t="s">
        <v>882</v>
      </c>
      <c r="B1432" s="5">
        <v>1534</v>
      </c>
      <c r="C1432" s="6">
        <v>1</v>
      </c>
      <c r="D1432" s="6">
        <v>2</v>
      </c>
      <c r="E1432" s="6">
        <v>9</v>
      </c>
      <c r="F1432" s="6">
        <v>12</v>
      </c>
      <c r="G1432" s="6">
        <v>1431</v>
      </c>
      <c r="H1432" s="7"/>
    </row>
    <row r="1433" spans="1:8">
      <c r="A1433" s="4" t="str">
        <f>HYPERLINK("https://scryfall.com/card/tsp/227/thelon-of-havenwood","Thelon of Havenwood")</f>
        <v>Thelon of Havenwood</v>
      </c>
      <c r="B1433" s="5">
        <v>1536</v>
      </c>
      <c r="C1433" s="6">
        <v>2</v>
      </c>
      <c r="D1433" s="6">
        <v>7</v>
      </c>
      <c r="E1433" s="6">
        <v>3</v>
      </c>
      <c r="F1433" s="6">
        <v>12</v>
      </c>
      <c r="G1433" s="6">
        <v>1432</v>
      </c>
      <c r="H1433" s="7"/>
    </row>
    <row r="1434" spans="1:8">
      <c r="A1434" s="4" t="s">
        <v>886</v>
      </c>
      <c r="B1434" s="5">
        <v>1543</v>
      </c>
      <c r="C1434" s="6">
        <v>3</v>
      </c>
      <c r="D1434" s="6">
        <v>4</v>
      </c>
      <c r="E1434" s="6">
        <v>5</v>
      </c>
      <c r="F1434" s="6">
        <v>12</v>
      </c>
      <c r="G1434" s="6">
        <v>1433</v>
      </c>
      <c r="H1434" s="7"/>
    </row>
    <row r="1435" spans="1:8">
      <c r="A1435" s="4" t="s">
        <v>896</v>
      </c>
      <c r="B1435" s="5">
        <v>1561</v>
      </c>
      <c r="C1435" s="6">
        <v>3</v>
      </c>
      <c r="D1435" s="6">
        <v>4</v>
      </c>
      <c r="E1435" s="6">
        <v>5</v>
      </c>
      <c r="F1435" s="6">
        <v>12</v>
      </c>
      <c r="G1435" s="6">
        <v>1434</v>
      </c>
      <c r="H1435" s="7"/>
    </row>
    <row r="1436" spans="1:8">
      <c r="A1436" s="4" t="s">
        <v>897</v>
      </c>
      <c r="B1436" s="5">
        <v>1568</v>
      </c>
      <c r="C1436" s="6">
        <v>2</v>
      </c>
      <c r="D1436" s="6">
        <v>3</v>
      </c>
      <c r="E1436" s="6">
        <v>7</v>
      </c>
      <c r="F1436" s="6">
        <v>12</v>
      </c>
      <c r="G1436" s="6">
        <v>1435</v>
      </c>
      <c r="H1436" s="7"/>
    </row>
    <row r="1437" spans="1:8">
      <c r="A1437" s="4" t="s">
        <v>904</v>
      </c>
      <c r="B1437" s="5">
        <v>1586</v>
      </c>
      <c r="C1437" s="6">
        <v>2</v>
      </c>
      <c r="D1437" s="6">
        <v>4</v>
      </c>
      <c r="E1437" s="6">
        <v>6</v>
      </c>
      <c r="F1437" s="6">
        <v>12</v>
      </c>
      <c r="G1437" s="6">
        <v>1436</v>
      </c>
      <c r="H1437" s="7"/>
    </row>
    <row r="1438" spans="1:8">
      <c r="A1438" s="4" t="s">
        <v>906</v>
      </c>
      <c r="B1438" s="5">
        <v>1588</v>
      </c>
      <c r="C1438" s="6">
        <v>1</v>
      </c>
      <c r="D1438" s="6">
        <v>1</v>
      </c>
      <c r="E1438" s="6">
        <v>10</v>
      </c>
      <c r="F1438" s="6">
        <v>12</v>
      </c>
      <c r="G1438" s="6">
        <v>1437</v>
      </c>
      <c r="H1438" s="7"/>
    </row>
    <row r="1439" spans="1:8">
      <c r="A1439" s="4" t="s">
        <v>913</v>
      </c>
      <c r="B1439" s="5">
        <v>1619</v>
      </c>
      <c r="C1439" s="6">
        <v>1</v>
      </c>
      <c r="D1439" s="6">
        <v>3</v>
      </c>
      <c r="E1439" s="6">
        <v>8</v>
      </c>
      <c r="F1439" s="6">
        <v>12</v>
      </c>
      <c r="G1439" s="6">
        <v>1438</v>
      </c>
      <c r="H1439" s="7"/>
    </row>
    <row r="1440" spans="1:8">
      <c r="A1440" s="4" t="str">
        <f>HYPERLINK("https://scryfall.com/card/chk/117/horobi-deaths-wail","Horobi, Death's Wail")</f>
        <v>Horobi, Death's Wail</v>
      </c>
      <c r="B1440" s="5">
        <v>1005</v>
      </c>
      <c r="C1440" s="6">
        <v>2</v>
      </c>
      <c r="D1440" s="6">
        <v>3</v>
      </c>
      <c r="E1440" s="6">
        <v>6</v>
      </c>
      <c r="F1440" s="6">
        <v>11</v>
      </c>
      <c r="G1440" s="6">
        <v>1439</v>
      </c>
      <c r="H1440" s="7"/>
    </row>
    <row r="1441" spans="1:8">
      <c r="A1441" s="4" t="str">
        <f>HYPERLINK("https://scryfall.com/card/rix/154/azor-the-lawbringer","Azor, the Lawbringer")</f>
        <v>Azor, the Lawbringer</v>
      </c>
      <c r="B1441" s="5">
        <v>1010</v>
      </c>
      <c r="C1441" s="6">
        <v>2</v>
      </c>
      <c r="D1441" s="6">
        <v>4</v>
      </c>
      <c r="E1441" s="6">
        <v>5</v>
      </c>
      <c r="F1441" s="6">
        <v>11</v>
      </c>
      <c r="G1441" s="6">
        <v>1440</v>
      </c>
      <c r="H1441" s="7"/>
    </row>
    <row r="1442" spans="1:8">
      <c r="A1442" s="4" t="s">
        <v>642</v>
      </c>
      <c r="B1442" s="5">
        <v>1064</v>
      </c>
      <c r="C1442" s="6">
        <v>2</v>
      </c>
      <c r="D1442" s="6">
        <v>4</v>
      </c>
      <c r="E1442" s="6">
        <v>5</v>
      </c>
      <c r="F1442" s="6">
        <v>11</v>
      </c>
      <c r="G1442" s="6">
        <v>1441</v>
      </c>
      <c r="H1442" s="7"/>
    </row>
    <row r="1443" spans="1:8">
      <c r="A1443" s="4" t="str">
        <f>HYPERLINK("https://scryfall.com/card/a25/200/brion-stoutarm","Brion Stoutarm")</f>
        <v>Brion Stoutarm</v>
      </c>
      <c r="B1443" s="5">
        <v>1093</v>
      </c>
      <c r="C1443" s="6">
        <v>2</v>
      </c>
      <c r="D1443" s="6">
        <v>5</v>
      </c>
      <c r="E1443" s="6">
        <v>4</v>
      </c>
      <c r="F1443" s="6">
        <v>11</v>
      </c>
      <c r="G1443" s="6">
        <v>1442</v>
      </c>
      <c r="H1443" s="7"/>
    </row>
    <row r="1444" spans="1:8">
      <c r="A1444" s="4" t="str">
        <f>HYPERLINK("https://scryfall.com/card/dom/146/squee-the-immortal","Squee, the Immortal")</f>
        <v>Squee, the Immortal</v>
      </c>
      <c r="B1444" s="5">
        <v>1094</v>
      </c>
      <c r="C1444" s="6">
        <v>0</v>
      </c>
      <c r="D1444" s="6">
        <v>5</v>
      </c>
      <c r="E1444" s="6">
        <v>6</v>
      </c>
      <c r="F1444" s="6">
        <v>11</v>
      </c>
      <c r="G1444" s="6">
        <v>1443</v>
      </c>
      <c r="H1444" s="7"/>
    </row>
    <row r="1445" spans="1:8">
      <c r="A1445" s="4" t="str">
        <f>HYPERLINK("https://scryfall.com/card/chk/126/myojin-of-nights-reach","Myojin of Night's Reach")</f>
        <v>Myojin of Night's Reach</v>
      </c>
      <c r="B1445" s="5">
        <v>1135</v>
      </c>
      <c r="C1445" s="6">
        <v>4</v>
      </c>
      <c r="D1445" s="6">
        <v>0</v>
      </c>
      <c r="E1445" s="6">
        <v>7</v>
      </c>
      <c r="F1445" s="6">
        <v>11</v>
      </c>
      <c r="G1445" s="6">
        <v>1444</v>
      </c>
      <c r="H1445" s="7"/>
    </row>
    <row r="1446" spans="1:8">
      <c r="A1446" s="4" t="str">
        <f>HYPERLINK("https://scryfall.com/card/chk/75/myojin-of-seeing-winds","Myojin of Seeing Winds")</f>
        <v>Myojin of Seeing Winds</v>
      </c>
      <c r="B1446" s="5">
        <v>1192</v>
      </c>
      <c r="C1446" s="6">
        <v>3</v>
      </c>
      <c r="D1446" s="6">
        <v>6</v>
      </c>
      <c r="E1446" s="6">
        <v>2</v>
      </c>
      <c r="F1446" s="6">
        <v>11</v>
      </c>
      <c r="G1446" s="6">
        <v>1445</v>
      </c>
      <c r="H1446" s="7"/>
    </row>
    <row r="1447" spans="1:8">
      <c r="A1447" s="4" t="str">
        <f>HYPERLINK("https://scryfall.com/card/ons/89/ixidor-reality-sculptor","Ixidor, Reality Sculptor")</f>
        <v>Ixidor, Reality Sculptor</v>
      </c>
      <c r="B1447" s="5">
        <v>1250</v>
      </c>
      <c r="C1447" s="6">
        <v>1</v>
      </c>
      <c r="D1447" s="6">
        <v>7</v>
      </c>
      <c r="E1447" s="6">
        <v>3</v>
      </c>
      <c r="F1447" s="6">
        <v>11</v>
      </c>
      <c r="G1447" s="6">
        <v>1446</v>
      </c>
      <c r="H1447" s="7"/>
    </row>
    <row r="1448" spans="1:8">
      <c r="A1448" s="4" t="s">
        <v>763</v>
      </c>
      <c r="B1448" s="5">
        <v>1267</v>
      </c>
      <c r="C1448" s="6">
        <v>1</v>
      </c>
      <c r="D1448" s="6">
        <v>4</v>
      </c>
      <c r="E1448" s="6">
        <v>6</v>
      </c>
      <c r="F1448" s="6">
        <v>11</v>
      </c>
      <c r="G1448" s="6">
        <v>1447</v>
      </c>
      <c r="H1448" s="7"/>
    </row>
    <row r="1449" spans="1:8">
      <c r="A1449" s="4" t="str">
        <f>HYPERLINK("https://scryfall.com/card/dom/69/tetsuko-umezawa-fugitive","Tetsuko Umezawa, Fugitive")</f>
        <v>Tetsuko Umezawa, Fugitive</v>
      </c>
      <c r="B1449" s="5">
        <v>1289</v>
      </c>
      <c r="C1449" s="6">
        <v>1</v>
      </c>
      <c r="D1449" s="6">
        <v>5</v>
      </c>
      <c r="E1449" s="6">
        <v>5</v>
      </c>
      <c r="F1449" s="6">
        <v>11</v>
      </c>
      <c r="G1449" s="6">
        <v>1448</v>
      </c>
      <c r="H1449" s="7"/>
    </row>
    <row r="1450" spans="1:8">
      <c r="A1450" s="4" t="s">
        <v>779</v>
      </c>
      <c r="B1450" s="5">
        <v>1296</v>
      </c>
      <c r="C1450" s="6">
        <v>1</v>
      </c>
      <c r="D1450" s="6">
        <v>3</v>
      </c>
      <c r="E1450" s="6">
        <v>7</v>
      </c>
      <c r="F1450" s="6">
        <v>11</v>
      </c>
      <c r="G1450" s="6">
        <v>1449</v>
      </c>
      <c r="H1450" s="7"/>
    </row>
    <row r="1451" spans="1:8">
      <c r="A1451" s="4" t="str">
        <f>HYPERLINK("https://scryfall.com/card/mma/52/meloku-the-clouded-mirror","Meloku the Clouded Mirror")</f>
        <v>Meloku the Clouded Mirror</v>
      </c>
      <c r="B1451" s="5">
        <v>1301</v>
      </c>
      <c r="C1451" s="6">
        <v>2</v>
      </c>
      <c r="D1451" s="6">
        <v>3</v>
      </c>
      <c r="E1451" s="6">
        <v>6</v>
      </c>
      <c r="F1451" s="6">
        <v>11</v>
      </c>
      <c r="G1451" s="6">
        <v>1450</v>
      </c>
      <c r="H1451" s="7"/>
    </row>
    <row r="1452" spans="1:8">
      <c r="A1452" s="4" t="str">
        <f>HYPERLINK("https://scryfall.com/card/c14/27/ob-nixilis-of-the-black-oath","Ob Nixilis of the Black Oath")</f>
        <v>Ob Nixilis of the Black Oath</v>
      </c>
      <c r="B1452" s="5">
        <v>1310</v>
      </c>
      <c r="C1452" s="6">
        <v>1</v>
      </c>
      <c r="D1452" s="6">
        <v>3</v>
      </c>
      <c r="E1452" s="6">
        <v>7</v>
      </c>
      <c r="F1452" s="6">
        <v>11</v>
      </c>
      <c r="G1452" s="6">
        <v>1451</v>
      </c>
      <c r="H1452" s="7"/>
    </row>
    <row r="1453" spans="1:8">
      <c r="A1453" s="4" t="str">
        <f>HYPERLINK("https://scryfall.com/card/thb/218/haktos-the-unscarred","Haktos the Unscarred")</f>
        <v>Haktos the Unscarred</v>
      </c>
      <c r="B1453" s="5">
        <v>1313</v>
      </c>
      <c r="C1453" s="6">
        <v>1</v>
      </c>
      <c r="D1453" s="6">
        <v>2</v>
      </c>
      <c r="E1453" s="6">
        <v>8</v>
      </c>
      <c r="F1453" s="6">
        <v>11</v>
      </c>
      <c r="G1453" s="6">
        <v>1452</v>
      </c>
      <c r="H1453" s="7"/>
    </row>
    <row r="1454" spans="1:8">
      <c r="A1454" s="4" t="str">
        <f>HYPERLINK("https://scryfall.com/card/m15/153/kurkesh-onakke-ancient","Kurkesh, Onakke Ancient")</f>
        <v>Kurkesh, Onakke Ancient</v>
      </c>
      <c r="B1454" s="5">
        <v>1340</v>
      </c>
      <c r="C1454" s="6">
        <v>4</v>
      </c>
      <c r="D1454" s="6">
        <v>6</v>
      </c>
      <c r="E1454" s="6">
        <v>1</v>
      </c>
      <c r="F1454" s="6">
        <v>11</v>
      </c>
      <c r="G1454" s="6">
        <v>1453</v>
      </c>
      <c r="H1454" s="7"/>
    </row>
    <row r="1455" spans="1:8">
      <c r="A1455" s="4" t="str">
        <f>HYPERLINK("https://scryfall.com/card/akh/59/kefnet-the-mindful","Kefnet the Mindful")</f>
        <v>Kefnet the Mindful</v>
      </c>
      <c r="B1455" s="5">
        <v>1343</v>
      </c>
      <c r="C1455" s="6">
        <v>2</v>
      </c>
      <c r="D1455" s="6">
        <v>2</v>
      </c>
      <c r="E1455" s="6">
        <v>7</v>
      </c>
      <c r="F1455" s="6">
        <v>11</v>
      </c>
      <c r="G1455" s="6">
        <v>1454</v>
      </c>
      <c r="H1455" s="7"/>
    </row>
    <row r="1456" spans="1:8">
      <c r="A1456" s="4" t="str">
        <f>HYPERLINK("https://scryfall.com/card/c16/213/nath-of-the-gilt-leaf","Nath of the Gilt-Leaf")</f>
        <v>Nath of the Gilt-Leaf</v>
      </c>
      <c r="B1456" s="5">
        <v>1347</v>
      </c>
      <c r="C1456" s="6">
        <v>2</v>
      </c>
      <c r="D1456" s="6">
        <v>5</v>
      </c>
      <c r="E1456" s="6">
        <v>4</v>
      </c>
      <c r="F1456" s="6">
        <v>11</v>
      </c>
      <c r="G1456" s="6">
        <v>1455</v>
      </c>
      <c r="H1456" s="7"/>
    </row>
    <row r="1457" spans="1:8">
      <c r="A1457" s="4" t="str">
        <f>HYPERLINK("https://scryfall.com/card/gk2/15/lavinia-of-the-tenth","Lavinia of the Tenth")</f>
        <v>Lavinia of the Tenth</v>
      </c>
      <c r="B1457" s="5">
        <v>1350</v>
      </c>
      <c r="C1457" s="6">
        <v>2</v>
      </c>
      <c r="D1457" s="6">
        <v>3</v>
      </c>
      <c r="E1457" s="6">
        <v>6</v>
      </c>
      <c r="F1457" s="6">
        <v>11</v>
      </c>
      <c r="G1457" s="6">
        <v>1456</v>
      </c>
      <c r="H1457" s="7"/>
    </row>
    <row r="1458" spans="1:8">
      <c r="A1458" s="4" t="str">
        <f>HYPERLINK("https://scryfall.com/card/gk2/13/isperia-the-inscrutable","Isperia the Inscrutable")</f>
        <v>Isperia the Inscrutable</v>
      </c>
      <c r="B1458" s="5">
        <v>1361</v>
      </c>
      <c r="C1458" s="6">
        <v>2</v>
      </c>
      <c r="D1458" s="6">
        <v>5</v>
      </c>
      <c r="E1458" s="6">
        <v>4</v>
      </c>
      <c r="F1458" s="6">
        <v>11</v>
      </c>
      <c r="G1458" s="6">
        <v>1457</v>
      </c>
      <c r="H1458" s="7"/>
    </row>
    <row r="1459" spans="1:8">
      <c r="A1459" s="4" t="str">
        <f>HYPERLINK("https://scryfall.com/card/10e/65/ambassador-laquatus","Ambassador Laquatus")</f>
        <v>Ambassador Laquatus</v>
      </c>
      <c r="B1459" s="5">
        <v>1365</v>
      </c>
      <c r="C1459" s="6">
        <v>3</v>
      </c>
      <c r="D1459" s="6">
        <v>4</v>
      </c>
      <c r="E1459" s="6">
        <v>4</v>
      </c>
      <c r="F1459" s="6">
        <v>11</v>
      </c>
      <c r="G1459" s="6">
        <v>1458</v>
      </c>
      <c r="H1459" s="7"/>
    </row>
    <row r="1460" spans="1:8">
      <c r="A1460" s="4" t="s">
        <v>813</v>
      </c>
      <c r="B1460" s="5">
        <v>1375</v>
      </c>
      <c r="C1460" s="6">
        <v>4</v>
      </c>
      <c r="D1460" s="6">
        <v>4</v>
      </c>
      <c r="E1460" s="6">
        <v>3</v>
      </c>
      <c r="F1460" s="6">
        <v>11</v>
      </c>
      <c r="G1460" s="6">
        <v>1459</v>
      </c>
      <c r="H1460" s="7"/>
    </row>
    <row r="1461" spans="1:8">
      <c r="A1461" s="4" t="str">
        <f>HYPERLINK("https://scryfall.com/card/ths/186/anax-and-cymede","Anax and Cymede")</f>
        <v>Anax and Cymede</v>
      </c>
      <c r="B1461" s="5">
        <v>1402</v>
      </c>
      <c r="C1461" s="6">
        <v>2</v>
      </c>
      <c r="D1461" s="6">
        <v>2</v>
      </c>
      <c r="E1461" s="6">
        <v>7</v>
      </c>
      <c r="F1461" s="6">
        <v>11</v>
      </c>
      <c r="G1461" s="6">
        <v>1460</v>
      </c>
      <c r="H1461" s="7"/>
    </row>
    <row r="1462" spans="1:8">
      <c r="A1462" s="4" t="s">
        <v>832</v>
      </c>
      <c r="B1462" s="5">
        <v>1408</v>
      </c>
      <c r="C1462" s="6">
        <v>2</v>
      </c>
      <c r="D1462" s="6">
        <v>3</v>
      </c>
      <c r="E1462" s="6">
        <v>6</v>
      </c>
      <c r="F1462" s="6">
        <v>11</v>
      </c>
      <c r="G1462" s="6">
        <v>1461</v>
      </c>
      <c r="H1462" s="7"/>
    </row>
    <row r="1463" spans="1:8">
      <c r="A1463" s="4" t="s">
        <v>841</v>
      </c>
      <c r="B1463" s="5">
        <v>1435</v>
      </c>
      <c r="C1463" s="6">
        <v>1</v>
      </c>
      <c r="D1463" s="6">
        <v>4</v>
      </c>
      <c r="E1463" s="6">
        <v>6</v>
      </c>
      <c r="F1463" s="6">
        <v>11</v>
      </c>
      <c r="G1463" s="6">
        <v>1462</v>
      </c>
      <c r="H1463" s="7"/>
    </row>
    <row r="1464" spans="1:8">
      <c r="A1464" s="4" t="str">
        <f>HYPERLINK("https://scryfall.com/card/dom/16/evra-halcyon-witness","Evra, Halcyon Witness")</f>
        <v>Evra, Halcyon Witness</v>
      </c>
      <c r="B1464" s="5">
        <v>1437</v>
      </c>
      <c r="C1464" s="6">
        <v>2</v>
      </c>
      <c r="D1464" s="6">
        <v>5</v>
      </c>
      <c r="E1464" s="6">
        <v>4</v>
      </c>
      <c r="F1464" s="6">
        <v>11</v>
      </c>
      <c r="G1464" s="6">
        <v>1463</v>
      </c>
      <c r="H1464" s="7"/>
    </row>
    <row r="1465" spans="1:8">
      <c r="A1465" s="4" t="s">
        <v>858</v>
      </c>
      <c r="B1465" s="5">
        <v>1473</v>
      </c>
      <c r="C1465" s="6">
        <v>1</v>
      </c>
      <c r="D1465" s="6">
        <v>2</v>
      </c>
      <c r="E1465" s="6">
        <v>8</v>
      </c>
      <c r="F1465" s="6">
        <v>11</v>
      </c>
      <c r="G1465" s="6">
        <v>1464</v>
      </c>
      <c r="H1465" s="7"/>
    </row>
    <row r="1466" spans="1:8">
      <c r="A1466" s="4" t="str">
        <f>HYPERLINK("https://scryfall.com/card/ema/114/visara-the-dreadful","Visara the Dreadful ")</f>
        <v xml:space="preserve">Visara the Dreadful </v>
      </c>
      <c r="B1466" s="5">
        <v>1484</v>
      </c>
      <c r="C1466" s="6">
        <v>2</v>
      </c>
      <c r="D1466" s="6">
        <v>5</v>
      </c>
      <c r="E1466" s="6">
        <v>4</v>
      </c>
      <c r="F1466" s="6">
        <v>11</v>
      </c>
      <c r="G1466" s="6">
        <v>1465</v>
      </c>
      <c r="H1466" s="7"/>
    </row>
    <row r="1467" spans="1:8">
      <c r="A1467" s="4" t="str">
        <f>HYPERLINK("https://scryfall.com/card/xln/24/mavren-fein-dusk-apostle","Mavren Fein, Dusk Apostle")</f>
        <v>Mavren Fein, Dusk Apostle</v>
      </c>
      <c r="B1467" s="5">
        <v>1487</v>
      </c>
      <c r="C1467" s="6">
        <v>1</v>
      </c>
      <c r="D1467" s="6">
        <v>5</v>
      </c>
      <c r="E1467" s="6">
        <v>5</v>
      </c>
      <c r="F1467" s="6">
        <v>11</v>
      </c>
      <c r="G1467" s="6">
        <v>1466</v>
      </c>
      <c r="H1467" s="7"/>
    </row>
    <row r="1468" spans="1:8">
      <c r="A1468" s="4" t="str">
        <f>HYPERLINK("https://scryfall.com/card/ima/144/ryusei-the-falling-star","Ryusei, the Falling Star")</f>
        <v>Ryusei, the Falling Star</v>
      </c>
      <c r="B1468" s="5">
        <v>1490</v>
      </c>
      <c r="C1468" s="6">
        <v>1</v>
      </c>
      <c r="D1468" s="6">
        <v>2</v>
      </c>
      <c r="E1468" s="6">
        <v>8</v>
      </c>
      <c r="F1468" s="6">
        <v>11</v>
      </c>
      <c r="G1468" s="6">
        <v>1467</v>
      </c>
      <c r="H1468" s="7"/>
    </row>
    <row r="1469" spans="1:8">
      <c r="A1469" s="4" t="s">
        <v>868</v>
      </c>
      <c r="B1469" s="5">
        <v>1505</v>
      </c>
      <c r="C1469" s="6">
        <v>2</v>
      </c>
      <c r="D1469" s="6">
        <v>2</v>
      </c>
      <c r="E1469" s="6">
        <v>7</v>
      </c>
      <c r="F1469" s="6">
        <v>11</v>
      </c>
      <c r="G1469" s="6">
        <v>1468</v>
      </c>
      <c r="H1469" s="7"/>
    </row>
    <row r="1470" spans="1:8">
      <c r="A1470" s="4" t="str">
        <f>HYPERLINK("https://scryfall.com/card/bfz/215/munda-ambush-leader","Munda, Ambush Leader")</f>
        <v>Munda, Ambush Leader</v>
      </c>
      <c r="B1470" s="5">
        <v>1507</v>
      </c>
      <c r="C1470" s="6">
        <v>1</v>
      </c>
      <c r="D1470" s="6">
        <v>4</v>
      </c>
      <c r="E1470" s="6">
        <v>6</v>
      </c>
      <c r="F1470" s="6">
        <v>11</v>
      </c>
      <c r="G1470" s="6">
        <v>1469</v>
      </c>
      <c r="H1470" s="7"/>
    </row>
    <row r="1471" spans="1:8">
      <c r="A1471" s="4" t="s">
        <v>871</v>
      </c>
      <c r="B1471" s="5">
        <v>1510</v>
      </c>
      <c r="C1471" s="6">
        <v>2</v>
      </c>
      <c r="D1471" s="6">
        <v>2</v>
      </c>
      <c r="E1471" s="6">
        <v>7</v>
      </c>
      <c r="F1471" s="6">
        <v>11</v>
      </c>
      <c r="G1471" s="6">
        <v>1470</v>
      </c>
      <c r="H1471" s="7"/>
    </row>
    <row r="1472" spans="1:8">
      <c r="A1472" s="4" t="str">
        <f>HYPERLINK("https://scryfall.com/card/c20/5/cazur-ruthless-stalker","Cazur, Ruthless Stalker")</f>
        <v>Cazur, Ruthless Stalker</v>
      </c>
      <c r="B1472" s="5">
        <v>1513</v>
      </c>
      <c r="C1472" s="6">
        <v>3</v>
      </c>
      <c r="D1472" s="6">
        <v>2</v>
      </c>
      <c r="E1472" s="6">
        <v>6</v>
      </c>
      <c r="F1472" s="6">
        <v>11</v>
      </c>
      <c r="G1472" s="6">
        <v>1471</v>
      </c>
      <c r="H1472" s="7"/>
    </row>
    <row r="1473" spans="1:8">
      <c r="A1473" s="4" t="str">
        <f>HYPERLINK("https://scryfall.com/card/td0/A110/xira-arien","Xira Arien")</f>
        <v>Xira Arien</v>
      </c>
      <c r="B1473" s="5">
        <v>1522</v>
      </c>
      <c r="C1473" s="6">
        <v>2</v>
      </c>
      <c r="D1473" s="6">
        <v>5</v>
      </c>
      <c r="E1473" s="6">
        <v>4</v>
      </c>
      <c r="F1473" s="6">
        <v>11</v>
      </c>
      <c r="G1473" s="6">
        <v>1472</v>
      </c>
      <c r="H1473" s="7"/>
    </row>
    <row r="1474" spans="1:8">
      <c r="A1474" s="4" t="s">
        <v>876</v>
      </c>
      <c r="B1474" s="5">
        <v>1523</v>
      </c>
      <c r="C1474" s="6">
        <v>2</v>
      </c>
      <c r="D1474" s="6">
        <v>3</v>
      </c>
      <c r="E1474" s="6">
        <v>6</v>
      </c>
      <c r="F1474" s="6">
        <v>11</v>
      </c>
      <c r="G1474" s="6">
        <v>1473</v>
      </c>
      <c r="H1474" s="7"/>
    </row>
    <row r="1475" spans="1:8">
      <c r="A1475" s="4" t="s">
        <v>877</v>
      </c>
      <c r="B1475" s="5">
        <v>1524</v>
      </c>
      <c r="C1475" s="6">
        <v>1</v>
      </c>
      <c r="D1475" s="6">
        <v>3</v>
      </c>
      <c r="E1475" s="6">
        <v>7</v>
      </c>
      <c r="F1475" s="6">
        <v>11</v>
      </c>
      <c r="G1475" s="6">
        <v>1474</v>
      </c>
      <c r="H1475" s="7"/>
    </row>
    <row r="1476" spans="1:8">
      <c r="A1476" s="4" t="s">
        <v>880</v>
      </c>
      <c r="B1476" s="5">
        <v>1527</v>
      </c>
      <c r="C1476" s="6">
        <v>1</v>
      </c>
      <c r="D1476" s="6">
        <v>3</v>
      </c>
      <c r="E1476" s="6">
        <v>7</v>
      </c>
      <c r="F1476" s="6">
        <v>11</v>
      </c>
      <c r="G1476" s="6">
        <v>1475</v>
      </c>
      <c r="H1476" s="7"/>
    </row>
    <row r="1477" spans="1:8">
      <c r="A1477" s="4" t="s">
        <v>883</v>
      </c>
      <c r="B1477" s="5">
        <v>1535</v>
      </c>
      <c r="C1477" s="6">
        <v>2</v>
      </c>
      <c r="D1477" s="6">
        <v>5</v>
      </c>
      <c r="E1477" s="6">
        <v>4</v>
      </c>
      <c r="F1477" s="6">
        <v>11</v>
      </c>
      <c r="G1477" s="6">
        <v>1476</v>
      </c>
      <c r="H1477" s="7"/>
    </row>
    <row r="1478" spans="1:8">
      <c r="A1478" s="4" t="s">
        <v>885</v>
      </c>
      <c r="B1478" s="5">
        <v>1539</v>
      </c>
      <c r="C1478" s="6">
        <v>0</v>
      </c>
      <c r="D1478" s="6">
        <v>5</v>
      </c>
      <c r="E1478" s="6">
        <v>6</v>
      </c>
      <c r="F1478" s="6">
        <v>11</v>
      </c>
      <c r="G1478" s="6">
        <v>1477</v>
      </c>
      <c r="H1478" s="7"/>
    </row>
    <row r="1479" spans="1:8">
      <c r="A1479" s="4" t="s">
        <v>891</v>
      </c>
      <c r="B1479" s="5">
        <v>1554</v>
      </c>
      <c r="C1479" s="6">
        <v>1</v>
      </c>
      <c r="D1479" s="6">
        <v>2</v>
      </c>
      <c r="E1479" s="6">
        <v>8</v>
      </c>
      <c r="F1479" s="6">
        <v>11</v>
      </c>
      <c r="G1479" s="6">
        <v>1478</v>
      </c>
      <c r="H1479" s="7"/>
    </row>
    <row r="1480" spans="1:8">
      <c r="A1480" s="4" t="s">
        <v>895</v>
      </c>
      <c r="B1480" s="5">
        <v>1559</v>
      </c>
      <c r="C1480" s="6">
        <v>1</v>
      </c>
      <c r="D1480" s="6">
        <v>0</v>
      </c>
      <c r="E1480" s="6">
        <v>10</v>
      </c>
      <c r="F1480" s="6">
        <v>11</v>
      </c>
      <c r="G1480" s="6">
        <v>1479</v>
      </c>
      <c r="H1480" s="7"/>
    </row>
    <row r="1481" spans="1:8">
      <c r="A1481" s="4" t="s">
        <v>898</v>
      </c>
      <c r="B1481" s="5">
        <v>1569</v>
      </c>
      <c r="C1481" s="6">
        <v>2</v>
      </c>
      <c r="D1481" s="6">
        <v>3</v>
      </c>
      <c r="E1481" s="6">
        <v>6</v>
      </c>
      <c r="F1481" s="6">
        <v>11</v>
      </c>
      <c r="G1481" s="6">
        <v>1480</v>
      </c>
      <c r="H1481" s="7"/>
    </row>
    <row r="1482" spans="1:8">
      <c r="A1482" s="4" t="str">
        <f>HYPERLINK("https://scryfall.com/card/c17/69/raksha-golden-cub","Raksha Golden Cub")</f>
        <v>Raksha Golden Cub</v>
      </c>
      <c r="B1482" s="5">
        <v>1570</v>
      </c>
      <c r="C1482" s="6">
        <v>2</v>
      </c>
      <c r="D1482" s="6">
        <v>5</v>
      </c>
      <c r="E1482" s="6">
        <v>4</v>
      </c>
      <c r="F1482" s="6">
        <v>11</v>
      </c>
      <c r="G1482" s="6">
        <v>1481</v>
      </c>
      <c r="H1482" s="7"/>
    </row>
    <row r="1483" spans="1:8">
      <c r="A1483" s="4" t="s">
        <v>903</v>
      </c>
      <c r="B1483" s="5">
        <v>1585</v>
      </c>
      <c r="C1483" s="6">
        <v>2</v>
      </c>
      <c r="D1483" s="6">
        <v>2</v>
      </c>
      <c r="E1483" s="6">
        <v>7</v>
      </c>
      <c r="F1483" s="6">
        <v>11</v>
      </c>
      <c r="G1483" s="6">
        <v>1482</v>
      </c>
      <c r="H1483" s="7"/>
    </row>
    <row r="1484" spans="1:8">
      <c r="A1484" s="4" t="str">
        <f>HYPERLINK("https://scryfall.com/card/arb/128/jenara-asura-of-war","Jenara, Asura of War")</f>
        <v>Jenara, Asura of War</v>
      </c>
      <c r="B1484" s="5">
        <v>1599</v>
      </c>
      <c r="C1484" s="6">
        <v>2</v>
      </c>
      <c r="D1484" s="6">
        <v>3</v>
      </c>
      <c r="E1484" s="6">
        <v>6</v>
      </c>
      <c r="F1484" s="6">
        <v>11</v>
      </c>
      <c r="G1484" s="6">
        <v>1483</v>
      </c>
      <c r="H1484" s="7"/>
    </row>
    <row r="1485" spans="1:8">
      <c r="A1485" s="4" t="str">
        <f>HYPERLINK("https://scryfall.com/card/m19/219/palladia-mors-the-ruiner","Palladia-Mors, the Ruiner")</f>
        <v>Palladia-Mors, the Ruiner</v>
      </c>
      <c r="B1485" s="5">
        <v>1602</v>
      </c>
      <c r="C1485" s="6">
        <v>1</v>
      </c>
      <c r="D1485" s="6">
        <v>3</v>
      </c>
      <c r="E1485" s="6">
        <v>7</v>
      </c>
      <c r="F1485" s="6">
        <v>11</v>
      </c>
      <c r="G1485" s="6">
        <v>1484</v>
      </c>
      <c r="H1485" s="7"/>
    </row>
    <row r="1486" spans="1:8">
      <c r="A1486" s="4" t="str">
        <f>HYPERLINK("https://scryfall.com/card/chk/143/seizan-perverter-of-truth","Seizan, Perverter of Truth")</f>
        <v>Seizan, Perverter of Truth</v>
      </c>
      <c r="B1486" s="5">
        <v>1607</v>
      </c>
      <c r="C1486" s="6">
        <v>1</v>
      </c>
      <c r="D1486" s="6">
        <v>7</v>
      </c>
      <c r="E1486" s="6">
        <v>3</v>
      </c>
      <c r="F1486" s="6">
        <v>11</v>
      </c>
      <c r="G1486" s="6">
        <v>1485</v>
      </c>
      <c r="H1486" s="7"/>
    </row>
    <row r="1487" spans="1:8">
      <c r="A1487" s="4" t="s">
        <v>910</v>
      </c>
      <c r="B1487" s="5">
        <v>1615</v>
      </c>
      <c r="C1487" s="6">
        <v>2</v>
      </c>
      <c r="D1487" s="6">
        <v>1</v>
      </c>
      <c r="E1487" s="6">
        <v>8</v>
      </c>
      <c r="F1487" s="6">
        <v>11</v>
      </c>
      <c r="G1487" s="6">
        <v>1486</v>
      </c>
      <c r="H1487" s="7"/>
    </row>
    <row r="1488" spans="1:8">
      <c r="A1488" s="4" t="s">
        <v>911</v>
      </c>
      <c r="B1488" s="5">
        <v>1616</v>
      </c>
      <c r="C1488" s="6">
        <v>1</v>
      </c>
      <c r="D1488" s="6">
        <v>4</v>
      </c>
      <c r="E1488" s="6">
        <v>6</v>
      </c>
      <c r="F1488" s="6">
        <v>11</v>
      </c>
      <c r="G1488" s="6">
        <v>1487</v>
      </c>
      <c r="H1488" s="7"/>
    </row>
    <row r="1489" spans="1:8">
      <c r="A1489" s="4" t="s">
        <v>914</v>
      </c>
      <c r="B1489" s="5">
        <v>1623</v>
      </c>
      <c r="C1489" s="6">
        <v>1</v>
      </c>
      <c r="D1489" s="6">
        <v>2</v>
      </c>
      <c r="E1489" s="6">
        <v>8</v>
      </c>
      <c r="F1489" s="6">
        <v>11</v>
      </c>
      <c r="G1489" s="6">
        <v>1488</v>
      </c>
      <c r="H1489" s="7"/>
    </row>
    <row r="1490" spans="1:8">
      <c r="A1490" s="4" t="s">
        <v>921</v>
      </c>
      <c r="B1490" s="5">
        <v>1648</v>
      </c>
      <c r="C1490" s="6">
        <v>1</v>
      </c>
      <c r="D1490" s="6">
        <v>2</v>
      </c>
      <c r="E1490" s="6">
        <v>8</v>
      </c>
      <c r="F1490" s="6">
        <v>11</v>
      </c>
      <c r="G1490" s="6">
        <v>1489</v>
      </c>
      <c r="H1490" s="7"/>
    </row>
    <row r="1491" spans="1:8">
      <c r="A1491" s="4" t="str">
        <f>HYPERLINK("https://scryfall.com/card/a25/218/stangg","Stangg")</f>
        <v>Stangg</v>
      </c>
      <c r="B1491" s="5">
        <v>1651</v>
      </c>
      <c r="C1491" s="6">
        <v>0</v>
      </c>
      <c r="D1491" s="6">
        <v>6</v>
      </c>
      <c r="E1491" s="6">
        <v>5</v>
      </c>
      <c r="F1491" s="6">
        <v>11</v>
      </c>
      <c r="G1491" s="6">
        <v>1490</v>
      </c>
      <c r="H1491" s="7"/>
    </row>
    <row r="1492" spans="1:8">
      <c r="A1492" s="4" t="s">
        <v>928</v>
      </c>
      <c r="B1492" s="5">
        <v>1672</v>
      </c>
      <c r="C1492" s="6">
        <v>1</v>
      </c>
      <c r="D1492" s="6">
        <v>2</v>
      </c>
      <c r="E1492" s="6">
        <v>8</v>
      </c>
      <c r="F1492" s="6">
        <v>11</v>
      </c>
      <c r="G1492" s="6">
        <v>1491</v>
      </c>
      <c r="H1492" s="7"/>
    </row>
    <row r="1493" spans="1:8">
      <c r="A1493" s="4" t="s">
        <v>712</v>
      </c>
      <c r="B1493" s="5">
        <v>1180</v>
      </c>
      <c r="C1493" s="6">
        <v>1</v>
      </c>
      <c r="D1493" s="6">
        <v>2</v>
      </c>
      <c r="E1493" s="6">
        <v>7</v>
      </c>
      <c r="F1493" s="6">
        <v>10</v>
      </c>
      <c r="G1493" s="6">
        <v>1492</v>
      </c>
      <c r="H1493" s="7"/>
    </row>
    <row r="1494" spans="1:8">
      <c r="A1494" s="4" t="str">
        <f>HYPERLINK("https://scryfall.com/card/tsp/243/mishra-artificer-prodigy","Mishra, Artificer Prodigy")</f>
        <v>Mishra, Artificer Prodigy</v>
      </c>
      <c r="B1494" s="5">
        <v>1193</v>
      </c>
      <c r="C1494" s="6">
        <v>0</v>
      </c>
      <c r="D1494" s="6">
        <v>6</v>
      </c>
      <c r="E1494" s="6">
        <v>4</v>
      </c>
      <c r="F1494" s="6">
        <v>10</v>
      </c>
      <c r="G1494" s="6">
        <v>1493</v>
      </c>
      <c r="H1494" s="7"/>
    </row>
    <row r="1495" spans="1:8">
      <c r="A1495" s="4" t="str">
        <f>HYPERLINK("https://scryfall.com/card/me3/141/angus-mackenzie","Angus Mackenzie")</f>
        <v>Angus Mackenzie</v>
      </c>
      <c r="B1495" s="5">
        <v>1208</v>
      </c>
      <c r="C1495" s="6">
        <v>2</v>
      </c>
      <c r="D1495" s="6">
        <v>5</v>
      </c>
      <c r="E1495" s="6">
        <v>3</v>
      </c>
      <c r="F1495" s="6">
        <v>10</v>
      </c>
      <c r="G1495" s="6">
        <v>1494</v>
      </c>
      <c r="H1495" s="7"/>
    </row>
    <row r="1496" spans="1:8">
      <c r="A1496" s="4" t="str">
        <f>HYPERLINK("https://scryfall.com/card/akh/203/neheb-the-worthy","Neheb, the Worthy")</f>
        <v>Neheb, the Worthy</v>
      </c>
      <c r="B1496" s="5">
        <v>1223</v>
      </c>
      <c r="C1496" s="6">
        <v>2</v>
      </c>
      <c r="D1496" s="6">
        <v>4</v>
      </c>
      <c r="E1496" s="6">
        <v>4</v>
      </c>
      <c r="F1496" s="6">
        <v>10</v>
      </c>
      <c r="G1496" s="6">
        <v>1495</v>
      </c>
      <c r="H1496" s="7"/>
    </row>
    <row r="1497" spans="1:8">
      <c r="A1497" s="4" t="str">
        <f>HYPERLINK("https://scryfall.com/card/chk/229/myojin-of-lifes-web","Myojin of Life's Web")</f>
        <v>Myojin of Life's Web</v>
      </c>
      <c r="B1497" s="5">
        <v>1256</v>
      </c>
      <c r="C1497" s="6">
        <v>2</v>
      </c>
      <c r="D1497" s="6">
        <v>5</v>
      </c>
      <c r="E1497" s="6">
        <v>3</v>
      </c>
      <c r="F1497" s="6">
        <v>10</v>
      </c>
      <c r="G1497" s="6">
        <v>1496</v>
      </c>
      <c r="H1497" s="7"/>
    </row>
    <row r="1498" spans="1:8">
      <c r="A1498" s="4" t="str">
        <f>HYPERLINK("https://scryfall.com/card/me3/151/hazezon-tamar","Hazezon Tamar")</f>
        <v>Hazezon Tamar</v>
      </c>
      <c r="B1498" s="5">
        <v>1280</v>
      </c>
      <c r="C1498" s="6">
        <v>2</v>
      </c>
      <c r="D1498" s="6">
        <v>5</v>
      </c>
      <c r="E1498" s="6">
        <v>3</v>
      </c>
      <c r="F1498" s="6">
        <v>10</v>
      </c>
      <c r="G1498" s="6">
        <v>1497</v>
      </c>
      <c r="H1498" s="7"/>
    </row>
    <row r="1499" spans="1:8">
      <c r="A1499" s="4" t="str">
        <f>HYPERLINK("https://scryfall.com/card/akh/136/hazoret-the-fervent","Hazoret the Fervent")</f>
        <v>Hazoret the Fervent</v>
      </c>
      <c r="B1499" s="5">
        <v>1284</v>
      </c>
      <c r="C1499" s="6">
        <v>1</v>
      </c>
      <c r="D1499" s="6">
        <v>1</v>
      </c>
      <c r="E1499" s="6">
        <v>8</v>
      </c>
      <c r="F1499" s="6">
        <v>10</v>
      </c>
      <c r="G1499" s="6">
        <v>1498</v>
      </c>
      <c r="H1499" s="7"/>
    </row>
    <row r="1500" spans="1:8">
      <c r="A1500" s="4" t="str">
        <f>HYPERLINK("https://scryfall.com/card/inv/281/tsabo-tavoc","Tsabo Tavoc")</f>
        <v>Tsabo Tavoc</v>
      </c>
      <c r="B1500" s="5">
        <v>1300</v>
      </c>
      <c r="C1500" s="6">
        <v>1</v>
      </c>
      <c r="D1500" s="6">
        <v>3</v>
      </c>
      <c r="E1500" s="6">
        <v>6</v>
      </c>
      <c r="F1500" s="6">
        <v>10</v>
      </c>
      <c r="G1500" s="6">
        <v>1499</v>
      </c>
      <c r="H1500" s="7"/>
    </row>
    <row r="1501" spans="1:8">
      <c r="A1501" s="4" t="str">
        <f>HYPERLINK("https://scryfall.com/card/sok/151/iname-as-one","Iname as One")</f>
        <v>Iname as One</v>
      </c>
      <c r="B1501" s="5">
        <v>1304</v>
      </c>
      <c r="C1501" s="6">
        <v>1</v>
      </c>
      <c r="D1501" s="6">
        <v>1</v>
      </c>
      <c r="E1501" s="6">
        <v>8</v>
      </c>
      <c r="F1501" s="6">
        <v>10</v>
      </c>
      <c r="G1501" s="6">
        <v>1500</v>
      </c>
      <c r="H1501" s="7"/>
    </row>
    <row r="1502" spans="1:8">
      <c r="A1502" s="4" t="str">
        <f>HYPERLINK("https://scryfall.com/card/gk2/100/ulasht-the-hate-seed","Ulasht, the Hate Seed")</f>
        <v>Ulasht, the Hate Seed</v>
      </c>
      <c r="B1502" s="5">
        <v>1327</v>
      </c>
      <c r="C1502" s="6">
        <v>2</v>
      </c>
      <c r="D1502" s="6">
        <v>3</v>
      </c>
      <c r="E1502" s="6">
        <v>5</v>
      </c>
      <c r="F1502" s="6">
        <v>10</v>
      </c>
      <c r="G1502" s="6">
        <v>1501</v>
      </c>
      <c r="H1502" s="7"/>
    </row>
    <row r="1503" spans="1:8">
      <c r="A1503" s="4" t="str">
        <f>HYPERLINK("https://scryfall.com/card/ths/207/tymaret-the-murder-king","Tymaret, the Murder King")</f>
        <v>Tymaret, the Murder King</v>
      </c>
      <c r="B1503" s="5">
        <v>1339</v>
      </c>
      <c r="C1503" s="6">
        <v>1</v>
      </c>
      <c r="D1503" s="6">
        <v>3</v>
      </c>
      <c r="E1503" s="6">
        <v>6</v>
      </c>
      <c r="F1503" s="6">
        <v>10</v>
      </c>
      <c r="G1503" s="6">
        <v>1502</v>
      </c>
      <c r="H1503" s="7"/>
    </row>
    <row r="1504" spans="1:8">
      <c r="A1504" s="4" t="str">
        <f>HYPERLINK("https://scryfall.com/card/plc/3/crovax-ascendant-hero","Crovax, Ascendant Hero")</f>
        <v>Crovax, Ascendant Hero</v>
      </c>
      <c r="B1504" s="5">
        <v>1341</v>
      </c>
      <c r="C1504" s="6">
        <v>3</v>
      </c>
      <c r="D1504" s="6">
        <v>3</v>
      </c>
      <c r="E1504" s="6">
        <v>4</v>
      </c>
      <c r="F1504" s="6">
        <v>10</v>
      </c>
      <c r="G1504" s="6">
        <v>1503</v>
      </c>
      <c r="H1504" s="7"/>
    </row>
    <row r="1505" spans="1:8">
      <c r="A1505" s="4" t="str">
        <f>HYPERLINK("https://scryfall.com/card/emn/191/ulrich-of-the-krallenhorde-ulrich-uncontested-alpha","Ulrich of the Krallenhorde")</f>
        <v>Ulrich of the Krallenhorde</v>
      </c>
      <c r="B1505" s="5">
        <v>1356</v>
      </c>
      <c r="C1505" s="6">
        <v>2</v>
      </c>
      <c r="D1505" s="6">
        <v>4</v>
      </c>
      <c r="E1505" s="6">
        <v>4</v>
      </c>
      <c r="F1505" s="6">
        <v>10</v>
      </c>
      <c r="G1505" s="6">
        <v>1504</v>
      </c>
      <c r="H1505" s="7"/>
    </row>
    <row r="1506" spans="1:8">
      <c r="A1506" s="4" t="str">
        <f>HYPERLINK("https://scryfall.com/card/a25/76/vendilion-clique","Vendilion Clique")</f>
        <v>Vendilion Clique</v>
      </c>
      <c r="B1506" s="5">
        <v>1370</v>
      </c>
      <c r="C1506" s="6">
        <v>1</v>
      </c>
      <c r="D1506" s="6">
        <v>0</v>
      </c>
      <c r="E1506" s="6">
        <v>9</v>
      </c>
      <c r="F1506" s="6">
        <v>10</v>
      </c>
      <c r="G1506" s="6">
        <v>1505</v>
      </c>
      <c r="H1506" s="7"/>
    </row>
    <row r="1507" spans="1:8">
      <c r="A1507" s="4" t="s">
        <v>821</v>
      </c>
      <c r="B1507" s="5">
        <v>1385</v>
      </c>
      <c r="C1507" s="6">
        <v>1</v>
      </c>
      <c r="D1507" s="6">
        <v>3</v>
      </c>
      <c r="E1507" s="6">
        <v>6</v>
      </c>
      <c r="F1507" s="6">
        <v>10</v>
      </c>
      <c r="G1507" s="6">
        <v>1506</v>
      </c>
      <c r="H1507" s="7"/>
    </row>
    <row r="1508" spans="1:8">
      <c r="A1508" s="4" t="s">
        <v>827</v>
      </c>
      <c r="B1508" s="5">
        <v>1398</v>
      </c>
      <c r="C1508" s="6">
        <v>2</v>
      </c>
      <c r="D1508" s="6">
        <v>3</v>
      </c>
      <c r="E1508" s="6">
        <v>5</v>
      </c>
      <c r="F1508" s="6">
        <v>10</v>
      </c>
      <c r="G1508" s="6">
        <v>1507</v>
      </c>
      <c r="H1508" s="7"/>
    </row>
    <row r="1509" spans="1:8">
      <c r="A1509" s="4" t="s">
        <v>837</v>
      </c>
      <c r="B1509" s="5">
        <v>1425</v>
      </c>
      <c r="C1509" s="6">
        <v>1</v>
      </c>
      <c r="D1509" s="6">
        <v>2</v>
      </c>
      <c r="E1509" s="6">
        <v>7</v>
      </c>
      <c r="F1509" s="6">
        <v>10</v>
      </c>
      <c r="G1509" s="6">
        <v>1508</v>
      </c>
      <c r="H1509" s="7"/>
    </row>
    <row r="1510" spans="1:8">
      <c r="A1510" s="4" t="str">
        <f>HYPERLINK("https://scryfall.com/card/dds/41/zo-zu-the-punisher","Zo-Zu the Punisher")</f>
        <v>Zo-Zu the Punisher</v>
      </c>
      <c r="B1510" s="5">
        <v>1429</v>
      </c>
      <c r="C1510" s="6">
        <v>1</v>
      </c>
      <c r="D1510" s="6">
        <v>0</v>
      </c>
      <c r="E1510" s="6">
        <v>9</v>
      </c>
      <c r="F1510" s="6">
        <v>10</v>
      </c>
      <c r="G1510" s="6">
        <v>1509</v>
      </c>
      <c r="H1510" s="7"/>
    </row>
    <row r="1511" spans="1:8">
      <c r="A1511" s="4" t="str">
        <f>HYPERLINK("https://scryfall.com/card/inv/253/kangee-aerie-keeper","Kangee, Aerie Keeper")</f>
        <v>Kangee, Aerie Keeper</v>
      </c>
      <c r="B1511" s="5">
        <v>1440</v>
      </c>
      <c r="C1511" s="6">
        <v>1</v>
      </c>
      <c r="D1511" s="6">
        <v>7</v>
      </c>
      <c r="E1511" s="6">
        <v>2</v>
      </c>
      <c r="F1511" s="6">
        <v>10</v>
      </c>
      <c r="G1511" s="6">
        <v>1510</v>
      </c>
      <c r="H1511" s="7"/>
    </row>
    <row r="1512" spans="1:8">
      <c r="A1512" s="4" t="str">
        <f>HYPERLINK("https://scryfall.com/card/dom/204/shanna-sisays-legacy","Shanna, Sisay's Legacy")</f>
        <v>Shanna, Sisay's Legacy</v>
      </c>
      <c r="B1512" s="5">
        <v>1446</v>
      </c>
      <c r="C1512" s="6">
        <v>0</v>
      </c>
      <c r="D1512" s="6">
        <v>1</v>
      </c>
      <c r="E1512" s="6">
        <v>9</v>
      </c>
      <c r="F1512" s="6">
        <v>10</v>
      </c>
      <c r="G1512" s="6">
        <v>1511</v>
      </c>
      <c r="H1512" s="7"/>
    </row>
    <row r="1513" spans="1:8">
      <c r="A1513" s="4" t="str">
        <f>HYPERLINK("https://scryfall.com/card/me3/150/halfdane","Halfdane")</f>
        <v>Halfdane</v>
      </c>
      <c r="B1513" s="5">
        <v>1456</v>
      </c>
      <c r="C1513" s="6">
        <v>1</v>
      </c>
      <c r="D1513" s="6">
        <v>5</v>
      </c>
      <c r="E1513" s="6">
        <v>4</v>
      </c>
      <c r="F1513" s="6">
        <v>10</v>
      </c>
      <c r="G1513" s="6">
        <v>1512</v>
      </c>
      <c r="H1513" s="7"/>
    </row>
    <row r="1514" spans="1:8">
      <c r="A1514" s="4" t="str">
        <f>HYPERLINK("https://scryfall.com/card/tor/91/balthor-the-stout","Balthor the Stout")</f>
        <v>Balthor the Stout</v>
      </c>
      <c r="B1514" s="5">
        <v>1457</v>
      </c>
      <c r="C1514" s="6">
        <v>2</v>
      </c>
      <c r="D1514" s="6">
        <v>4</v>
      </c>
      <c r="E1514" s="6">
        <v>4</v>
      </c>
      <c r="F1514" s="6">
        <v>10</v>
      </c>
      <c r="G1514" s="6">
        <v>1513</v>
      </c>
      <c r="H1514" s="7"/>
    </row>
    <row r="1515" spans="1:8">
      <c r="A1515" s="4" t="str">
        <f>HYPERLINK("https://scryfall.com/card/tsb/26/mistform-ultimus","Mistform Ultimus")</f>
        <v>Mistform Ultimus</v>
      </c>
      <c r="B1515" s="5">
        <v>1459</v>
      </c>
      <c r="C1515" s="6">
        <v>0</v>
      </c>
      <c r="D1515" s="6">
        <v>7</v>
      </c>
      <c r="E1515" s="6">
        <v>3</v>
      </c>
      <c r="F1515" s="6">
        <v>10</v>
      </c>
      <c r="G1515" s="6">
        <v>1514</v>
      </c>
      <c r="H1515" s="7"/>
    </row>
    <row r="1516" spans="1:8">
      <c r="A1516" s="4" t="str">
        <f>HYPERLINK("https://scryfall.com/card/me3/19/liu-bei-lord-of-shu","Liu Bei, Lord of Shu")</f>
        <v>Liu Bei, Lord of Shu</v>
      </c>
      <c r="B1516" s="5">
        <v>1464</v>
      </c>
      <c r="C1516" s="6">
        <v>1</v>
      </c>
      <c r="D1516" s="6">
        <v>3</v>
      </c>
      <c r="E1516" s="6">
        <v>6</v>
      </c>
      <c r="F1516" s="6">
        <v>10</v>
      </c>
      <c r="G1516" s="6">
        <v>1515</v>
      </c>
      <c r="H1516" s="7"/>
    </row>
    <row r="1517" spans="1:8">
      <c r="A1517" s="4" t="str">
        <f>HYPERLINK("https://scryfall.com/card/mm2/176/ghost-council-of-orzhova","Ghost Council of Orzhova")</f>
        <v>Ghost Council of Orzhova</v>
      </c>
      <c r="B1517" s="5">
        <v>1471</v>
      </c>
      <c r="C1517" s="6">
        <v>2</v>
      </c>
      <c r="D1517" s="6">
        <v>5</v>
      </c>
      <c r="E1517" s="6">
        <v>3</v>
      </c>
      <c r="F1517" s="6">
        <v>10</v>
      </c>
      <c r="G1517" s="6">
        <v>1516</v>
      </c>
      <c r="H1517" s="7"/>
    </row>
    <row r="1518" spans="1:8">
      <c r="A1518" s="4" t="str">
        <f>HYPERLINK("https://scryfall.com/card/dom/193/darigaaz-reincarnated","Darigaaz Reincarnated")</f>
        <v>Darigaaz Reincarnated</v>
      </c>
      <c r="B1518" s="5">
        <v>1477</v>
      </c>
      <c r="C1518" s="6">
        <v>2</v>
      </c>
      <c r="D1518" s="6">
        <v>5</v>
      </c>
      <c r="E1518" s="6">
        <v>3</v>
      </c>
      <c r="F1518" s="6">
        <v>10</v>
      </c>
      <c r="G1518" s="6">
        <v>1517</v>
      </c>
      <c r="H1518" s="7"/>
    </row>
    <row r="1519" spans="1:8">
      <c r="A1519" s="4" t="str">
        <f>HYPERLINK("https://scryfall.com/card/dom/234/traxos-scourge-of-kroog","Traxos, Scourge of Kroog")</f>
        <v>Traxos, Scourge of Kroog</v>
      </c>
      <c r="B1519" s="5">
        <v>1493</v>
      </c>
      <c r="C1519" s="6">
        <v>1</v>
      </c>
      <c r="D1519" s="6">
        <v>2</v>
      </c>
      <c r="E1519" s="6">
        <v>7</v>
      </c>
      <c r="F1519" s="6">
        <v>10</v>
      </c>
      <c r="G1519" s="6">
        <v>1518</v>
      </c>
      <c r="H1519" s="7"/>
    </row>
    <row r="1520" spans="1:8">
      <c r="A1520" s="4" t="str">
        <f>HYPERLINK("https://scryfall.com/card/mor/65/maralen-of-the-mornsong","Maralen of the Mornsong")</f>
        <v>Maralen of the Mornsong</v>
      </c>
      <c r="B1520" s="5">
        <v>1503</v>
      </c>
      <c r="C1520" s="6">
        <v>1</v>
      </c>
      <c r="D1520" s="6">
        <v>6</v>
      </c>
      <c r="E1520" s="6">
        <v>3</v>
      </c>
      <c r="F1520" s="6">
        <v>10</v>
      </c>
      <c r="G1520" s="6">
        <v>1519</v>
      </c>
      <c r="H1520" s="7"/>
    </row>
    <row r="1521" spans="1:8">
      <c r="A1521" s="4" t="str">
        <f>HYPERLINK("https://scryfall.com/card/m19/186/goreclaw-terror-of-qal-sisma","Goreclaw, Terror of Qal Sisma")</f>
        <v>Goreclaw, Terror of Qal Sisma</v>
      </c>
      <c r="B1521" s="5">
        <v>1508</v>
      </c>
      <c r="C1521" s="6">
        <v>2</v>
      </c>
      <c r="D1521" s="6">
        <v>4</v>
      </c>
      <c r="E1521" s="6">
        <v>4</v>
      </c>
      <c r="F1521" s="6">
        <v>10</v>
      </c>
      <c r="G1521" s="6">
        <v>1520</v>
      </c>
      <c r="H1521" s="7"/>
    </row>
    <row r="1522" spans="1:8">
      <c r="A1522" s="4" t="s">
        <v>873</v>
      </c>
      <c r="B1522" s="5">
        <v>1512</v>
      </c>
      <c r="C1522" s="6">
        <v>1</v>
      </c>
      <c r="D1522" s="6">
        <v>5</v>
      </c>
      <c r="E1522" s="6">
        <v>4</v>
      </c>
      <c r="F1522" s="6">
        <v>10</v>
      </c>
      <c r="G1522" s="6">
        <v>1521</v>
      </c>
      <c r="H1522" s="7"/>
    </row>
    <row r="1523" spans="1:8">
      <c r="A1523" s="4" t="str">
        <f>HYPERLINK("https://scryfall.com/card/tsp/114/lim-d%C3%BBl-the-necromancer","Lim-Dûl the Necromancer")</f>
        <v>Lim-Dûl the Necromancer</v>
      </c>
      <c r="B1523" s="5">
        <v>1521</v>
      </c>
      <c r="C1523" s="6">
        <v>2</v>
      </c>
      <c r="D1523" s="6">
        <v>5</v>
      </c>
      <c r="E1523" s="6">
        <v>3</v>
      </c>
      <c r="F1523" s="6">
        <v>10</v>
      </c>
      <c r="G1523" s="6">
        <v>1522</v>
      </c>
      <c r="H1523" s="7"/>
    </row>
    <row r="1524" spans="1:8">
      <c r="A1524" s="4" t="s">
        <v>879</v>
      </c>
      <c r="B1524" s="5">
        <v>1526</v>
      </c>
      <c r="C1524" s="6">
        <v>1</v>
      </c>
      <c r="D1524" s="6">
        <v>3</v>
      </c>
      <c r="E1524" s="6">
        <v>6</v>
      </c>
      <c r="F1524" s="6">
        <v>10</v>
      </c>
      <c r="G1524" s="6">
        <v>1523</v>
      </c>
      <c r="H1524" s="7"/>
    </row>
    <row r="1525" spans="1:8">
      <c r="A1525" s="4" t="s">
        <v>884</v>
      </c>
      <c r="B1525" s="5">
        <v>1538</v>
      </c>
      <c r="C1525" s="6">
        <v>1</v>
      </c>
      <c r="D1525" s="6">
        <v>2</v>
      </c>
      <c r="E1525" s="6">
        <v>7</v>
      </c>
      <c r="F1525" s="6">
        <v>10</v>
      </c>
      <c r="G1525" s="6">
        <v>1524</v>
      </c>
      <c r="H1525" s="7"/>
    </row>
    <row r="1526" spans="1:8">
      <c r="A1526" s="4" t="str">
        <f>HYPERLINK("https://scryfall.com/card/gk1/17/mirko-vosk-mind-drinker","Mirko Vosk, Mind Drinker")</f>
        <v>Mirko Vosk, Mind Drinker</v>
      </c>
      <c r="B1526" s="5">
        <v>1542</v>
      </c>
      <c r="C1526" s="6">
        <v>2</v>
      </c>
      <c r="D1526" s="6">
        <v>4</v>
      </c>
      <c r="E1526" s="6">
        <v>4</v>
      </c>
      <c r="F1526" s="6">
        <v>10</v>
      </c>
      <c r="G1526" s="6">
        <v>1525</v>
      </c>
      <c r="H1526" s="7"/>
    </row>
    <row r="1527" spans="1:8">
      <c r="A1527" s="4" t="str">
        <f>HYPERLINK("https://scryfall.com/card/dgm/69/exava-rakdos-blood-witch","Exava, Rakdos Blood Witch")</f>
        <v>Exava, Rakdos Blood Witch</v>
      </c>
      <c r="B1527" s="5">
        <v>1551</v>
      </c>
      <c r="C1527" s="6">
        <v>2</v>
      </c>
      <c r="D1527" s="6">
        <v>5</v>
      </c>
      <c r="E1527" s="6">
        <v>3</v>
      </c>
      <c r="F1527" s="6">
        <v>10</v>
      </c>
      <c r="G1527" s="6">
        <v>1526</v>
      </c>
      <c r="H1527" s="7"/>
    </row>
    <row r="1528" spans="1:8">
      <c r="A1528" s="4" t="s">
        <v>892</v>
      </c>
      <c r="B1528" s="5">
        <v>1556</v>
      </c>
      <c r="C1528" s="6">
        <v>1</v>
      </c>
      <c r="D1528" s="6">
        <v>2</v>
      </c>
      <c r="E1528" s="6">
        <v>7</v>
      </c>
      <c r="F1528" s="6">
        <v>10</v>
      </c>
      <c r="G1528" s="6">
        <v>1527</v>
      </c>
      <c r="H1528" s="7"/>
    </row>
    <row r="1529" spans="1:8">
      <c r="A1529" s="4" t="str">
        <f>HYPERLINK("https://scryfall.com/card/grn/153/aurelia-exemplar-of-justice","Aurelia, Exemplar of Justice")</f>
        <v>Aurelia, Exemplar of Justice</v>
      </c>
      <c r="B1529" s="5">
        <v>1566</v>
      </c>
      <c r="C1529" s="6">
        <v>2</v>
      </c>
      <c r="D1529" s="6">
        <v>3</v>
      </c>
      <c r="E1529" s="6">
        <v>5</v>
      </c>
      <c r="F1529" s="6">
        <v>10</v>
      </c>
      <c r="G1529" s="6">
        <v>1528</v>
      </c>
      <c r="H1529" s="7"/>
    </row>
    <row r="1530" spans="1:8">
      <c r="A1530" s="4" t="str">
        <f>HYPERLINK("https://scryfall.com/card/plc/36/braids-conjurer-adept","Braids, Conjurer Adept")</f>
        <v>Braids, Conjurer Adept</v>
      </c>
      <c r="B1530" s="5">
        <v>1571</v>
      </c>
      <c r="C1530" s="6">
        <v>1</v>
      </c>
      <c r="D1530" s="6">
        <v>6</v>
      </c>
      <c r="E1530" s="6">
        <v>3</v>
      </c>
      <c r="F1530" s="6">
        <v>10</v>
      </c>
      <c r="G1530" s="6">
        <v>1529</v>
      </c>
      <c r="H1530" s="7"/>
    </row>
    <row r="1531" spans="1:8">
      <c r="A1531" s="4" t="str">
        <f>HYPERLINK("https://scryfall.com/card/con/71/rakka-mar","Rakka Mar")</f>
        <v>Rakka Mar</v>
      </c>
      <c r="B1531" s="5">
        <v>1578</v>
      </c>
      <c r="C1531" s="6">
        <v>1</v>
      </c>
      <c r="D1531" s="6">
        <v>1</v>
      </c>
      <c r="E1531" s="6">
        <v>8</v>
      </c>
      <c r="F1531" s="6">
        <v>10</v>
      </c>
      <c r="G1531" s="6">
        <v>1530</v>
      </c>
      <c r="H1531" s="7"/>
    </row>
    <row r="1532" spans="1:8">
      <c r="A1532" s="4" t="str">
        <f>HYPERLINK("https://scryfall.com/card/fut/142/baru-fist-of-krosa","Baru, Fist of Krosa")</f>
        <v>Baru, Fist of Krosa</v>
      </c>
      <c r="B1532" s="5">
        <v>1580</v>
      </c>
      <c r="C1532" s="6">
        <v>4</v>
      </c>
      <c r="D1532" s="6">
        <v>3</v>
      </c>
      <c r="E1532" s="6">
        <v>3</v>
      </c>
      <c r="F1532" s="6">
        <v>10</v>
      </c>
      <c r="G1532" s="6">
        <v>1531</v>
      </c>
      <c r="H1532" s="7"/>
    </row>
    <row r="1533" spans="1:8">
      <c r="A1533" s="4" t="s">
        <v>900</v>
      </c>
      <c r="B1533" s="5">
        <v>1582</v>
      </c>
      <c r="C1533" s="6">
        <v>0</v>
      </c>
      <c r="D1533" s="6">
        <v>2</v>
      </c>
      <c r="E1533" s="6">
        <v>8</v>
      </c>
      <c r="F1533" s="6">
        <v>10</v>
      </c>
      <c r="G1533" s="6">
        <v>1532</v>
      </c>
      <c r="H1533" s="7"/>
    </row>
    <row r="1534" spans="1:8">
      <c r="A1534" s="4" t="str">
        <f>HYPERLINK("https://scryfall.com/card/ima/63/keiga-the-tide-star","Keiga, the Tide Star")</f>
        <v>Keiga, the Tide Star</v>
      </c>
      <c r="B1534" s="5">
        <v>1592</v>
      </c>
      <c r="C1534" s="6">
        <v>1</v>
      </c>
      <c r="D1534" s="6">
        <v>3</v>
      </c>
      <c r="E1534" s="6">
        <v>6</v>
      </c>
      <c r="F1534" s="6">
        <v>10</v>
      </c>
      <c r="G1534" s="6">
        <v>1533</v>
      </c>
      <c r="H1534" s="7"/>
    </row>
    <row r="1535" spans="1:8">
      <c r="A1535" s="4" t="str">
        <f>HYPERLINK("https://scryfall.com/card/ulg/107/multani-maro-sorcerer","Multani, Maro-Sorcerer")</f>
        <v>Multani, Maro-Sorcerer</v>
      </c>
      <c r="B1535" s="5">
        <v>1598</v>
      </c>
      <c r="C1535" s="6">
        <v>2</v>
      </c>
      <c r="D1535" s="6">
        <v>4</v>
      </c>
      <c r="E1535" s="6">
        <v>4</v>
      </c>
      <c r="F1535" s="6">
        <v>10</v>
      </c>
      <c r="G1535" s="6">
        <v>1534</v>
      </c>
      <c r="H1535" s="7"/>
    </row>
    <row r="1536" spans="1:8">
      <c r="A1536" s="4" t="str">
        <f>HYPERLINK("https://scryfall.com/card/dom/66/slinn-voda-the-rising-deep","Slinn Voda, the Rising Deep")</f>
        <v>Slinn Voda, the Rising Deep</v>
      </c>
      <c r="B1536" s="5">
        <v>1600</v>
      </c>
      <c r="C1536" s="6">
        <v>1</v>
      </c>
      <c r="D1536" s="6">
        <v>5</v>
      </c>
      <c r="E1536" s="6">
        <v>4</v>
      </c>
      <c r="F1536" s="6">
        <v>10</v>
      </c>
      <c r="G1536" s="6">
        <v>1535</v>
      </c>
      <c r="H1536" s="7"/>
    </row>
    <row r="1537" spans="1:8">
      <c r="A1537" s="4" t="str">
        <f>HYPERLINK("https://scryfall.com/card/c17/63/kemba-kha-regent","Kemba, Kha Regent")</f>
        <v>Kemba, Kha Regent</v>
      </c>
      <c r="B1537" s="5">
        <v>1603</v>
      </c>
      <c r="C1537" s="6">
        <v>1</v>
      </c>
      <c r="D1537" s="6">
        <v>8</v>
      </c>
      <c r="E1537" s="6">
        <v>1</v>
      </c>
      <c r="F1537" s="6">
        <v>10</v>
      </c>
      <c r="G1537" s="6">
        <v>1536</v>
      </c>
      <c r="H1537" s="7"/>
    </row>
    <row r="1538" spans="1:8">
      <c r="A1538" s="4" t="str">
        <f>HYPERLINK("https://scryfall.com/card/dom/148/valduk-keeper-of-the-flame","Valduk, Keeper of the Flame")</f>
        <v>Valduk, Keeper of the Flame</v>
      </c>
      <c r="B1538" s="5">
        <v>1604</v>
      </c>
      <c r="C1538" s="6">
        <v>1</v>
      </c>
      <c r="D1538" s="6">
        <v>3</v>
      </c>
      <c r="E1538" s="6">
        <v>6</v>
      </c>
      <c r="F1538" s="6">
        <v>10</v>
      </c>
      <c r="G1538" s="6">
        <v>1537</v>
      </c>
      <c r="H1538" s="7"/>
    </row>
    <row r="1539" spans="1:8">
      <c r="A1539" s="4" t="s">
        <v>912</v>
      </c>
      <c r="B1539" s="5">
        <v>1618</v>
      </c>
      <c r="C1539" s="6">
        <v>2</v>
      </c>
      <c r="D1539" s="6">
        <v>3</v>
      </c>
      <c r="E1539" s="6">
        <v>5</v>
      </c>
      <c r="F1539" s="6">
        <v>10</v>
      </c>
      <c r="G1539" s="6">
        <v>1538</v>
      </c>
      <c r="H1539" s="7"/>
    </row>
    <row r="1540" spans="1:8">
      <c r="A1540" s="4" t="str">
        <f>HYPERLINK("https://scryfall.com/card/pcy/13/mageta-the-lion","Mageta the Lion")</f>
        <v>Mageta the Lion</v>
      </c>
      <c r="B1540" s="5">
        <v>1628</v>
      </c>
      <c r="C1540" s="6">
        <v>2</v>
      </c>
      <c r="D1540" s="6">
        <v>4</v>
      </c>
      <c r="E1540" s="6">
        <v>4</v>
      </c>
      <c r="F1540" s="6">
        <v>10</v>
      </c>
      <c r="G1540" s="6">
        <v>1539</v>
      </c>
      <c r="H1540" s="7"/>
    </row>
    <row r="1541" spans="1:8">
      <c r="A1541" s="4" t="str">
        <f>HYPERLINK("https://scryfall.com/card/usg/63/barrin-master-wizard","Barrin, Master Wizard")</f>
        <v>Barrin, Master Wizard</v>
      </c>
      <c r="B1541" s="5">
        <v>1629</v>
      </c>
      <c r="C1541" s="6">
        <v>3</v>
      </c>
      <c r="D1541" s="6">
        <v>4</v>
      </c>
      <c r="E1541" s="6">
        <v>3</v>
      </c>
      <c r="F1541" s="6">
        <v>10</v>
      </c>
      <c r="G1541" s="6">
        <v>1540</v>
      </c>
      <c r="H1541" s="7"/>
    </row>
    <row r="1542" spans="1:8">
      <c r="A1542" s="4" t="s">
        <v>917</v>
      </c>
      <c r="B1542" s="5">
        <v>1639</v>
      </c>
      <c r="C1542" s="6">
        <v>1</v>
      </c>
      <c r="D1542" s="6">
        <v>4</v>
      </c>
      <c r="E1542" s="6">
        <v>5</v>
      </c>
      <c r="F1542" s="6">
        <v>10</v>
      </c>
      <c r="G1542" s="6">
        <v>1541</v>
      </c>
      <c r="H1542" s="7"/>
    </row>
    <row r="1543" spans="1:8">
      <c r="A1543" s="4" t="s">
        <v>918</v>
      </c>
      <c r="B1543" s="5">
        <v>1642</v>
      </c>
      <c r="C1543" s="6">
        <v>2</v>
      </c>
      <c r="D1543" s="6">
        <v>4</v>
      </c>
      <c r="E1543" s="6">
        <v>4</v>
      </c>
      <c r="F1543" s="6">
        <v>10</v>
      </c>
      <c r="G1543" s="6">
        <v>1542</v>
      </c>
      <c r="H1543" s="7"/>
    </row>
    <row r="1544" spans="1:8">
      <c r="A1544" s="4" t="str">
        <f>HYPERLINK("https://scryfall.com/card/cma/188/oros-the-avenger","Oros, the Avenger")</f>
        <v>Oros, the Avenger</v>
      </c>
      <c r="B1544" s="5">
        <v>1646</v>
      </c>
      <c r="C1544" s="6">
        <v>2</v>
      </c>
      <c r="D1544" s="6">
        <v>2</v>
      </c>
      <c r="E1544" s="6">
        <v>6</v>
      </c>
      <c r="F1544" s="6">
        <v>10</v>
      </c>
      <c r="G1544" s="6">
        <v>1543</v>
      </c>
      <c r="H1544" s="7"/>
    </row>
    <row r="1545" spans="1:8">
      <c r="A1545" s="4" t="str">
        <f>HYPERLINK("https://scryfall.com/card/gk1/93/razia-boros-archangel","Razia, Boros Archangel")</f>
        <v>Razia, Boros Archangel</v>
      </c>
      <c r="B1545" s="5">
        <v>1649</v>
      </c>
      <c r="C1545" s="6">
        <v>1</v>
      </c>
      <c r="D1545" s="6">
        <v>4</v>
      </c>
      <c r="E1545" s="6">
        <v>5</v>
      </c>
      <c r="F1545" s="6">
        <v>10</v>
      </c>
      <c r="G1545" s="6">
        <v>1544</v>
      </c>
      <c r="H1545" s="7"/>
    </row>
    <row r="1546" spans="1:8">
      <c r="A1546" s="4" t="str">
        <f>HYPERLINK("https://scryfall.com/card/dom/25/kwende-pride-of-femeref","Kwende, Pride of Femeref")</f>
        <v>Kwende, Pride of Femeref</v>
      </c>
      <c r="B1546" s="5">
        <v>1671</v>
      </c>
      <c r="C1546" s="6">
        <v>1</v>
      </c>
      <c r="D1546" s="6">
        <v>4</v>
      </c>
      <c r="E1546" s="6">
        <v>5</v>
      </c>
      <c r="F1546" s="6">
        <v>10</v>
      </c>
      <c r="G1546" s="6">
        <v>1545</v>
      </c>
      <c r="H1546" s="7"/>
    </row>
    <row r="1547" spans="1:8">
      <c r="A1547" s="4" t="str">
        <f>HYPERLINK("https://scryfall.com/card/bok/144/shizuko-caller-of-autumn","Shizuko, Caller of Autumn")</f>
        <v>Shizuko, Caller of Autumn</v>
      </c>
      <c r="B1547" s="5">
        <v>1685</v>
      </c>
      <c r="C1547" s="6">
        <v>1</v>
      </c>
      <c r="D1547" s="6">
        <v>6</v>
      </c>
      <c r="E1547" s="6">
        <v>3</v>
      </c>
      <c r="F1547" s="6">
        <v>10</v>
      </c>
      <c r="G1547" s="6">
        <v>1546</v>
      </c>
      <c r="H1547" s="7"/>
    </row>
    <row r="1548" spans="1:8">
      <c r="A1548" s="4" t="str">
        <f>HYPERLINK("https://scryfall.com/card/fut/28/oriss-samite-guardian","Oriss, Samite Guardian")</f>
        <v>Oriss, Samite Guardian</v>
      </c>
      <c r="B1548" s="5">
        <v>1686</v>
      </c>
      <c r="C1548" s="6">
        <v>0</v>
      </c>
      <c r="D1548" s="6">
        <v>0</v>
      </c>
      <c r="E1548" s="6">
        <v>10</v>
      </c>
      <c r="F1548" s="6">
        <v>10</v>
      </c>
      <c r="G1548" s="6">
        <v>1547</v>
      </c>
      <c r="H1548" s="7"/>
    </row>
    <row r="1549" spans="1:8">
      <c r="A1549" s="4" t="s">
        <v>932</v>
      </c>
      <c r="B1549" s="5">
        <v>1688</v>
      </c>
      <c r="C1549" s="6">
        <v>1</v>
      </c>
      <c r="D1549" s="6">
        <v>1</v>
      </c>
      <c r="E1549" s="6">
        <v>8</v>
      </c>
      <c r="F1549" s="6">
        <v>10</v>
      </c>
      <c r="G1549" s="6">
        <v>1548</v>
      </c>
      <c r="H1549" s="7"/>
    </row>
    <row r="1550" spans="1:8">
      <c r="A1550" s="4" t="str">
        <f>HYPERLINK("https://scryfall.com/card/eld/32/syr-alin-the-lions-claw","Syr Alin, the Lion's Claw")</f>
        <v>Syr Alin, the Lion's Claw</v>
      </c>
      <c r="B1550" s="5">
        <v>1713</v>
      </c>
      <c r="C1550" s="6">
        <v>1</v>
      </c>
      <c r="D1550" s="6">
        <v>1</v>
      </c>
      <c r="E1550" s="6">
        <v>8</v>
      </c>
      <c r="F1550" s="6">
        <v>10</v>
      </c>
      <c r="G1550" s="6">
        <v>1549</v>
      </c>
      <c r="H1550" s="7"/>
    </row>
    <row r="1551" spans="1:8">
      <c r="A1551" s="4" t="str">
        <f>HYPERLINK("https://scryfall.com/card/bbd/9/khorvath-brightflame","Khorvath Brightflame")</f>
        <v>Khorvath Brightflame</v>
      </c>
      <c r="B1551" s="5">
        <v>1114</v>
      </c>
      <c r="C1551" s="6">
        <v>2</v>
      </c>
      <c r="D1551" s="6">
        <v>6</v>
      </c>
      <c r="E1551" s="6">
        <v>1</v>
      </c>
      <c r="F1551" s="6">
        <v>9</v>
      </c>
      <c r="G1551" s="6">
        <v>1550</v>
      </c>
      <c r="H1551" s="7"/>
    </row>
    <row r="1552" spans="1:8">
      <c r="A1552" s="4" t="str">
        <f>HYPERLINK("https://scryfall.com/card/chk/118/iname-death-aspect","Iname, Death Aspect")</f>
        <v>Iname, Death Aspect</v>
      </c>
      <c r="B1552" s="5">
        <v>1372</v>
      </c>
      <c r="C1552" s="6">
        <v>1</v>
      </c>
      <c r="D1552" s="6">
        <v>1</v>
      </c>
      <c r="E1552" s="6">
        <v>7</v>
      </c>
      <c r="F1552" s="6">
        <v>9</v>
      </c>
      <c r="G1552" s="6">
        <v>1551</v>
      </c>
      <c r="H1552" s="7"/>
    </row>
    <row r="1553" spans="1:8">
      <c r="A1553" s="4" t="str">
        <f>HYPERLINK("https://scryfall.com/card/chk/215/iname-life-aspect","Iname, Life Aspect")</f>
        <v>Iname, Life Aspect</v>
      </c>
      <c r="B1553" s="5">
        <v>1374</v>
      </c>
      <c r="C1553" s="6">
        <v>1</v>
      </c>
      <c r="D1553" s="6">
        <v>1</v>
      </c>
      <c r="E1553" s="6">
        <v>7</v>
      </c>
      <c r="F1553" s="6">
        <v>9</v>
      </c>
      <c r="G1553" s="6">
        <v>1552</v>
      </c>
      <c r="H1553" s="7"/>
    </row>
    <row r="1554" spans="1:8">
      <c r="A1554" s="4" t="s">
        <v>819</v>
      </c>
      <c r="B1554" s="5">
        <v>1382</v>
      </c>
      <c r="C1554" s="6">
        <v>1</v>
      </c>
      <c r="D1554" s="6">
        <v>3</v>
      </c>
      <c r="E1554" s="6">
        <v>5</v>
      </c>
      <c r="F1554" s="6">
        <v>9</v>
      </c>
      <c r="G1554" s="6">
        <v>1553</v>
      </c>
      <c r="H1554" s="7"/>
    </row>
    <row r="1555" spans="1:8">
      <c r="A1555" s="4" t="str">
        <f>HYPERLINK("https://scryfall.com/card/dds/53/radha-heir-to-keld","Radha, Heir to Keld")</f>
        <v>Radha, Heir to Keld</v>
      </c>
      <c r="B1555" s="5">
        <v>1407</v>
      </c>
      <c r="C1555" s="6">
        <v>1</v>
      </c>
      <c r="D1555" s="6">
        <v>0</v>
      </c>
      <c r="E1555" s="6">
        <v>8</v>
      </c>
      <c r="F1555" s="6">
        <v>9</v>
      </c>
      <c r="G1555" s="6">
        <v>1554</v>
      </c>
      <c r="H1555" s="7"/>
    </row>
    <row r="1556" spans="1:8">
      <c r="A1556" s="4" t="str">
        <f>HYPERLINK("https://scryfall.com/card/sok/19/michiko-konda-truth-seeker","Michiko Konda, Truth Seeker")</f>
        <v>Michiko Konda, Truth Seeker</v>
      </c>
      <c r="B1556" s="5">
        <v>1414</v>
      </c>
      <c r="C1556" s="6">
        <v>1</v>
      </c>
      <c r="D1556" s="6">
        <v>2</v>
      </c>
      <c r="E1556" s="6">
        <v>6</v>
      </c>
      <c r="F1556" s="6">
        <v>9</v>
      </c>
      <c r="G1556" s="6">
        <v>1555</v>
      </c>
      <c r="H1556" s="7"/>
    </row>
    <row r="1557" spans="1:8">
      <c r="A1557" s="4" t="str">
        <f>HYPERLINK("https://scryfall.com/card/chk/121/kiku-nights-flower","Kiku, Night's Flower")</f>
        <v>Kiku, Night's Flower</v>
      </c>
      <c r="B1557" s="5">
        <v>1417</v>
      </c>
      <c r="C1557" s="6">
        <v>1</v>
      </c>
      <c r="D1557" s="6">
        <v>3</v>
      </c>
      <c r="E1557" s="6">
        <v>5</v>
      </c>
      <c r="F1557" s="6">
        <v>9</v>
      </c>
      <c r="G1557" s="6">
        <v>1556</v>
      </c>
      <c r="H1557" s="7"/>
    </row>
    <row r="1558" spans="1:8">
      <c r="A1558" s="4" t="s">
        <v>835</v>
      </c>
      <c r="B1558" s="5">
        <v>1418</v>
      </c>
      <c r="C1558" s="6">
        <v>1</v>
      </c>
      <c r="D1558" s="6">
        <v>3</v>
      </c>
      <c r="E1558" s="6">
        <v>5</v>
      </c>
      <c r="F1558" s="6">
        <v>9</v>
      </c>
      <c r="G1558" s="6">
        <v>1557</v>
      </c>
      <c r="H1558" s="7"/>
    </row>
    <row r="1559" spans="1:8">
      <c r="A1559" s="4" t="str">
        <f>HYPERLINK("https://scryfall.com/card/me3/168/ramirez-depietro","Ramirez DePietro")</f>
        <v>Ramirez DePietro</v>
      </c>
      <c r="B1559" s="5">
        <v>1427</v>
      </c>
      <c r="C1559" s="6">
        <v>0</v>
      </c>
      <c r="D1559" s="6">
        <v>6</v>
      </c>
      <c r="E1559" s="6">
        <v>3</v>
      </c>
      <c r="F1559" s="6">
        <v>9</v>
      </c>
      <c r="G1559" s="6">
        <v>1558</v>
      </c>
      <c r="H1559" s="7"/>
    </row>
    <row r="1560" spans="1:8">
      <c r="A1560" s="4" t="s">
        <v>843</v>
      </c>
      <c r="B1560" s="5">
        <v>1441</v>
      </c>
      <c r="C1560" s="6">
        <v>1</v>
      </c>
      <c r="D1560" s="6">
        <v>0</v>
      </c>
      <c r="E1560" s="6">
        <v>8</v>
      </c>
      <c r="F1560" s="6">
        <v>9</v>
      </c>
      <c r="G1560" s="6">
        <v>1559</v>
      </c>
      <c r="H1560" s="7"/>
    </row>
    <row r="1561" spans="1:8">
      <c r="A1561" s="4" t="str">
        <f>HYPERLINK("https://scryfall.com/card/c17/112/drana-kalastria-bloodchief","Drana, Kalastria Bloodchief")</f>
        <v>Drana, Kalastria Bloodchief</v>
      </c>
      <c r="B1561" s="5">
        <v>1443</v>
      </c>
      <c r="C1561" s="6">
        <v>1</v>
      </c>
      <c r="D1561" s="6">
        <v>4</v>
      </c>
      <c r="E1561" s="6">
        <v>4</v>
      </c>
      <c r="F1561" s="6">
        <v>9</v>
      </c>
      <c r="G1561" s="6">
        <v>1560</v>
      </c>
      <c r="H1561" s="7"/>
    </row>
    <row r="1562" spans="1:8">
      <c r="A1562" s="4" t="s">
        <v>856</v>
      </c>
      <c r="B1562" s="5">
        <v>1470</v>
      </c>
      <c r="C1562" s="6">
        <v>1</v>
      </c>
      <c r="D1562" s="6">
        <v>1</v>
      </c>
      <c r="E1562" s="6">
        <v>7</v>
      </c>
      <c r="F1562" s="6">
        <v>9</v>
      </c>
      <c r="G1562" s="6">
        <v>1561</v>
      </c>
      <c r="H1562" s="7"/>
    </row>
    <row r="1563" spans="1:8">
      <c r="A1563" s="4" t="str">
        <f>HYPERLINK("https://scryfall.com/card/cm2/100/fumiko-the-lowblood","Fumiko the Lowblood")</f>
        <v>Fumiko the Lowblood</v>
      </c>
      <c r="B1563" s="5">
        <v>1483</v>
      </c>
      <c r="C1563" s="6">
        <v>3</v>
      </c>
      <c r="D1563" s="6">
        <v>4</v>
      </c>
      <c r="E1563" s="6">
        <v>2</v>
      </c>
      <c r="F1563" s="6">
        <v>9</v>
      </c>
      <c r="G1563" s="6">
        <v>1562</v>
      </c>
      <c r="H1563" s="7"/>
    </row>
    <row r="1564" spans="1:8">
      <c r="A1564" s="4" t="str">
        <f>HYPERLINK("https://scryfall.com/card/me1/58/baron-sengir","Baron Sengir")</f>
        <v>Baron Sengir</v>
      </c>
      <c r="B1564" s="5">
        <v>1494</v>
      </c>
      <c r="C1564" s="6">
        <v>1</v>
      </c>
      <c r="D1564" s="6">
        <v>3</v>
      </c>
      <c r="E1564" s="6">
        <v>5</v>
      </c>
      <c r="F1564" s="6">
        <v>9</v>
      </c>
      <c r="G1564" s="6">
        <v>1563</v>
      </c>
      <c r="H1564" s="7"/>
    </row>
    <row r="1565" spans="1:8">
      <c r="A1565" s="4" t="str">
        <f>HYPERLINK("https://scryfall.com/card/nph/115/melira-sylvok-outcast","Melira, Sylvok Outcast")</f>
        <v>Melira, Sylvok Outcast</v>
      </c>
      <c r="B1565" s="5">
        <v>1502</v>
      </c>
      <c r="C1565" s="6">
        <v>1</v>
      </c>
      <c r="D1565" s="6">
        <v>1</v>
      </c>
      <c r="E1565" s="6">
        <v>7</v>
      </c>
      <c r="F1565" s="6">
        <v>9</v>
      </c>
      <c r="G1565" s="6">
        <v>1564</v>
      </c>
      <c r="H1565" s="7"/>
    </row>
    <row r="1566" spans="1:8">
      <c r="A1566" s="4" t="s">
        <v>870</v>
      </c>
      <c r="B1566" s="5">
        <v>1509</v>
      </c>
      <c r="C1566" s="6">
        <v>1</v>
      </c>
      <c r="D1566" s="6">
        <v>3</v>
      </c>
      <c r="E1566" s="6">
        <v>5</v>
      </c>
      <c r="F1566" s="6">
        <v>9</v>
      </c>
      <c r="G1566" s="6">
        <v>1565</v>
      </c>
      <c r="H1566" s="7"/>
    </row>
    <row r="1567" spans="1:8">
      <c r="A1567" s="4" t="str">
        <f>HYPERLINK("https://scryfall.com/card/c17/194/silumgar-the-drifting-death","Silumgar, the Drifting Death")</f>
        <v>Silumgar, the Drifting Death</v>
      </c>
      <c r="B1567" s="5">
        <v>1517</v>
      </c>
      <c r="C1567" s="6">
        <v>2</v>
      </c>
      <c r="D1567" s="6">
        <v>4</v>
      </c>
      <c r="E1567" s="6">
        <v>3</v>
      </c>
      <c r="F1567" s="6">
        <v>9</v>
      </c>
      <c r="G1567" s="6">
        <v>1566</v>
      </c>
      <c r="H1567" s="7"/>
    </row>
    <row r="1568" spans="1:8">
      <c r="A1568" s="4" t="str">
        <f>HYPERLINK("https://scryfall.com/card/bok/110/ishi-ishi-akki-crackshot","Ishi-Ishi, Akki Crackshot")</f>
        <v>Ishi-Ishi, Akki Crackshot</v>
      </c>
      <c r="B1568" s="5">
        <v>1529</v>
      </c>
      <c r="C1568" s="6">
        <v>0</v>
      </c>
      <c r="D1568" s="6">
        <v>0</v>
      </c>
      <c r="E1568" s="6">
        <v>9</v>
      </c>
      <c r="F1568" s="6">
        <v>9</v>
      </c>
      <c r="G1568" s="6">
        <v>1567</v>
      </c>
      <c r="H1568" s="7"/>
    </row>
    <row r="1569" spans="1:8">
      <c r="A1569" s="4" t="str">
        <f>HYPERLINK("https://scryfall.com/card/wwk/40/thada-adel-acquisitor","Thada Adel, Acquisitor")</f>
        <v>Thada Adel, Acquisitor</v>
      </c>
      <c r="B1569" s="5">
        <v>1530</v>
      </c>
      <c r="C1569" s="6">
        <v>3</v>
      </c>
      <c r="D1569" s="6">
        <v>3</v>
      </c>
      <c r="E1569" s="6">
        <v>3</v>
      </c>
      <c r="F1569" s="6">
        <v>9</v>
      </c>
      <c r="G1569" s="6">
        <v>1568</v>
      </c>
      <c r="H1569" s="7"/>
    </row>
    <row r="1570" spans="1:8">
      <c r="A1570" s="4" t="str">
        <f>HYPERLINK("https://scryfall.com/card/md1/24/kataki-wars-wage","Kataki, War's Wage")</f>
        <v>Kataki, War's Wage</v>
      </c>
      <c r="B1570" s="5">
        <v>1531</v>
      </c>
      <c r="C1570" s="6">
        <v>3</v>
      </c>
      <c r="D1570" s="6">
        <v>5</v>
      </c>
      <c r="E1570" s="6">
        <v>1</v>
      </c>
      <c r="F1570" s="6">
        <v>9</v>
      </c>
      <c r="G1570" s="6">
        <v>1569</v>
      </c>
      <c r="H1570" s="7"/>
    </row>
    <row r="1571" spans="1:8">
      <c r="A1571" s="4" t="str">
        <f>HYPERLINK("https://scryfall.com/card/m13/103/nefarox-overlord-of-grixis","Nefarox, Overlord of Grixis")</f>
        <v>Nefarox, Overlord of Grixis</v>
      </c>
      <c r="B1571" s="5">
        <v>1537</v>
      </c>
      <c r="C1571" s="6">
        <v>1</v>
      </c>
      <c r="D1571" s="6">
        <v>2</v>
      </c>
      <c r="E1571" s="6">
        <v>6</v>
      </c>
      <c r="F1571" s="6">
        <v>9</v>
      </c>
      <c r="G1571" s="6">
        <v>1570</v>
      </c>
      <c r="H1571" s="7"/>
    </row>
    <row r="1572" spans="1:8">
      <c r="A1572" s="4" t="str">
        <f>HYPERLINK("https://scryfall.com/card/bng/55/tromokratis","Tromokratis")</f>
        <v>Tromokratis</v>
      </c>
      <c r="B1572" s="5">
        <v>1541</v>
      </c>
      <c r="C1572" s="6">
        <v>1</v>
      </c>
      <c r="D1572" s="6">
        <v>3</v>
      </c>
      <c r="E1572" s="6">
        <v>5</v>
      </c>
      <c r="F1572" s="6">
        <v>9</v>
      </c>
      <c r="G1572" s="6">
        <v>1571</v>
      </c>
      <c r="H1572" s="7"/>
    </row>
    <row r="1573" spans="1:8">
      <c r="A1573" s="4" t="s">
        <v>887</v>
      </c>
      <c r="B1573" s="5">
        <v>1545</v>
      </c>
      <c r="C1573" s="6">
        <v>3</v>
      </c>
      <c r="D1573" s="6">
        <v>0</v>
      </c>
      <c r="E1573" s="6">
        <v>6</v>
      </c>
      <c r="F1573" s="6">
        <v>9</v>
      </c>
      <c r="G1573" s="6">
        <v>1572</v>
      </c>
      <c r="H1573" s="7"/>
    </row>
    <row r="1574" spans="1:8">
      <c r="A1574" s="4" t="str">
        <f>HYPERLINK("https://scryfall.com/card/dom/272/niambi-faithful-healer","Niambi, Faithful Healer")</f>
        <v>Niambi, Faithful Healer</v>
      </c>
      <c r="B1574" s="5">
        <v>1546</v>
      </c>
      <c r="C1574" s="6">
        <v>1</v>
      </c>
      <c r="D1574" s="6">
        <v>1</v>
      </c>
      <c r="E1574" s="6">
        <v>7</v>
      </c>
      <c r="F1574" s="6">
        <v>9</v>
      </c>
      <c r="G1574" s="6">
        <v>1573</v>
      </c>
      <c r="H1574" s="7"/>
    </row>
    <row r="1575" spans="1:8">
      <c r="A1575" s="4" t="str">
        <f>HYPERLINK("https://scryfall.com/card/mm2/18/hikari-twilight-guardian","Hikari, Twilight Guardian")</f>
        <v>Hikari, Twilight Guardian</v>
      </c>
      <c r="B1575" s="5">
        <v>1548</v>
      </c>
      <c r="C1575" s="6">
        <v>1</v>
      </c>
      <c r="D1575" s="6">
        <v>2</v>
      </c>
      <c r="E1575" s="6">
        <v>6</v>
      </c>
      <c r="F1575" s="6">
        <v>9</v>
      </c>
      <c r="G1575" s="6">
        <v>1574</v>
      </c>
      <c r="H1575" s="7"/>
    </row>
    <row r="1576" spans="1:8">
      <c r="A1576" s="4" t="str">
        <f>HYPERLINK("https://scryfall.com/card/cm2/7/kalemne-disciple-of-iroas","Kalemne, Disciple of Iroas")</f>
        <v>Kalemne, Disciple of Iroas</v>
      </c>
      <c r="B1576" s="5">
        <v>1555</v>
      </c>
      <c r="C1576" s="6">
        <v>2</v>
      </c>
      <c r="D1576" s="6">
        <v>2</v>
      </c>
      <c r="E1576" s="6">
        <v>5</v>
      </c>
      <c r="F1576" s="6">
        <v>9</v>
      </c>
      <c r="G1576" s="6">
        <v>1575</v>
      </c>
      <c r="H1576" s="7"/>
    </row>
    <row r="1577" spans="1:8">
      <c r="A1577" s="4" t="str">
        <f>HYPERLINK("https://scryfall.com/card/chk/186/shimatsu-the-bloodcloaked","Shimatsu the Bloodcloaked")</f>
        <v>Shimatsu the Bloodcloaked</v>
      </c>
      <c r="B1577" s="5">
        <v>1574</v>
      </c>
      <c r="C1577" s="6">
        <v>1</v>
      </c>
      <c r="D1577" s="6">
        <v>3</v>
      </c>
      <c r="E1577" s="6">
        <v>5</v>
      </c>
      <c r="F1577" s="6">
        <v>9</v>
      </c>
      <c r="G1577" s="6">
        <v>1576</v>
      </c>
      <c r="H1577" s="7"/>
    </row>
    <row r="1578" spans="1:8">
      <c r="A1578" s="4" t="str">
        <f>HYPERLINK("https://scryfall.com/card/plc/75/mirri-the-cursed","Mirri the Cursed")</f>
        <v>Mirri the Cursed</v>
      </c>
      <c r="B1578" s="5">
        <v>1575</v>
      </c>
      <c r="C1578" s="6">
        <v>0</v>
      </c>
      <c r="D1578" s="6">
        <v>4</v>
      </c>
      <c r="E1578" s="6">
        <v>5</v>
      </c>
      <c r="F1578" s="6">
        <v>9</v>
      </c>
      <c r="G1578" s="6">
        <v>1577</v>
      </c>
      <c r="H1578" s="7"/>
    </row>
    <row r="1579" spans="1:8">
      <c r="A1579" s="4" t="str">
        <f>HYPERLINK("https://scryfall.com/card/chk/242/shisato-whispering-hunter","Shisato, Whispering Hunter")</f>
        <v>Shisato, Whispering Hunter</v>
      </c>
      <c r="B1579" s="5">
        <v>1579</v>
      </c>
      <c r="C1579" s="6">
        <v>2</v>
      </c>
      <c r="D1579" s="6">
        <v>3</v>
      </c>
      <c r="E1579" s="6">
        <v>4</v>
      </c>
      <c r="F1579" s="6">
        <v>9</v>
      </c>
      <c r="G1579" s="6">
        <v>1578</v>
      </c>
      <c r="H1579" s="7"/>
    </row>
    <row r="1580" spans="1:8">
      <c r="A1580" s="4" t="str">
        <f>HYPERLINK("https://scryfall.com/card/sok/72/infernal-kirin","Infernal Kirin")</f>
        <v>Infernal Kirin</v>
      </c>
      <c r="B1580" s="5">
        <v>1581</v>
      </c>
      <c r="C1580" s="6">
        <v>1</v>
      </c>
      <c r="D1580" s="6">
        <v>1</v>
      </c>
      <c r="E1580" s="6">
        <v>7</v>
      </c>
      <c r="F1580" s="6">
        <v>9</v>
      </c>
      <c r="G1580" s="6">
        <v>1579</v>
      </c>
      <c r="H1580" s="7"/>
    </row>
    <row r="1581" spans="1:8">
      <c r="A1581" s="4" t="s">
        <v>905</v>
      </c>
      <c r="B1581" s="5">
        <v>1587</v>
      </c>
      <c r="C1581" s="6">
        <v>1</v>
      </c>
      <c r="D1581" s="6">
        <v>3</v>
      </c>
      <c r="E1581" s="6">
        <v>5</v>
      </c>
      <c r="F1581" s="6">
        <v>9</v>
      </c>
      <c r="G1581" s="6">
        <v>1580</v>
      </c>
      <c r="H1581" s="7"/>
    </row>
    <row r="1582" spans="1:8">
      <c r="A1582" s="4" t="s">
        <v>907</v>
      </c>
      <c r="B1582" s="5">
        <v>1590</v>
      </c>
      <c r="C1582" s="6">
        <v>1</v>
      </c>
      <c r="D1582" s="6">
        <v>2</v>
      </c>
      <c r="E1582" s="6">
        <v>6</v>
      </c>
      <c r="F1582" s="6">
        <v>9</v>
      </c>
      <c r="G1582" s="6">
        <v>1581</v>
      </c>
      <c r="H1582" s="7"/>
    </row>
    <row r="1583" spans="1:8">
      <c r="A1583" s="4" t="str">
        <f>HYPERLINK("https://scryfall.com/card/ths/196/medomai-the-ageless","Medomai the Ageless")</f>
        <v>Medomai the Ageless</v>
      </c>
      <c r="B1583" s="5">
        <v>1595</v>
      </c>
      <c r="C1583" s="6">
        <v>2</v>
      </c>
      <c r="D1583" s="6">
        <v>5</v>
      </c>
      <c r="E1583" s="6">
        <v>2</v>
      </c>
      <c r="F1583" s="6">
        <v>9</v>
      </c>
      <c r="G1583" s="6">
        <v>1582</v>
      </c>
      <c r="H1583" s="7"/>
    </row>
    <row r="1584" spans="1:8">
      <c r="A1584" s="4" t="str">
        <f>HYPERLINK("https://scryfall.com/card/eld/20/linden-the-steadfast-queen","Linden, the Steadfast Queen")</f>
        <v>Linden, the Steadfast Queen</v>
      </c>
      <c r="B1584" s="5">
        <v>1597</v>
      </c>
      <c r="C1584" s="6">
        <v>1</v>
      </c>
      <c r="D1584" s="6">
        <v>2</v>
      </c>
      <c r="E1584" s="6">
        <v>6</v>
      </c>
      <c r="F1584" s="6">
        <v>9</v>
      </c>
      <c r="G1584" s="6">
        <v>1583</v>
      </c>
      <c r="H1584" s="7"/>
    </row>
    <row r="1585" spans="1:8">
      <c r="A1585" s="4" t="str">
        <f>HYPERLINK("https://scryfall.com/card/tpr/180/mirri-cat-warrior","Mirri, Cat Warrior")</f>
        <v>Mirri, Cat Warrior</v>
      </c>
      <c r="B1585" s="5">
        <v>1610</v>
      </c>
      <c r="C1585" s="6">
        <v>0</v>
      </c>
      <c r="D1585" s="6">
        <v>2</v>
      </c>
      <c r="E1585" s="6">
        <v>7</v>
      </c>
      <c r="F1585" s="6">
        <v>9</v>
      </c>
      <c r="G1585" s="6">
        <v>1584</v>
      </c>
      <c r="H1585" s="7"/>
    </row>
    <row r="1586" spans="1:8">
      <c r="A1586" s="4" t="str">
        <f>HYPERLINK("https://scryfall.com/card/chk/19/isamaru-hound-of-konda","Isamaru, Hound of Konda")</f>
        <v>Isamaru, Hound of Konda</v>
      </c>
      <c r="B1586" s="5">
        <v>1611</v>
      </c>
      <c r="C1586" s="6">
        <v>0</v>
      </c>
      <c r="D1586" s="6">
        <v>2</v>
      </c>
      <c r="E1586" s="6">
        <v>7</v>
      </c>
      <c r="F1586" s="6">
        <v>9</v>
      </c>
      <c r="G1586" s="6">
        <v>1585</v>
      </c>
      <c r="H1586" s="7"/>
    </row>
    <row r="1587" spans="1:8">
      <c r="A1587" s="4" t="str">
        <f>HYPERLINK("https://scryfall.com/card/me3/53/sun-quan-lord-of-wu","Sun Quan, Lord of Wu")</f>
        <v>Sun Quan, Lord of Wu</v>
      </c>
      <c r="B1587" s="5">
        <v>1624</v>
      </c>
      <c r="C1587" s="6">
        <v>2</v>
      </c>
      <c r="D1587" s="6">
        <v>0</v>
      </c>
      <c r="E1587" s="6">
        <v>7</v>
      </c>
      <c r="F1587" s="6">
        <v>9</v>
      </c>
      <c r="G1587" s="6">
        <v>1586</v>
      </c>
      <c r="H1587" s="7"/>
    </row>
    <row r="1588" spans="1:8">
      <c r="A1588" s="4" t="str">
        <f>HYPERLINK("https://scryfall.com/card/thb/42/alirios-enraptured","Alirios, Enraptured")</f>
        <v>Alirios, Enraptured</v>
      </c>
      <c r="B1588" s="5">
        <v>1627</v>
      </c>
      <c r="C1588" s="6">
        <v>1</v>
      </c>
      <c r="D1588" s="6">
        <v>5</v>
      </c>
      <c r="E1588" s="6">
        <v>3</v>
      </c>
      <c r="F1588" s="6">
        <v>9</v>
      </c>
      <c r="G1588" s="6">
        <v>1587</v>
      </c>
      <c r="H1588" s="7"/>
    </row>
    <row r="1589" spans="1:8">
      <c r="A1589" s="4" t="str">
        <f>HYPERLINK("https://scryfall.com/card/uds/43/rayne-academy-chancellor","Rayne, Academy Chancellor")</f>
        <v>Rayne, Academy Chancellor</v>
      </c>
      <c r="B1589" s="5">
        <v>1633</v>
      </c>
      <c r="C1589" s="6">
        <v>1</v>
      </c>
      <c r="D1589" s="6">
        <v>4</v>
      </c>
      <c r="E1589" s="6">
        <v>4</v>
      </c>
      <c r="F1589" s="6">
        <v>9</v>
      </c>
      <c r="G1589" s="6">
        <v>1588</v>
      </c>
      <c r="H1589" s="7"/>
    </row>
    <row r="1590" spans="1:8">
      <c r="A1590" s="4" t="s">
        <v>916</v>
      </c>
      <c r="B1590" s="5">
        <v>1638</v>
      </c>
      <c r="C1590" s="6">
        <v>1</v>
      </c>
      <c r="D1590" s="6">
        <v>2</v>
      </c>
      <c r="E1590" s="6">
        <v>6</v>
      </c>
      <c r="F1590" s="6">
        <v>9</v>
      </c>
      <c r="G1590" s="6">
        <v>1589</v>
      </c>
      <c r="H1590" s="7"/>
    </row>
    <row r="1591" spans="1:8">
      <c r="A1591" s="4" t="s">
        <v>923</v>
      </c>
      <c r="B1591" s="5">
        <v>1653</v>
      </c>
      <c r="C1591" s="6">
        <v>1</v>
      </c>
      <c r="D1591" s="6">
        <v>2</v>
      </c>
      <c r="E1591" s="6">
        <v>6</v>
      </c>
      <c r="F1591" s="6">
        <v>9</v>
      </c>
      <c r="G1591" s="6">
        <v>1590</v>
      </c>
      <c r="H1591" s="7"/>
    </row>
    <row r="1592" spans="1:8">
      <c r="A1592" s="4" t="str">
        <f>HYPERLINK("https://scryfall.com/card/hml/18/soraya-the-falconer","Soraya the Falconer")</f>
        <v>Soraya the Falconer</v>
      </c>
      <c r="B1592" s="5">
        <v>1657</v>
      </c>
      <c r="C1592" s="6">
        <v>1</v>
      </c>
      <c r="D1592" s="6">
        <v>4</v>
      </c>
      <c r="E1592" s="6">
        <v>4</v>
      </c>
      <c r="F1592" s="6">
        <v>9</v>
      </c>
      <c r="G1592" s="6">
        <v>1591</v>
      </c>
      <c r="H1592" s="7"/>
    </row>
    <row r="1593" spans="1:8">
      <c r="A1593" s="4" t="str">
        <f>HYPERLINK("https://scryfall.com/card/sok/113/skyfire-kirin","Skyfire Kirin")</f>
        <v>Skyfire Kirin</v>
      </c>
      <c r="B1593" s="5">
        <v>1660</v>
      </c>
      <c r="C1593" s="6">
        <v>1</v>
      </c>
      <c r="D1593" s="6">
        <v>1</v>
      </c>
      <c r="E1593" s="6">
        <v>7</v>
      </c>
      <c r="F1593" s="6">
        <v>9</v>
      </c>
      <c r="G1593" s="6">
        <v>1592</v>
      </c>
      <c r="H1593" s="7"/>
    </row>
    <row r="1594" spans="1:8">
      <c r="A1594" s="4" t="str">
        <f>HYPERLINK("https://scryfall.com/card/thb/39/taranika-akroan-veteran","Taranika, Akroan Veteran")</f>
        <v>Taranika, Akroan Veteran</v>
      </c>
      <c r="B1594" s="5">
        <v>1661</v>
      </c>
      <c r="C1594" s="6">
        <v>1</v>
      </c>
      <c r="D1594" s="6">
        <v>3</v>
      </c>
      <c r="E1594" s="6">
        <v>5</v>
      </c>
      <c r="F1594" s="6">
        <v>9</v>
      </c>
      <c r="G1594" s="6">
        <v>1593</v>
      </c>
      <c r="H1594" s="7"/>
    </row>
    <row r="1595" spans="1:8">
      <c r="A1595" s="4" t="str">
        <f>HYPERLINK("https://scryfall.com/card/cmd/215/numot-the-devastator","Numot, the Devastator")</f>
        <v>Numot, the Devastator</v>
      </c>
      <c r="B1595" s="5">
        <v>1668</v>
      </c>
      <c r="C1595" s="6">
        <v>2</v>
      </c>
      <c r="D1595" s="6">
        <v>2</v>
      </c>
      <c r="E1595" s="6">
        <v>5</v>
      </c>
      <c r="F1595" s="6">
        <v>9</v>
      </c>
      <c r="G1595" s="6">
        <v>1594</v>
      </c>
      <c r="H1595" s="7"/>
    </row>
    <row r="1596" spans="1:8">
      <c r="A1596" s="4" t="s">
        <v>929</v>
      </c>
      <c r="B1596" s="5">
        <v>1673</v>
      </c>
      <c r="C1596" s="6">
        <v>2</v>
      </c>
      <c r="D1596" s="6">
        <v>4</v>
      </c>
      <c r="E1596" s="6">
        <v>3</v>
      </c>
      <c r="F1596" s="6">
        <v>9</v>
      </c>
      <c r="G1596" s="6">
        <v>1595</v>
      </c>
      <c r="H1596" s="7"/>
    </row>
    <row r="1597" spans="1:8">
      <c r="A1597" s="4" t="str">
        <f>HYPERLINK("https://scryfall.com/card/sok/58/soramaro-first-to-dream","Soramaro, First to Dream")</f>
        <v>Soramaro, First to Dream</v>
      </c>
      <c r="B1597" s="5">
        <v>1691</v>
      </c>
      <c r="C1597" s="6">
        <v>1</v>
      </c>
      <c r="D1597" s="6">
        <v>2</v>
      </c>
      <c r="E1597" s="6">
        <v>6</v>
      </c>
      <c r="F1597" s="6">
        <v>9</v>
      </c>
      <c r="G1597" s="6">
        <v>1596</v>
      </c>
      <c r="H1597" s="7"/>
    </row>
    <row r="1598" spans="1:8">
      <c r="A1598" s="4" t="str">
        <f>HYPERLINK("https://scryfall.com/card/chk/244/sosuke-son-of-seshiro","Sosuke, Son of Seshiro")</f>
        <v>Sosuke, Son of Seshiro</v>
      </c>
      <c r="B1598" s="5">
        <v>1700</v>
      </c>
      <c r="C1598" s="6">
        <v>1</v>
      </c>
      <c r="D1598" s="6">
        <v>3</v>
      </c>
      <c r="E1598" s="6">
        <v>5</v>
      </c>
      <c r="F1598" s="6">
        <v>9</v>
      </c>
      <c r="G1598" s="6">
        <v>1597</v>
      </c>
      <c r="H1598" s="7"/>
    </row>
    <row r="1599" spans="1:8">
      <c r="A1599" s="4" t="str">
        <f>HYPERLINK("https://scryfall.com/card/cm2/3/vorosh-the-hunter","Vorosh, the Hunter")</f>
        <v>Vorosh, the Hunter</v>
      </c>
      <c r="B1599" s="5">
        <v>1712</v>
      </c>
      <c r="C1599" s="6">
        <v>2</v>
      </c>
      <c r="D1599" s="6">
        <v>3</v>
      </c>
      <c r="E1599" s="6">
        <v>4</v>
      </c>
      <c r="F1599" s="6">
        <v>9</v>
      </c>
      <c r="G1599" s="6">
        <v>1598</v>
      </c>
      <c r="H1599" s="7"/>
    </row>
    <row r="1600" spans="1:8">
      <c r="A1600" s="4" t="str">
        <f>HYPERLINK("https://scryfall.com/card/me2/170/kaysa","Kaysa")</f>
        <v>Kaysa</v>
      </c>
      <c r="B1600" s="5">
        <v>1747</v>
      </c>
      <c r="C1600" s="6">
        <v>1</v>
      </c>
      <c r="D1600" s="6">
        <v>2</v>
      </c>
      <c r="E1600" s="6">
        <v>6</v>
      </c>
      <c r="F1600" s="6">
        <v>9</v>
      </c>
      <c r="G1600" s="6">
        <v>1599</v>
      </c>
      <c r="H1600" s="7"/>
    </row>
    <row r="1601" spans="1:8">
      <c r="A1601" s="4" t="str">
        <f>HYPERLINK("https://scryfall.com/card/tpr/162/starke-of-rath","Starke of Rath")</f>
        <v>Starke of Rath</v>
      </c>
      <c r="B1601" s="5">
        <v>1338</v>
      </c>
      <c r="C1601" s="6">
        <v>1</v>
      </c>
      <c r="D1601" s="6">
        <v>3</v>
      </c>
      <c r="E1601" s="6">
        <v>4</v>
      </c>
      <c r="F1601" s="6">
        <v>8</v>
      </c>
      <c r="G1601" s="6">
        <v>1600</v>
      </c>
      <c r="H1601" s="7"/>
    </row>
    <row r="1602" spans="1:8">
      <c r="A1602" s="4" t="str">
        <f>HYPERLINK("https://scryfall.com/card/rna/189/lavinia-azorius-renegade","Lavinia, Azorius Renegade")</f>
        <v>Lavinia, Azorius Renegade</v>
      </c>
      <c r="B1602" s="5">
        <v>1349</v>
      </c>
      <c r="C1602" s="6">
        <v>2</v>
      </c>
      <c r="D1602" s="6">
        <v>3</v>
      </c>
      <c r="E1602" s="6">
        <v>3</v>
      </c>
      <c r="F1602" s="6">
        <v>8</v>
      </c>
      <c r="G1602" s="6">
        <v>1601</v>
      </c>
      <c r="H1602" s="7"/>
    </row>
    <row r="1603" spans="1:8">
      <c r="A1603" s="4" t="str">
        <f>HYPERLINK("https://scryfall.com/card/chk/35/myojin-of-cleansing-fire","Myojin of Cleansing Fire")</f>
        <v>Myojin of Cleansing Fire</v>
      </c>
      <c r="B1603" s="5">
        <v>1378</v>
      </c>
      <c r="C1603" s="6">
        <v>1</v>
      </c>
      <c r="D1603" s="6">
        <v>4</v>
      </c>
      <c r="E1603" s="6">
        <v>3</v>
      </c>
      <c r="F1603" s="6">
        <v>8</v>
      </c>
      <c r="G1603" s="6">
        <v>1602</v>
      </c>
      <c r="H1603" s="7"/>
    </row>
    <row r="1604" spans="1:8">
      <c r="A1604" s="4" t="s">
        <v>838</v>
      </c>
      <c r="B1604" s="5">
        <v>1426</v>
      </c>
      <c r="C1604" s="6">
        <v>1</v>
      </c>
      <c r="D1604" s="6">
        <v>2</v>
      </c>
      <c r="E1604" s="6">
        <v>5</v>
      </c>
      <c r="F1604" s="6">
        <v>8</v>
      </c>
      <c r="G1604" s="6">
        <v>1603</v>
      </c>
      <c r="H1604" s="7"/>
    </row>
    <row r="1605" spans="1:8">
      <c r="A1605" s="4" t="str">
        <f>HYPERLINK("https://scryfall.com/card/dom/203/rona-disciple-of-gix","Rona, Disciple of Gix")</f>
        <v>Rona, Disciple of Gix</v>
      </c>
      <c r="B1605" s="5">
        <v>1444</v>
      </c>
      <c r="C1605" s="6">
        <v>1</v>
      </c>
      <c r="D1605" s="6">
        <v>3</v>
      </c>
      <c r="E1605" s="6">
        <v>4</v>
      </c>
      <c r="F1605" s="6">
        <v>8</v>
      </c>
      <c r="G1605" s="6">
        <v>1604</v>
      </c>
      <c r="H1605" s="7"/>
    </row>
    <row r="1606" spans="1:8">
      <c r="A1606" s="4" t="str">
        <f>HYPERLINK("https://scryfall.com/card/bok/19/patron-of-the-kitsune","Patron of the Kitsune")</f>
        <v>Patron of the Kitsune</v>
      </c>
      <c r="B1606" s="5">
        <v>1465</v>
      </c>
      <c r="C1606" s="6">
        <v>1</v>
      </c>
      <c r="D1606" s="6">
        <v>2</v>
      </c>
      <c r="E1606" s="6">
        <v>5</v>
      </c>
      <c r="F1606" s="6">
        <v>8</v>
      </c>
      <c r="G1606" s="6">
        <v>1605</v>
      </c>
      <c r="H1606" s="7"/>
    </row>
    <row r="1607" spans="1:8">
      <c r="A1607" s="4" t="str">
        <f>HYPERLINK("https://scryfall.com/card/dpa/19/ascendant-evincar","Ascendant Evincar")</f>
        <v>Ascendant Evincar</v>
      </c>
      <c r="B1607" s="5">
        <v>1480</v>
      </c>
      <c r="C1607" s="6">
        <v>3</v>
      </c>
      <c r="D1607" s="6">
        <v>2</v>
      </c>
      <c r="E1607" s="6">
        <v>3</v>
      </c>
      <c r="F1607" s="6">
        <v>8</v>
      </c>
      <c r="G1607" s="6">
        <v>1606</v>
      </c>
      <c r="H1607" s="7"/>
    </row>
    <row r="1608" spans="1:8">
      <c r="A1608" s="4" t="str">
        <f>HYPERLINK("https://scryfall.com/card/bfz/109/drana-liberator-of-malakir","Drana, Liberator of Malakir")</f>
        <v>Drana, Liberator of Malakir</v>
      </c>
      <c r="B1608" s="5">
        <v>1488</v>
      </c>
      <c r="C1608" s="6">
        <v>1</v>
      </c>
      <c r="D1608" s="6">
        <v>4</v>
      </c>
      <c r="E1608" s="6">
        <v>3</v>
      </c>
      <c r="F1608" s="6">
        <v>8</v>
      </c>
      <c r="G1608" s="6">
        <v>1607</v>
      </c>
      <c r="H1608" s="7"/>
    </row>
    <row r="1609" spans="1:8">
      <c r="A1609" s="4" t="s">
        <v>864</v>
      </c>
      <c r="B1609" s="5">
        <v>1491</v>
      </c>
      <c r="C1609" s="6">
        <v>1</v>
      </c>
      <c r="D1609" s="6">
        <v>0</v>
      </c>
      <c r="E1609" s="6">
        <v>7</v>
      </c>
      <c r="F1609" s="6">
        <v>8</v>
      </c>
      <c r="G1609" s="6">
        <v>1608</v>
      </c>
      <c r="H1609" s="7"/>
    </row>
    <row r="1610" spans="1:8">
      <c r="A1610" s="4" t="s">
        <v>865</v>
      </c>
      <c r="B1610" s="5">
        <v>1492</v>
      </c>
      <c r="C1610" s="6">
        <v>1</v>
      </c>
      <c r="D1610" s="6">
        <v>0</v>
      </c>
      <c r="E1610" s="6">
        <v>7</v>
      </c>
      <c r="F1610" s="6">
        <v>8</v>
      </c>
      <c r="G1610" s="6">
        <v>1609</v>
      </c>
      <c r="H1610" s="7"/>
    </row>
    <row r="1611" spans="1:8">
      <c r="A1611" s="4" t="str">
        <f>HYPERLINK("https://scryfall.com/card/me3/147/chromium","Chromium")</f>
        <v>Chromium</v>
      </c>
      <c r="B1611" s="5">
        <v>1495</v>
      </c>
      <c r="C1611" s="6">
        <v>0</v>
      </c>
      <c r="D1611" s="6">
        <v>1</v>
      </c>
      <c r="E1611" s="6">
        <v>7</v>
      </c>
      <c r="F1611" s="6">
        <v>8</v>
      </c>
      <c r="G1611" s="6">
        <v>1610</v>
      </c>
      <c r="H1611" s="7"/>
    </row>
    <row r="1612" spans="1:8">
      <c r="A1612" s="4" t="str">
        <f>HYPERLINK("https://scryfall.com/card/sok/148/sekki-seasons-guide","Sekki, Seasons' Guide")</f>
        <v>Sekki, Seasons' Guide</v>
      </c>
      <c r="B1612" s="5">
        <v>1498</v>
      </c>
      <c r="C1612" s="6">
        <v>1</v>
      </c>
      <c r="D1612" s="6">
        <v>2</v>
      </c>
      <c r="E1612" s="6">
        <v>5</v>
      </c>
      <c r="F1612" s="6">
        <v>8</v>
      </c>
      <c r="G1612" s="6">
        <v>1611</v>
      </c>
      <c r="H1612" s="7"/>
    </row>
    <row r="1613" spans="1:8">
      <c r="A1613" s="4" t="str">
        <f>HYPERLINK("https://scryfall.com/card/chk/114/he-who-hungers","He Who Hungers")</f>
        <v>He Who Hungers</v>
      </c>
      <c r="B1613" s="5">
        <v>1501</v>
      </c>
      <c r="C1613" s="6">
        <v>1</v>
      </c>
      <c r="D1613" s="6">
        <v>3</v>
      </c>
      <c r="E1613" s="6">
        <v>4</v>
      </c>
      <c r="F1613" s="6">
        <v>8</v>
      </c>
      <c r="G1613" s="6">
        <v>1612</v>
      </c>
      <c r="H1613" s="7"/>
    </row>
    <row r="1614" spans="1:8">
      <c r="A1614" s="4" t="str">
        <f>HYPERLINK("https://scryfall.com/card/cm2/8/anya-merciless-angel","Anya, Merciless Angel")</f>
        <v>Anya, Merciless Angel</v>
      </c>
      <c r="B1614" s="5">
        <v>1515</v>
      </c>
      <c r="C1614" s="6">
        <v>2</v>
      </c>
      <c r="D1614" s="6">
        <v>1</v>
      </c>
      <c r="E1614" s="6">
        <v>5</v>
      </c>
      <c r="F1614" s="6">
        <v>8</v>
      </c>
      <c r="G1614" s="6">
        <v>1613</v>
      </c>
      <c r="H1614" s="7"/>
    </row>
    <row r="1615" spans="1:8">
      <c r="A1615" s="4" t="str">
        <f>HYPERLINK("https://scryfall.com/card/lrw/149/ashling-the-pilgrim","Ashling the Pilgrim")</f>
        <v>Ashling the Pilgrim</v>
      </c>
      <c r="B1615" s="5">
        <v>1533</v>
      </c>
      <c r="C1615" s="6">
        <v>1</v>
      </c>
      <c r="D1615" s="6">
        <v>2</v>
      </c>
      <c r="E1615" s="6">
        <v>5</v>
      </c>
      <c r="F1615" s="6">
        <v>8</v>
      </c>
      <c r="G1615" s="6">
        <v>1614</v>
      </c>
      <c r="H1615" s="7"/>
    </row>
    <row r="1616" spans="1:8">
      <c r="A1616" s="4" t="str">
        <f>HYPERLINK("https://scryfall.com/card/sok/122/ayumi-the-last-visitor","Ayumi, the Last Visitor")</f>
        <v>Ayumi, the Last Visitor</v>
      </c>
      <c r="B1616" s="5">
        <v>1544</v>
      </c>
      <c r="C1616" s="6">
        <v>0</v>
      </c>
      <c r="D1616" s="6">
        <v>1</v>
      </c>
      <c r="E1616" s="6">
        <v>7</v>
      </c>
      <c r="F1616" s="6">
        <v>8</v>
      </c>
      <c r="G1616" s="6">
        <v>1615</v>
      </c>
      <c r="H1616" s="7"/>
    </row>
    <row r="1617" spans="1:8">
      <c r="A1617" s="4" t="s">
        <v>893</v>
      </c>
      <c r="B1617" s="5">
        <v>1557</v>
      </c>
      <c r="C1617" s="6">
        <v>1</v>
      </c>
      <c r="D1617" s="6">
        <v>0</v>
      </c>
      <c r="E1617" s="6">
        <v>7</v>
      </c>
      <c r="F1617" s="6">
        <v>8</v>
      </c>
      <c r="G1617" s="6">
        <v>1616</v>
      </c>
      <c r="H1617" s="7"/>
    </row>
    <row r="1618" spans="1:8">
      <c r="A1618" s="4" t="s">
        <v>894</v>
      </c>
      <c r="B1618" s="5">
        <v>1558</v>
      </c>
      <c r="C1618" s="6">
        <v>1</v>
      </c>
      <c r="D1618" s="6">
        <v>3</v>
      </c>
      <c r="E1618" s="6">
        <v>4</v>
      </c>
      <c r="F1618" s="6">
        <v>8</v>
      </c>
      <c r="G1618" s="6">
        <v>1617</v>
      </c>
      <c r="H1618" s="7"/>
    </row>
    <row r="1619" spans="1:8">
      <c r="A1619" s="4" t="str">
        <f>HYPERLINK("https://scryfall.com/card/bbd/8/gorm-the-great","Gorm the Great")</f>
        <v>Gorm the Great</v>
      </c>
      <c r="B1619" s="5">
        <v>1560</v>
      </c>
      <c r="C1619" s="6">
        <v>2</v>
      </c>
      <c r="D1619" s="6">
        <v>2</v>
      </c>
      <c r="E1619" s="6">
        <v>4</v>
      </c>
      <c r="F1619" s="6">
        <v>8</v>
      </c>
      <c r="G1619" s="6">
        <v>1618</v>
      </c>
      <c r="H1619" s="7"/>
    </row>
    <row r="1620" spans="1:8">
      <c r="A1620" s="4" t="str">
        <f>HYPERLINK("https://scryfall.com/card/c17/153/jedit-ojanen-of-efrava","Jedit Ojanen of Efrava")</f>
        <v>Jedit Ojanen of Efrava</v>
      </c>
      <c r="B1620" s="5">
        <v>1573</v>
      </c>
      <c r="C1620" s="6">
        <v>1</v>
      </c>
      <c r="D1620" s="6">
        <v>2</v>
      </c>
      <c r="E1620" s="6">
        <v>5</v>
      </c>
      <c r="F1620" s="6">
        <v>8</v>
      </c>
      <c r="G1620" s="6">
        <v>1619</v>
      </c>
      <c r="H1620" s="7"/>
    </row>
    <row r="1621" spans="1:8">
      <c r="A1621" s="4" t="str">
        <f>HYPERLINK("https://scryfall.com/card/inv/54/empress-galina","Empress Galina")</f>
        <v>Empress Galina</v>
      </c>
      <c r="B1621" s="5">
        <v>1589</v>
      </c>
      <c r="C1621" s="6">
        <v>2</v>
      </c>
      <c r="D1621" s="6">
        <v>5</v>
      </c>
      <c r="E1621" s="6">
        <v>1</v>
      </c>
      <c r="F1621" s="6">
        <v>8</v>
      </c>
      <c r="G1621" s="6">
        <v>1620</v>
      </c>
      <c r="H1621" s="7"/>
    </row>
    <row r="1622" spans="1:8">
      <c r="A1622" s="4" t="str">
        <f>HYPERLINK("https://scryfall.com/card/zen/99/kalitas-bloodchief-of-ghet","Kalitas, Bloodchief of Ghet")</f>
        <v>Kalitas, Bloodchief of Ghet</v>
      </c>
      <c r="B1622" s="5">
        <v>1591</v>
      </c>
      <c r="C1622" s="6">
        <v>1</v>
      </c>
      <c r="D1622" s="6">
        <v>3</v>
      </c>
      <c r="E1622" s="6">
        <v>4</v>
      </c>
      <c r="F1622" s="6">
        <v>8</v>
      </c>
      <c r="G1622" s="6">
        <v>1621</v>
      </c>
      <c r="H1622" s="7"/>
    </row>
    <row r="1623" spans="1:8">
      <c r="A1623" s="4" t="str">
        <f>HYPERLINK("https://scryfall.com/card/bok/141/sakiko-mother-of-summer","Sakiko, Mother of Summer")</f>
        <v>Sakiko, Mother of Summer</v>
      </c>
      <c r="B1623" s="5">
        <v>1594</v>
      </c>
      <c r="C1623" s="6">
        <v>2</v>
      </c>
      <c r="D1623" s="6">
        <v>3</v>
      </c>
      <c r="E1623" s="6">
        <v>3</v>
      </c>
      <c r="F1623" s="6">
        <v>8</v>
      </c>
      <c r="G1623" s="6">
        <v>1622</v>
      </c>
      <c r="H1623" s="7"/>
    </row>
    <row r="1624" spans="1:8">
      <c r="A1624" s="4" t="str">
        <f>HYPERLINK("https://scryfall.com/card/bok/72/kyoki-sanitys-eclipse","Kyoki, Sanity's Eclipse")</f>
        <v>Kyoki, Sanity's Eclipse</v>
      </c>
      <c r="B1624" s="5">
        <v>1609</v>
      </c>
      <c r="C1624" s="6">
        <v>1</v>
      </c>
      <c r="D1624" s="6">
        <v>1</v>
      </c>
      <c r="E1624" s="6">
        <v>6</v>
      </c>
      <c r="F1624" s="6">
        <v>8</v>
      </c>
      <c r="G1624" s="6">
        <v>1623</v>
      </c>
      <c r="H1624" s="7"/>
    </row>
    <row r="1625" spans="1:8">
      <c r="A1625" s="4" t="str">
        <f>HYPERLINK("https://scryfall.com/card/ody/120/cabal-patriarch","Cabal Patriarch")</f>
        <v>Cabal Patriarch</v>
      </c>
      <c r="B1625" s="5">
        <v>1621</v>
      </c>
      <c r="C1625" s="6">
        <v>1</v>
      </c>
      <c r="D1625" s="6">
        <v>1</v>
      </c>
      <c r="E1625" s="6">
        <v>6</v>
      </c>
      <c r="F1625" s="6">
        <v>8</v>
      </c>
      <c r="G1625" s="6">
        <v>1624</v>
      </c>
      <c r="H1625" s="7"/>
    </row>
    <row r="1626" spans="1:8">
      <c r="A1626" s="4" t="str">
        <f>HYPERLINK("https://scryfall.com/card/me3/83/xiahou-dun-the-one-eyed","Xiahou Dun, the One-Eyed")</f>
        <v>Xiahou Dun, the One-Eyed</v>
      </c>
      <c r="B1626" s="5">
        <v>1626</v>
      </c>
      <c r="C1626" s="6">
        <v>2</v>
      </c>
      <c r="D1626" s="6">
        <v>3</v>
      </c>
      <c r="E1626" s="6">
        <v>3</v>
      </c>
      <c r="F1626" s="6">
        <v>8</v>
      </c>
      <c r="G1626" s="6">
        <v>1625</v>
      </c>
      <c r="H1626" s="7"/>
    </row>
    <row r="1627" spans="1:8">
      <c r="A1627" s="4" t="str">
        <f>HYPERLINK("https://scryfall.com/card/vma/40/radiant-archangel","Radiant, Archangel")</f>
        <v>Radiant, Archangel</v>
      </c>
      <c r="B1627" s="5">
        <v>1631</v>
      </c>
      <c r="C1627" s="6">
        <v>1</v>
      </c>
      <c r="D1627" s="6">
        <v>2</v>
      </c>
      <c r="E1627" s="6">
        <v>5</v>
      </c>
      <c r="F1627" s="6">
        <v>8</v>
      </c>
      <c r="G1627" s="6">
        <v>1626</v>
      </c>
      <c r="H1627" s="7"/>
    </row>
    <row r="1628" spans="1:8">
      <c r="A1628" s="4" t="str">
        <f>HYPERLINK("https://scryfall.com/card/me2/93/grandmother-sengir","Grandmother Sengir")</f>
        <v>Grandmother Sengir</v>
      </c>
      <c r="B1628" s="5">
        <v>1636</v>
      </c>
      <c r="C1628" s="6">
        <v>0</v>
      </c>
      <c r="D1628" s="6">
        <v>1</v>
      </c>
      <c r="E1628" s="6">
        <v>7</v>
      </c>
      <c r="F1628" s="6">
        <v>8</v>
      </c>
      <c r="G1628" s="6">
        <v>1627</v>
      </c>
      <c r="H1628" s="7"/>
    </row>
    <row r="1629" spans="1:8">
      <c r="A1629" s="4" t="str">
        <f>HYPERLINK("https://scryfall.com/card/c17/198/teneb-the-harvester","Teneb, the Harvester")</f>
        <v>Teneb, the Harvester</v>
      </c>
      <c r="B1629" s="5">
        <v>1641</v>
      </c>
      <c r="C1629" s="6">
        <v>2</v>
      </c>
      <c r="D1629" s="6">
        <v>3</v>
      </c>
      <c r="E1629" s="6">
        <v>3</v>
      </c>
      <c r="F1629" s="6">
        <v>8</v>
      </c>
      <c r="G1629" s="6">
        <v>1628</v>
      </c>
      <c r="H1629" s="7"/>
    </row>
    <row r="1630" spans="1:8">
      <c r="A1630" s="4" t="s">
        <v>919</v>
      </c>
      <c r="B1630" s="5">
        <v>1643</v>
      </c>
      <c r="C1630" s="6">
        <v>1</v>
      </c>
      <c r="D1630" s="6">
        <v>1</v>
      </c>
      <c r="E1630" s="6">
        <v>6</v>
      </c>
      <c r="F1630" s="6">
        <v>8</v>
      </c>
      <c r="G1630" s="6">
        <v>1629</v>
      </c>
      <c r="H1630" s="7"/>
    </row>
    <row r="1631" spans="1:8">
      <c r="A1631" s="4" t="s">
        <v>920</v>
      </c>
      <c r="B1631" s="5">
        <v>1644</v>
      </c>
      <c r="C1631" s="6">
        <v>1</v>
      </c>
      <c r="D1631" s="6">
        <v>4</v>
      </c>
      <c r="E1631" s="6">
        <v>3</v>
      </c>
      <c r="F1631" s="6">
        <v>8</v>
      </c>
      <c r="G1631" s="6">
        <v>1630</v>
      </c>
      <c r="H1631" s="7"/>
    </row>
    <row r="1632" spans="1:8">
      <c r="A1632" s="4" t="str">
        <f>HYPERLINK("https://scryfall.com/card/dom/165/grunn-the-lonely-king","Grunn, the Lonely King")</f>
        <v>Grunn, the Lonely King</v>
      </c>
      <c r="B1632" s="5">
        <v>1645</v>
      </c>
      <c r="C1632" s="6">
        <v>1</v>
      </c>
      <c r="D1632" s="6">
        <v>4</v>
      </c>
      <c r="E1632" s="6">
        <v>3</v>
      </c>
      <c r="F1632" s="6">
        <v>8</v>
      </c>
      <c r="G1632" s="6">
        <v>1631</v>
      </c>
      <c r="H1632" s="7"/>
    </row>
    <row r="1633" spans="1:8">
      <c r="A1633" s="4" t="str">
        <f>HYPERLINK("https://scryfall.com/card/ima/172/jugan-the-rising-star","Jugan, the Rising Star")</f>
        <v>Jugan, the Rising Star</v>
      </c>
      <c r="B1633" s="5">
        <v>1650</v>
      </c>
      <c r="C1633" s="6">
        <v>1</v>
      </c>
      <c r="D1633" s="6">
        <v>0</v>
      </c>
      <c r="E1633" s="6">
        <v>7</v>
      </c>
      <c r="F1633" s="6">
        <v>8</v>
      </c>
      <c r="G1633" s="6">
        <v>1632</v>
      </c>
      <c r="H1633" s="7"/>
    </row>
    <row r="1634" spans="1:8">
      <c r="A1634" s="4" t="str">
        <f>HYPERLINK("https://scryfall.com/card/a25/94/ihsans-shade","Ihsan's Shade")</f>
        <v>Ihsan's Shade</v>
      </c>
      <c r="B1634" s="5">
        <v>1654</v>
      </c>
      <c r="C1634" s="6">
        <v>0</v>
      </c>
      <c r="D1634" s="6">
        <v>0</v>
      </c>
      <c r="E1634" s="6">
        <v>8</v>
      </c>
      <c r="F1634" s="6">
        <v>8</v>
      </c>
      <c r="G1634" s="6">
        <v>1633</v>
      </c>
      <c r="H1634" s="7"/>
    </row>
    <row r="1635" spans="1:8">
      <c r="A1635" s="4" t="str">
        <f>HYPERLINK("https://scryfall.com/card/sok/27/rune-tail-kitsune-ascendant-rune-tails-essence","Rune-Tail, Kitsune Ascendant")</f>
        <v>Rune-Tail, Kitsune Ascendant</v>
      </c>
      <c r="B1635" s="5">
        <v>1656</v>
      </c>
      <c r="C1635" s="6">
        <v>1</v>
      </c>
      <c r="D1635" s="6">
        <v>2</v>
      </c>
      <c r="E1635" s="6">
        <v>5</v>
      </c>
      <c r="F1635" s="6">
        <v>8</v>
      </c>
      <c r="G1635" s="6">
        <v>1634</v>
      </c>
      <c r="H1635" s="7"/>
    </row>
    <row r="1636" spans="1:8">
      <c r="A1636" s="4" t="s">
        <v>926</v>
      </c>
      <c r="B1636" s="5">
        <v>1664</v>
      </c>
      <c r="C1636" s="6">
        <v>1</v>
      </c>
      <c r="D1636" s="6">
        <v>2</v>
      </c>
      <c r="E1636" s="6">
        <v>5</v>
      </c>
      <c r="F1636" s="6">
        <v>8</v>
      </c>
      <c r="G1636" s="6">
        <v>1635</v>
      </c>
      <c r="H1636" s="7"/>
    </row>
    <row r="1637" spans="1:8">
      <c r="A1637" s="4" t="str">
        <f>HYPERLINK("https://scryfall.com/card/c17/96/anowon-the-ruin-sage","Anowon, the Ruin Sage")</f>
        <v>Anowon, the Ruin Sage</v>
      </c>
      <c r="B1637" s="5">
        <v>1666</v>
      </c>
      <c r="C1637" s="6">
        <v>2</v>
      </c>
      <c r="D1637" s="6">
        <v>1</v>
      </c>
      <c r="E1637" s="6">
        <v>5</v>
      </c>
      <c r="F1637" s="6">
        <v>8</v>
      </c>
      <c r="G1637" s="6">
        <v>1636</v>
      </c>
      <c r="H1637" s="7"/>
    </row>
    <row r="1638" spans="1:8">
      <c r="A1638" s="4" t="str">
        <f>HYPERLINK("https://scryfall.com/card/rna/273/the-haunt-of-hightower","The Haunt of Hightower")</f>
        <v>The Haunt of Hightower</v>
      </c>
      <c r="B1638" s="5">
        <v>1667</v>
      </c>
      <c r="C1638" s="6">
        <v>2</v>
      </c>
      <c r="D1638" s="6">
        <v>2</v>
      </c>
      <c r="E1638" s="6">
        <v>4</v>
      </c>
      <c r="F1638" s="6">
        <v>8</v>
      </c>
      <c r="G1638" s="6">
        <v>1637</v>
      </c>
      <c r="H1638" s="7"/>
    </row>
    <row r="1639" spans="1:8">
      <c r="A1639" s="4" t="str">
        <f>HYPERLINK("https://scryfall.com/card/ptk/108/diaochan-artful-beauty","Diaochan, Artful Beauty")</f>
        <v>Diaochan, Artful Beauty</v>
      </c>
      <c r="B1639" s="5">
        <v>1669</v>
      </c>
      <c r="C1639" s="6">
        <v>0</v>
      </c>
      <c r="D1639" s="6">
        <v>5</v>
      </c>
      <c r="E1639" s="6">
        <v>3</v>
      </c>
      <c r="F1639" s="6">
        <v>8</v>
      </c>
      <c r="G1639" s="6">
        <v>1638</v>
      </c>
      <c r="H1639" s="7"/>
    </row>
    <row r="1640" spans="1:8">
      <c r="A1640" s="4" t="str">
        <f>HYPERLINK("https://scryfall.com/card/fut/51/linessa-zephyr-mage","Linessa, Zephyr Mage")</f>
        <v>Linessa, Zephyr Mage</v>
      </c>
      <c r="B1640" s="5">
        <v>1674</v>
      </c>
      <c r="C1640" s="6">
        <v>1</v>
      </c>
      <c r="D1640" s="6">
        <v>1</v>
      </c>
      <c r="E1640" s="6">
        <v>6</v>
      </c>
      <c r="F1640" s="6">
        <v>8</v>
      </c>
      <c r="G1640" s="6">
        <v>1639</v>
      </c>
      <c r="H1640" s="7"/>
    </row>
    <row r="1641" spans="1:8">
      <c r="A1641" s="4" t="str">
        <f>HYPERLINK("https://scryfall.com/card/chk/176/kumano-master-yamabushi","Kumano, Master Yamabushi")</f>
        <v>Kumano, Master Yamabushi</v>
      </c>
      <c r="B1641" s="5">
        <v>1678</v>
      </c>
      <c r="C1641" s="6">
        <v>2</v>
      </c>
      <c r="D1641" s="6">
        <v>0</v>
      </c>
      <c r="E1641" s="6">
        <v>6</v>
      </c>
      <c r="F1641" s="6">
        <v>8</v>
      </c>
      <c r="G1641" s="6">
        <v>1640</v>
      </c>
      <c r="H1641" s="7"/>
    </row>
    <row r="1642" spans="1:8">
      <c r="A1642" s="4" t="str">
        <f>HYPERLINK("https://scryfall.com/card/arc/64/molimo-maro-sorcerer","Molimo, Maro-Sorcerer")</f>
        <v>Molimo, Maro-Sorcerer</v>
      </c>
      <c r="B1642" s="5">
        <v>1679</v>
      </c>
      <c r="C1642" s="6">
        <v>1</v>
      </c>
      <c r="D1642" s="6">
        <v>2</v>
      </c>
      <c r="E1642" s="6">
        <v>5</v>
      </c>
      <c r="F1642" s="6">
        <v>8</v>
      </c>
      <c r="G1642" s="6">
        <v>1641</v>
      </c>
      <c r="H1642" s="7"/>
    </row>
    <row r="1643" spans="1:8">
      <c r="A1643" s="4" t="s">
        <v>931</v>
      </c>
      <c r="B1643" s="5">
        <v>1687</v>
      </c>
      <c r="C1643" s="6">
        <v>1</v>
      </c>
      <c r="D1643" s="6">
        <v>2</v>
      </c>
      <c r="E1643" s="6">
        <v>5</v>
      </c>
      <c r="F1643" s="6">
        <v>8</v>
      </c>
      <c r="G1643" s="6">
        <v>1642</v>
      </c>
      <c r="H1643" s="7"/>
    </row>
    <row r="1644" spans="1:8">
      <c r="A1644" s="4" t="str">
        <f>HYPERLINK("https://scryfall.com/card/dtk/169/zurgo-bellstriker","Zurgo Bellstriker")</f>
        <v>Zurgo Bellstriker</v>
      </c>
      <c r="B1644" s="5">
        <v>1695</v>
      </c>
      <c r="C1644" s="6">
        <v>0</v>
      </c>
      <c r="D1644" s="6">
        <v>0</v>
      </c>
      <c r="E1644" s="6">
        <v>8</v>
      </c>
      <c r="F1644" s="6">
        <v>8</v>
      </c>
      <c r="G1644" s="6">
        <v>1643</v>
      </c>
      <c r="H1644" s="7"/>
    </row>
    <row r="1645" spans="1:8">
      <c r="A1645" s="4" t="str">
        <f>HYPERLINK("https://scryfall.com/card/gnt/26/zahid-djinn-of-the-lamp","Zahid, Djinn of the Lamp")</f>
        <v>Zahid, Djinn of the Lamp</v>
      </c>
      <c r="B1645" s="5">
        <v>1698</v>
      </c>
      <c r="C1645" s="6">
        <v>0</v>
      </c>
      <c r="D1645" s="6">
        <v>1</v>
      </c>
      <c r="E1645" s="6">
        <v>7</v>
      </c>
      <c r="F1645" s="6">
        <v>8</v>
      </c>
      <c r="G1645" s="6">
        <v>1644</v>
      </c>
      <c r="H1645" s="7"/>
    </row>
    <row r="1646" spans="1:8">
      <c r="A1646" s="4" t="str">
        <f>HYPERLINK("https://scryfall.com/card/tmp/224/eladamri-lord-of-leaves","Eladamri, Lord of Leaves")</f>
        <v>Eladamri, Lord of Leaves</v>
      </c>
      <c r="B1646" s="5">
        <v>1711</v>
      </c>
      <c r="C1646" s="6">
        <v>3</v>
      </c>
      <c r="D1646" s="6">
        <v>4</v>
      </c>
      <c r="E1646" s="6">
        <v>1</v>
      </c>
      <c r="F1646" s="6">
        <v>8</v>
      </c>
      <c r="G1646" s="6">
        <v>1645</v>
      </c>
      <c r="H1646" s="7"/>
    </row>
    <row r="1647" spans="1:8">
      <c r="A1647" s="4" t="str">
        <f>HYPERLINK("https://scryfall.com/card/chk/36/nagao-bound-by-honor","Nagao, Bound by Honor")</f>
        <v>Nagao, Bound by Honor</v>
      </c>
      <c r="B1647" s="5">
        <v>1723</v>
      </c>
      <c r="C1647" s="6">
        <v>0</v>
      </c>
      <c r="D1647" s="6">
        <v>3</v>
      </c>
      <c r="E1647" s="6">
        <v>5</v>
      </c>
      <c r="F1647" s="6">
        <v>8</v>
      </c>
      <c r="G1647" s="6">
        <v>1646</v>
      </c>
      <c r="H1647" s="7"/>
    </row>
    <row r="1648" spans="1:8">
      <c r="A1648" s="4" t="str">
        <f>HYPERLINK("https://scryfall.com/card/ptk/14/pang-tong-young-phoenix","Pang Tong, ""Young Phoenix""")</f>
        <v>Pang Tong, "Young Phoenix"</v>
      </c>
      <c r="B1648" s="5">
        <v>1757</v>
      </c>
      <c r="C1648" s="6">
        <v>0</v>
      </c>
      <c r="D1648" s="6">
        <v>0</v>
      </c>
      <c r="E1648" s="6">
        <v>8</v>
      </c>
      <c r="F1648" s="6">
        <v>8</v>
      </c>
      <c r="G1648" s="6">
        <v>1647</v>
      </c>
      <c r="H1648" s="7"/>
    </row>
    <row r="1649" spans="1:8">
      <c r="A1649" s="4" t="str">
        <f>HYPERLINK("https://scryfall.com/card/chk/157/ben-ben-akki-hermit","Ben-Ben, Akki Hermit")</f>
        <v>Ben-Ben, Akki Hermit</v>
      </c>
      <c r="B1649" s="5">
        <v>1337</v>
      </c>
      <c r="C1649" s="6">
        <v>0</v>
      </c>
      <c r="D1649" s="6">
        <v>0</v>
      </c>
      <c r="E1649" s="6">
        <v>7</v>
      </c>
      <c r="F1649" s="6">
        <v>7</v>
      </c>
      <c r="G1649" s="6">
        <v>1648</v>
      </c>
      <c r="H1649" s="7"/>
    </row>
    <row r="1650" spans="1:8">
      <c r="A1650" s="4" t="str">
        <f>HYPERLINK("https://scryfall.com/card/bbd/10/sylvia-brightspear","Sylvia Brightspear")</f>
        <v>Sylvia Brightspear</v>
      </c>
      <c r="B1650" s="5">
        <v>1395</v>
      </c>
      <c r="C1650" s="6">
        <v>1</v>
      </c>
      <c r="D1650" s="6">
        <v>3</v>
      </c>
      <c r="E1650" s="6">
        <v>3</v>
      </c>
      <c r="F1650" s="6">
        <v>7</v>
      </c>
      <c r="G1650" s="6">
        <v>1649</v>
      </c>
      <c r="H1650" s="7"/>
    </row>
    <row r="1651" spans="1:8">
      <c r="A1651" s="4" t="str">
        <f>HYPERLINK("https://scryfall.com/card/chk/181/myojin-of-infinite-rage","Myojin of Infinite Rage")</f>
        <v>Myojin of Infinite Rage</v>
      </c>
      <c r="B1651" s="5">
        <v>1424</v>
      </c>
      <c r="C1651" s="6">
        <v>3</v>
      </c>
      <c r="D1651" s="6">
        <v>0</v>
      </c>
      <c r="E1651" s="6">
        <v>4</v>
      </c>
      <c r="F1651" s="6">
        <v>7</v>
      </c>
      <c r="G1651" s="6">
        <v>1650</v>
      </c>
      <c r="H1651" s="7"/>
    </row>
    <row r="1652" spans="1:8">
      <c r="A1652" s="4" t="str">
        <f>HYPERLINK("https://scryfall.com/card/mrd/120/glissa-sunseeker","Glissa Sunseeker")</f>
        <v>Glissa Sunseeker</v>
      </c>
      <c r="B1652" s="5">
        <v>1447</v>
      </c>
      <c r="C1652" s="6">
        <v>2</v>
      </c>
      <c r="D1652" s="6">
        <v>3</v>
      </c>
      <c r="E1652" s="6">
        <v>2</v>
      </c>
      <c r="F1652" s="6">
        <v>7</v>
      </c>
      <c r="G1652" s="6">
        <v>1651</v>
      </c>
      <c r="H1652" s="7"/>
    </row>
    <row r="1653" spans="1:8">
      <c r="A1653" s="4" t="str">
        <f>HYPERLINK("https://scryfall.com/card/lrw/253/wydwen-the-biting-gale","Wydwen, the Biting Gale")</f>
        <v>Wydwen, the Biting Gale</v>
      </c>
      <c r="B1653" s="5">
        <v>1452</v>
      </c>
      <c r="C1653" s="6">
        <v>1</v>
      </c>
      <c r="D1653" s="6">
        <v>2</v>
      </c>
      <c r="E1653" s="6">
        <v>4</v>
      </c>
      <c r="F1653" s="6">
        <v>7</v>
      </c>
      <c r="G1653" s="6">
        <v>1652</v>
      </c>
      <c r="H1653" s="7"/>
    </row>
    <row r="1654" spans="1:8">
      <c r="A1654" s="4" t="str">
        <f>HYPERLINK("https://scryfall.com/card/chk/205/dosan-the-falling-leaf","Dosan the Falling Leaf")</f>
        <v>Dosan the Falling Leaf</v>
      </c>
      <c r="B1654" s="5">
        <v>1455</v>
      </c>
      <c r="C1654" s="6">
        <v>1</v>
      </c>
      <c r="D1654" s="6">
        <v>0</v>
      </c>
      <c r="E1654" s="6">
        <v>6</v>
      </c>
      <c r="F1654" s="6">
        <v>7</v>
      </c>
      <c r="G1654" s="6">
        <v>1653</v>
      </c>
      <c r="H1654" s="7"/>
    </row>
    <row r="1655" spans="1:8">
      <c r="A1655" s="4" t="str">
        <f>HYPERLINK("https://scryfall.com/card/nem/75/volrath-the-fallen","Volrath the Fallen")</f>
        <v>Volrath the Fallen</v>
      </c>
      <c r="B1655" s="5">
        <v>1485</v>
      </c>
      <c r="C1655" s="6">
        <v>0</v>
      </c>
      <c r="D1655" s="6">
        <v>2</v>
      </c>
      <c r="E1655" s="6">
        <v>5</v>
      </c>
      <c r="F1655" s="6">
        <v>7</v>
      </c>
      <c r="G1655" s="6">
        <v>1654</v>
      </c>
      <c r="H1655" s="7"/>
    </row>
    <row r="1656" spans="1:8">
      <c r="A1656" s="4" t="str">
        <f>HYPERLINK("https://scryfall.com/card/vma/270/karn-silver-golem","Karn, Silver Golem")</f>
        <v>Karn, Silver Golem</v>
      </c>
      <c r="B1656" s="5">
        <v>1516</v>
      </c>
      <c r="C1656" s="6">
        <v>1</v>
      </c>
      <c r="D1656" s="6">
        <v>4</v>
      </c>
      <c r="E1656" s="6">
        <v>2</v>
      </c>
      <c r="F1656" s="6">
        <v>7</v>
      </c>
      <c r="G1656" s="6">
        <v>1655</v>
      </c>
      <c r="H1656" s="7"/>
    </row>
    <row r="1657" spans="1:8">
      <c r="A1657" s="4" t="str">
        <f>HYPERLINK("https://scryfall.com/card/soi/248/olivia-mobilized-for-war","Olivia, Mobilized for War")</f>
        <v>Olivia, Mobilized for War</v>
      </c>
      <c r="B1657" s="5">
        <v>1518</v>
      </c>
      <c r="C1657" s="6">
        <v>1</v>
      </c>
      <c r="D1657" s="6">
        <v>2</v>
      </c>
      <c r="E1657" s="6">
        <v>4</v>
      </c>
      <c r="F1657" s="6">
        <v>7</v>
      </c>
      <c r="G1657" s="6">
        <v>1656</v>
      </c>
      <c r="H1657" s="7"/>
    </row>
    <row r="1658" spans="1:8">
      <c r="A1658" s="4" t="str">
        <f>HYPERLINK("https://scryfall.com/card/dom/113/yargle-glutton-of-urborg","Yargle, Glutton of Urborg")</f>
        <v>Yargle, Glutton of Urborg</v>
      </c>
      <c r="B1658" s="5">
        <v>1549</v>
      </c>
      <c r="C1658" s="6">
        <v>0</v>
      </c>
      <c r="D1658" s="6">
        <v>0</v>
      </c>
      <c r="E1658" s="6">
        <v>7</v>
      </c>
      <c r="F1658" s="6">
        <v>7</v>
      </c>
      <c r="G1658" s="6">
        <v>1657</v>
      </c>
      <c r="H1658" s="7"/>
    </row>
    <row r="1659" spans="1:8">
      <c r="A1659" s="4" t="s">
        <v>890</v>
      </c>
      <c r="B1659" s="5">
        <v>1553</v>
      </c>
      <c r="C1659" s="6">
        <v>1</v>
      </c>
      <c r="D1659" s="6">
        <v>0</v>
      </c>
      <c r="E1659" s="6">
        <v>6</v>
      </c>
      <c r="F1659" s="6">
        <v>7</v>
      </c>
      <c r="G1659" s="6">
        <v>1658</v>
      </c>
      <c r="H1659" s="7"/>
    </row>
    <row r="1660" spans="1:8">
      <c r="A1660" s="4" t="str">
        <f>HYPERLINK("https://scryfall.com/card/ice/27/general-jarkeld","General Jarkeld")</f>
        <v>General Jarkeld</v>
      </c>
      <c r="B1660" s="5">
        <v>1572</v>
      </c>
      <c r="C1660" s="6">
        <v>0</v>
      </c>
      <c r="D1660" s="6">
        <v>2</v>
      </c>
      <c r="E1660" s="6">
        <v>5</v>
      </c>
      <c r="F1660" s="6">
        <v>7</v>
      </c>
      <c r="G1660" s="6">
        <v>1659</v>
      </c>
      <c r="H1660" s="7"/>
    </row>
    <row r="1661" spans="1:8">
      <c r="A1661" s="4" t="s">
        <v>901</v>
      </c>
      <c r="B1661" s="5">
        <v>1583</v>
      </c>
      <c r="C1661" s="6">
        <v>2</v>
      </c>
      <c r="D1661" s="6">
        <v>1</v>
      </c>
      <c r="E1661" s="6">
        <v>4</v>
      </c>
      <c r="F1661" s="6">
        <v>7</v>
      </c>
      <c r="G1661" s="6">
        <v>1660</v>
      </c>
      <c r="H1661" s="7"/>
    </row>
    <row r="1662" spans="1:8">
      <c r="A1662" s="4" t="str">
        <f>HYPERLINK("https://scryfall.com/card/me1/143/dakkon-blackblade","Dakkon Blackblade")</f>
        <v>Dakkon Blackblade</v>
      </c>
      <c r="B1662" s="5">
        <v>1596</v>
      </c>
      <c r="C1662" s="6">
        <v>0</v>
      </c>
      <c r="D1662" s="6">
        <v>0</v>
      </c>
      <c r="E1662" s="6">
        <v>7</v>
      </c>
      <c r="F1662" s="6">
        <v>7</v>
      </c>
      <c r="G1662" s="6">
        <v>1661</v>
      </c>
      <c r="H1662" s="7"/>
    </row>
    <row r="1663" spans="1:8">
      <c r="A1663" s="4" t="s">
        <v>908</v>
      </c>
      <c r="B1663" s="5">
        <v>1601</v>
      </c>
      <c r="C1663" s="6">
        <v>0</v>
      </c>
      <c r="D1663" s="6">
        <v>2</v>
      </c>
      <c r="E1663" s="6">
        <v>5</v>
      </c>
      <c r="F1663" s="6">
        <v>7</v>
      </c>
      <c r="G1663" s="6">
        <v>1662</v>
      </c>
      <c r="H1663" s="7"/>
    </row>
    <row r="1664" spans="1:8">
      <c r="A1664" s="4" t="str">
        <f>HYPERLINK("https://scryfall.com/card/sok/121/arashi-the-sky-asunder","Arashi, the Sky Asunder")</f>
        <v>Arashi, the Sky Asunder</v>
      </c>
      <c r="B1664" s="5">
        <v>1608</v>
      </c>
      <c r="C1664" s="6">
        <v>1</v>
      </c>
      <c r="D1664" s="6">
        <v>0</v>
      </c>
      <c r="E1664" s="6">
        <v>6</v>
      </c>
      <c r="F1664" s="6">
        <v>7</v>
      </c>
      <c r="G1664" s="6">
        <v>1663</v>
      </c>
      <c r="H1664" s="7"/>
    </row>
    <row r="1665" spans="1:8">
      <c r="A1665" s="4" t="str">
        <f>HYPERLINK("https://scryfall.com/card/me1/141/adun-oakenshield","Adun Oakenshield")</f>
        <v>Adun Oakenshield</v>
      </c>
      <c r="B1665" s="5">
        <v>1617</v>
      </c>
      <c r="C1665" s="6">
        <v>4</v>
      </c>
      <c r="D1665" s="6">
        <v>2</v>
      </c>
      <c r="E1665" s="6">
        <v>1</v>
      </c>
      <c r="F1665" s="6">
        <v>7</v>
      </c>
      <c r="G1665" s="6">
        <v>1664</v>
      </c>
      <c r="H1665" s="7"/>
    </row>
    <row r="1666" spans="1:8">
      <c r="A1666" s="4" t="str">
        <f>HYPERLINK("https://scryfall.com/card/gk1/83/agrus-kos-wojek-veteran","Agrus Kos, Wojek Veteran")</f>
        <v>Agrus Kos, Wojek Veteran</v>
      </c>
      <c r="B1666" s="5">
        <v>1625</v>
      </c>
      <c r="C1666" s="6">
        <v>2</v>
      </c>
      <c r="D1666" s="6">
        <v>2</v>
      </c>
      <c r="E1666" s="6">
        <v>3</v>
      </c>
      <c r="F1666" s="6">
        <v>7</v>
      </c>
      <c r="G1666" s="6">
        <v>1665</v>
      </c>
      <c r="H1666" s="7"/>
    </row>
    <row r="1667" spans="1:8">
      <c r="A1667" s="4" t="s">
        <v>915</v>
      </c>
      <c r="B1667" s="5">
        <v>1637</v>
      </c>
      <c r="C1667" s="6">
        <v>1</v>
      </c>
      <c r="D1667" s="6">
        <v>2</v>
      </c>
      <c r="E1667" s="6">
        <v>4</v>
      </c>
      <c r="F1667" s="6">
        <v>7</v>
      </c>
      <c r="G1667" s="6">
        <v>1666</v>
      </c>
      <c r="H1667" s="7"/>
    </row>
    <row r="1668" spans="1:8">
      <c r="A1668" s="4" t="str">
        <f>HYPERLINK("https://scryfall.com/card/thb/222/kunoros-hound-of-athreos","Kunoros, Hound of Athreos")</f>
        <v>Kunoros, Hound of Athreos</v>
      </c>
      <c r="B1668" s="5">
        <v>1655</v>
      </c>
      <c r="C1668" s="6">
        <v>1</v>
      </c>
      <c r="D1668" s="6">
        <v>1</v>
      </c>
      <c r="E1668" s="6">
        <v>5</v>
      </c>
      <c r="F1668" s="6">
        <v>7</v>
      </c>
      <c r="G1668" s="6">
        <v>1667</v>
      </c>
      <c r="H1668" s="7"/>
    </row>
    <row r="1669" spans="1:8">
      <c r="A1669" s="4" t="s">
        <v>925</v>
      </c>
      <c r="B1669" s="5">
        <v>1662</v>
      </c>
      <c r="C1669" s="6">
        <v>0</v>
      </c>
      <c r="D1669" s="6">
        <v>0</v>
      </c>
      <c r="E1669" s="6">
        <v>7</v>
      </c>
      <c r="F1669" s="6">
        <v>7</v>
      </c>
      <c r="G1669" s="6">
        <v>1668</v>
      </c>
      <c r="H1669" s="7"/>
    </row>
    <row r="1670" spans="1:8">
      <c r="A1670" s="4" t="str">
        <f>HYPERLINK("https://scryfall.com/card/c18/173/daxos-of-meletis","Daxos of Meletis")</f>
        <v>Daxos of Meletis</v>
      </c>
      <c r="B1670" s="5">
        <v>1663</v>
      </c>
      <c r="C1670" s="6">
        <v>1</v>
      </c>
      <c r="D1670" s="6">
        <v>4</v>
      </c>
      <c r="E1670" s="6">
        <v>2</v>
      </c>
      <c r="F1670" s="6">
        <v>7</v>
      </c>
      <c r="G1670" s="6">
        <v>1669</v>
      </c>
      <c r="H1670" s="7"/>
    </row>
    <row r="1671" spans="1:8">
      <c r="A1671" s="4" t="str">
        <f>HYPERLINK("https://scryfall.com/card/eld/171/questing-beast","Questing Beast")</f>
        <v>Questing Beast</v>
      </c>
      <c r="B1671" s="5">
        <v>1665</v>
      </c>
      <c r="C1671" s="6">
        <v>1</v>
      </c>
      <c r="D1671" s="6">
        <v>1</v>
      </c>
      <c r="E1671" s="6">
        <v>5</v>
      </c>
      <c r="F1671" s="6">
        <v>7</v>
      </c>
      <c r="G1671" s="6">
        <v>1670</v>
      </c>
      <c r="H1671" s="7"/>
    </row>
    <row r="1672" spans="1:8">
      <c r="A1672" s="4" t="s">
        <v>927</v>
      </c>
      <c r="B1672" s="5">
        <v>1670</v>
      </c>
      <c r="C1672" s="6">
        <v>1</v>
      </c>
      <c r="D1672" s="6">
        <v>1</v>
      </c>
      <c r="E1672" s="6">
        <v>5</v>
      </c>
      <c r="F1672" s="6">
        <v>7</v>
      </c>
      <c r="G1672" s="6">
        <v>1671</v>
      </c>
      <c r="H1672" s="7"/>
    </row>
    <row r="1673" spans="1:8">
      <c r="A1673" s="4" t="str">
        <f>HYPERLINK("https://scryfall.com/card/dds/39/kamahl-pit-fighter","Kamahl, Pit Fighter")</f>
        <v>Kamahl, Pit Fighter</v>
      </c>
      <c r="B1673" s="5">
        <v>1676</v>
      </c>
      <c r="C1673" s="6">
        <v>2</v>
      </c>
      <c r="D1673" s="6">
        <v>2</v>
      </c>
      <c r="E1673" s="6">
        <v>3</v>
      </c>
      <c r="F1673" s="6">
        <v>7</v>
      </c>
      <c r="G1673" s="6">
        <v>1672</v>
      </c>
      <c r="H1673" s="7"/>
    </row>
    <row r="1674" spans="1:8">
      <c r="A1674" s="4" t="s">
        <v>930</v>
      </c>
      <c r="B1674" s="5">
        <v>1684</v>
      </c>
      <c r="C1674" s="6">
        <v>1</v>
      </c>
      <c r="D1674" s="6">
        <v>2</v>
      </c>
      <c r="E1674" s="6">
        <v>4</v>
      </c>
      <c r="F1674" s="6">
        <v>7</v>
      </c>
      <c r="G1674" s="6">
        <v>1673</v>
      </c>
      <c r="H1674" s="7"/>
    </row>
    <row r="1675" spans="1:8">
      <c r="A1675" s="4" t="str">
        <f>HYPERLINK("https://scryfall.com/card/pcy/66/greel-mind-raker","Greel, Mind Raker")</f>
        <v>Greel, Mind Raker</v>
      </c>
      <c r="B1675" s="5">
        <v>1689</v>
      </c>
      <c r="C1675" s="6">
        <v>2</v>
      </c>
      <c r="D1675" s="6">
        <v>2</v>
      </c>
      <c r="E1675" s="6">
        <v>3</v>
      </c>
      <c r="F1675" s="6">
        <v>7</v>
      </c>
      <c r="G1675" s="6">
        <v>1674</v>
      </c>
      <c r="H1675" s="7"/>
    </row>
    <row r="1676" spans="1:8">
      <c r="A1676" s="4" t="str">
        <f>HYPERLINK("https://scryfall.com/search?as=grid&amp;order=released&amp;q=%21%E2%80%9CAvacyn%2C+Guardian+Angel%E2%80%9D&amp;unique=prints","Avacyn, Guardian Angel")</f>
        <v>Avacyn, Guardian Angel</v>
      </c>
      <c r="B1676" s="5">
        <v>1694</v>
      </c>
      <c r="C1676" s="6">
        <v>2</v>
      </c>
      <c r="D1676" s="6">
        <v>2</v>
      </c>
      <c r="E1676" s="6">
        <v>3</v>
      </c>
      <c r="F1676" s="6">
        <v>7</v>
      </c>
      <c r="G1676" s="6">
        <v>1675</v>
      </c>
      <c r="H1676" s="7"/>
    </row>
    <row r="1677" spans="1:8">
      <c r="A1677" s="4" t="str">
        <f>HYPERLINK("https://scryfall.com/card/mir/51/zuberi-golden-feather","Zuberi, Golden Feather")</f>
        <v>Zuberi, Golden Feather</v>
      </c>
      <c r="B1677" s="5">
        <v>1697</v>
      </c>
      <c r="C1677" s="6">
        <v>1</v>
      </c>
      <c r="D1677" s="6">
        <v>3</v>
      </c>
      <c r="E1677" s="6">
        <v>3</v>
      </c>
      <c r="F1677" s="6">
        <v>7</v>
      </c>
      <c r="G1677" s="6">
        <v>1676</v>
      </c>
      <c r="H1677" s="7"/>
    </row>
    <row r="1678" spans="1:8">
      <c r="A1678" s="4" t="str">
        <f>HYPERLINK("https://scryfall.com/card/dom/149/verix-bladewing","Verix Bladewing")</f>
        <v>Verix Bladewing</v>
      </c>
      <c r="B1678" s="5">
        <v>1710</v>
      </c>
      <c r="C1678" s="6">
        <v>0</v>
      </c>
      <c r="D1678" s="6">
        <v>1</v>
      </c>
      <c r="E1678" s="6">
        <v>6</v>
      </c>
      <c r="F1678" s="6">
        <v>7</v>
      </c>
      <c r="G1678" s="6">
        <v>1677</v>
      </c>
      <c r="H1678" s="7"/>
    </row>
    <row r="1679" spans="1:8">
      <c r="A1679" s="4" t="str">
        <f>HYPERLINK("https://scryfall.com/card/me3/162/nebuchadnezzar","Nebuchadnezzar")</f>
        <v>Nebuchadnezzar</v>
      </c>
      <c r="B1679" s="5">
        <v>1719</v>
      </c>
      <c r="C1679" s="6">
        <v>0</v>
      </c>
      <c r="D1679" s="6">
        <v>2</v>
      </c>
      <c r="E1679" s="6">
        <v>5</v>
      </c>
      <c r="F1679" s="6">
        <v>7</v>
      </c>
      <c r="G1679" s="6">
        <v>1678</v>
      </c>
      <c r="H1679" s="7"/>
    </row>
    <row r="1680" spans="1:8">
      <c r="A1680" s="4" t="str">
        <f>HYPERLINK("https://scryfall.com/card/bok/129/isao-enlightened-bushi","Isao, Enlightened Bushi")</f>
        <v>Isao, Enlightened Bushi</v>
      </c>
      <c r="B1680" s="5">
        <v>1722</v>
      </c>
      <c r="C1680" s="6">
        <v>1</v>
      </c>
      <c r="D1680" s="6">
        <v>0</v>
      </c>
      <c r="E1680" s="6">
        <v>6</v>
      </c>
      <c r="F1680" s="6">
        <v>7</v>
      </c>
      <c r="G1680" s="6">
        <v>1679</v>
      </c>
      <c r="H1680" s="7"/>
    </row>
    <row r="1681" spans="1:8">
      <c r="A1681" s="4" t="s">
        <v>933</v>
      </c>
      <c r="B1681" s="5">
        <v>1725</v>
      </c>
      <c r="C1681" s="6">
        <v>1</v>
      </c>
      <c r="D1681" s="6">
        <v>0</v>
      </c>
      <c r="E1681" s="6">
        <v>6</v>
      </c>
      <c r="F1681" s="6">
        <v>7</v>
      </c>
      <c r="G1681" s="6">
        <v>1680</v>
      </c>
      <c r="H1681" s="7"/>
    </row>
    <row r="1682" spans="1:8">
      <c r="A1682" s="4" t="str">
        <f>HYPERLINK("https://scryfall.com/card/cma/41/lu-xun-scholar-general","Lu Xun, Scholar General")</f>
        <v>Lu Xun, Scholar General</v>
      </c>
      <c r="B1682" s="5">
        <v>1726</v>
      </c>
      <c r="C1682" s="6">
        <v>1</v>
      </c>
      <c r="D1682" s="6">
        <v>4</v>
      </c>
      <c r="E1682" s="6">
        <v>2</v>
      </c>
      <c r="F1682" s="6">
        <v>7</v>
      </c>
      <c r="G1682" s="6">
        <v>1681</v>
      </c>
      <c r="H1682" s="7"/>
    </row>
    <row r="1683" spans="1:8">
      <c r="A1683" s="4" t="str">
        <f>HYPERLINK("https://scryfall.com/card/fut/123/tarox-bladewing","Tarox Bladewing")</f>
        <v>Tarox Bladewing</v>
      </c>
      <c r="B1683" s="5">
        <v>1730</v>
      </c>
      <c r="C1683" s="6">
        <v>0</v>
      </c>
      <c r="D1683" s="6">
        <v>1</v>
      </c>
      <c r="E1683" s="6">
        <v>6</v>
      </c>
      <c r="F1683" s="6">
        <v>7</v>
      </c>
      <c r="G1683" s="6">
        <v>1682</v>
      </c>
      <c r="H1683" s="7"/>
    </row>
    <row r="1684" spans="1:8">
      <c r="A1684" s="4" t="str">
        <f>HYPERLINK("https://scryfall.com/card/chk/222/kodama-of-the-north-tree","Kodama of the North Tree")</f>
        <v>Kodama of the North Tree</v>
      </c>
      <c r="B1684" s="5">
        <v>1736</v>
      </c>
      <c r="C1684" s="6">
        <v>0</v>
      </c>
      <c r="D1684" s="6">
        <v>0</v>
      </c>
      <c r="E1684" s="6">
        <v>7</v>
      </c>
      <c r="F1684" s="6">
        <v>7</v>
      </c>
      <c r="G1684" s="6">
        <v>1683</v>
      </c>
      <c r="H1684" s="7"/>
    </row>
    <row r="1685" spans="1:8">
      <c r="A1685" s="4" t="str">
        <f>HYPERLINK("https://scryfall.com/card/sok/91/adamaro-first-to-desire","Adamaro, First to Desire")</f>
        <v>Adamaro, First to Desire</v>
      </c>
      <c r="B1685" s="5">
        <v>1738</v>
      </c>
      <c r="C1685" s="6">
        <v>0</v>
      </c>
      <c r="D1685" s="6">
        <v>1</v>
      </c>
      <c r="E1685" s="6">
        <v>6</v>
      </c>
      <c r="F1685" s="6">
        <v>7</v>
      </c>
      <c r="G1685" s="6">
        <v>1684</v>
      </c>
      <c r="H1685" s="7"/>
    </row>
    <row r="1686" spans="1:8">
      <c r="A1686" s="4" t="str">
        <f>HYPERLINK("https://scryfall.com/card/chk/33/masako-the-humorless","Masako the Humorless")</f>
        <v>Masako the Humorless</v>
      </c>
      <c r="B1686" s="5">
        <v>1743</v>
      </c>
      <c r="C1686" s="6">
        <v>1</v>
      </c>
      <c r="D1686" s="6">
        <v>0</v>
      </c>
      <c r="E1686" s="6">
        <v>6</v>
      </c>
      <c r="F1686" s="6">
        <v>7</v>
      </c>
      <c r="G1686" s="6">
        <v>1685</v>
      </c>
      <c r="H1686" s="7"/>
    </row>
    <row r="1687" spans="1:8">
      <c r="A1687" s="4" t="str">
        <f>HYPERLINK("https://scryfall.com/card/tsb/93/jasmine-boreal","Jasmine Boreal")</f>
        <v>Jasmine Boreal</v>
      </c>
      <c r="B1687" s="5">
        <v>1750</v>
      </c>
      <c r="C1687" s="6">
        <v>0</v>
      </c>
      <c r="D1687" s="6">
        <v>0</v>
      </c>
      <c r="E1687" s="6">
        <v>7</v>
      </c>
      <c r="F1687" s="6">
        <v>7</v>
      </c>
      <c r="G1687" s="6">
        <v>1686</v>
      </c>
      <c r="H1687" s="7"/>
    </row>
    <row r="1688" spans="1:8" ht="18" customHeight="1">
      <c r="A1688" s="4" t="str">
        <f>HYPERLINK("https://scryfall.com/card/ema/186/silvos-rogue-elemental","Silvos, Rogue Elemental")</f>
        <v>Silvos, Rogue Elemental</v>
      </c>
      <c r="B1688" s="5">
        <v>1754</v>
      </c>
      <c r="C1688" s="6">
        <v>1</v>
      </c>
      <c r="D1688" s="6">
        <v>3</v>
      </c>
      <c r="E1688" s="6">
        <v>3</v>
      </c>
      <c r="F1688" s="6">
        <v>7</v>
      </c>
      <c r="G1688" s="6">
        <v>1687</v>
      </c>
      <c r="H1688" s="7"/>
    </row>
    <row r="1689" spans="1:8" ht="18" customHeight="1">
      <c r="A1689" s="4" t="str">
        <f>HYPERLINK("https://scryfall.com/card/pcy/28/alexi-zephyr-mage","Alexi, Zephyr Mage")</f>
        <v>Alexi, Zephyr Mage</v>
      </c>
      <c r="B1689" s="5">
        <v>1764</v>
      </c>
      <c r="C1689" s="6">
        <v>2</v>
      </c>
      <c r="D1689" s="6">
        <v>1</v>
      </c>
      <c r="E1689" s="6">
        <v>4</v>
      </c>
      <c r="F1689" s="6">
        <v>7</v>
      </c>
      <c r="G1689" s="6">
        <v>1688</v>
      </c>
      <c r="H1689" s="7"/>
    </row>
    <row r="1690" spans="1:8" ht="18" customHeight="1">
      <c r="A1690" s="4" t="str">
        <f>HYPERLINK("https://scryfall.com/card/pca/33/ink-eyes-servant-of-oni","Ink-Eyes, Servant of Oni")</f>
        <v>Ink-Eyes, Servant of Oni</v>
      </c>
      <c r="B1690" s="5">
        <v>1453</v>
      </c>
      <c r="C1690" s="6">
        <v>1</v>
      </c>
      <c r="D1690" s="6">
        <v>3</v>
      </c>
      <c r="E1690" s="6">
        <v>2</v>
      </c>
      <c r="F1690" s="6">
        <v>6</v>
      </c>
      <c r="G1690" s="6">
        <v>1689</v>
      </c>
      <c r="H1690" s="7"/>
    </row>
    <row r="1691" spans="1:8">
      <c r="A1691" s="4" t="str">
        <f>HYPERLINK("https://scryfall.com/card/dde/46/gerrard-capashen","Gerrard Capashen")</f>
        <v>Gerrard Capashen</v>
      </c>
      <c r="B1691" s="5">
        <v>1552</v>
      </c>
      <c r="C1691" s="6">
        <v>1</v>
      </c>
      <c r="D1691" s="6">
        <v>2</v>
      </c>
      <c r="E1691" s="6">
        <v>3</v>
      </c>
      <c r="F1691" s="6">
        <v>6</v>
      </c>
      <c r="G1691" s="6">
        <v>1690</v>
      </c>
      <c r="H1691" s="7"/>
    </row>
    <row r="1692" spans="1:8">
      <c r="A1692" s="4" t="str">
        <f>HYPERLINK("https://scryfall.com/card/leg/253/rasputin-dreamweaver","Rasputin Dreamweaver")</f>
        <v>Rasputin Dreamweaver</v>
      </c>
      <c r="B1692" s="5">
        <v>1562</v>
      </c>
      <c r="C1692" s="6">
        <v>1</v>
      </c>
      <c r="D1692" s="6">
        <v>3</v>
      </c>
      <c r="E1692" s="6">
        <v>2</v>
      </c>
      <c r="F1692" s="6">
        <v>6</v>
      </c>
      <c r="G1692" s="6">
        <v>1691</v>
      </c>
      <c r="H1692" s="7"/>
    </row>
    <row r="1693" spans="1:8">
      <c r="A1693" s="4" t="str">
        <f>HYPERLINK("https://scryfall.com/card/war/167/mowu-loyal-companion","Mowu, Loyal Companion")</f>
        <v>Mowu, Loyal Companion</v>
      </c>
      <c r="B1693" s="5">
        <v>1565</v>
      </c>
      <c r="C1693" s="6">
        <v>0</v>
      </c>
      <c r="D1693" s="6">
        <v>1</v>
      </c>
      <c r="E1693" s="6">
        <v>5</v>
      </c>
      <c r="F1693" s="6">
        <v>6</v>
      </c>
      <c r="G1693" s="6">
        <v>1692</v>
      </c>
      <c r="H1693" s="7"/>
    </row>
    <row r="1694" spans="1:8">
      <c r="A1694" s="4" t="str">
        <f>HYPERLINK("https://scryfall.com/card/csp/61/haakon-stromgald-scourge","Haakon, Stromgald Scourge")</f>
        <v>Haakon, Stromgald Scourge</v>
      </c>
      <c r="B1694" s="5">
        <v>1612</v>
      </c>
      <c r="C1694" s="6">
        <v>0</v>
      </c>
      <c r="D1694" s="6">
        <v>1</v>
      </c>
      <c r="E1694" s="6">
        <v>5</v>
      </c>
      <c r="F1694" s="6">
        <v>6</v>
      </c>
      <c r="G1694" s="6">
        <v>1693</v>
      </c>
      <c r="H1694" s="7"/>
    </row>
    <row r="1695" spans="1:8">
      <c r="A1695" s="4" t="str">
        <f>HYPERLINK("https://scryfall.com/card/gk1/44/tibor-and-lumia","Tibor and Lumia")</f>
        <v>Tibor and Lumia</v>
      </c>
      <c r="B1695" s="5">
        <v>1630</v>
      </c>
      <c r="C1695" s="6">
        <v>1</v>
      </c>
      <c r="D1695" s="6">
        <v>2</v>
      </c>
      <c r="E1695" s="6">
        <v>3</v>
      </c>
      <c r="F1695" s="6">
        <v>6</v>
      </c>
      <c r="G1695" s="6">
        <v>1694</v>
      </c>
      <c r="H1695" s="7"/>
    </row>
    <row r="1696" spans="1:8">
      <c r="A1696" s="4" t="str">
        <f>HYPERLINK("https://scryfall.com/card/dom/95/josu-vess-lich-knight","Josu Vess, Lich Knight")</f>
        <v>Josu Vess, Lich Knight</v>
      </c>
      <c r="B1696" s="5">
        <v>1632</v>
      </c>
      <c r="C1696" s="6">
        <v>1</v>
      </c>
      <c r="D1696" s="6">
        <v>2</v>
      </c>
      <c r="E1696" s="6">
        <v>3</v>
      </c>
      <c r="F1696" s="6">
        <v>6</v>
      </c>
      <c r="G1696" s="6">
        <v>1695</v>
      </c>
      <c r="H1696" s="7"/>
    </row>
    <row r="1697" spans="1:8">
      <c r="A1697" s="4" t="str">
        <f>HYPERLINK("https://scryfall.com/card/mir/35/rashida-scalebane","Rashida Scalebane")</f>
        <v>Rashida Scalebane</v>
      </c>
      <c r="B1697" s="5">
        <v>1640</v>
      </c>
      <c r="C1697" s="6">
        <v>0</v>
      </c>
      <c r="D1697" s="6">
        <v>1</v>
      </c>
      <c r="E1697" s="6">
        <v>5</v>
      </c>
      <c r="F1697" s="6">
        <v>6</v>
      </c>
      <c r="G1697" s="6">
        <v>1696</v>
      </c>
      <c r="H1697" s="7"/>
    </row>
    <row r="1698" spans="1:8" ht="18" customHeight="1">
      <c r="A1698" s="4" t="str">
        <f>HYPERLINK("https://scryfall.com/card/ori/135/chandra-fire-of-kaladesh-chandra-roaring-flame","Chandra, Fire of Kaladesh")</f>
        <v>Chandra, Fire of Kaladesh</v>
      </c>
      <c r="B1698" s="5">
        <v>1647</v>
      </c>
      <c r="C1698" s="6">
        <v>1</v>
      </c>
      <c r="D1698" s="6">
        <v>2</v>
      </c>
      <c r="E1698" s="6">
        <v>3</v>
      </c>
      <c r="F1698" s="6">
        <v>6</v>
      </c>
      <c r="G1698" s="6">
        <v>1697</v>
      </c>
      <c r="H1698" s="7"/>
    </row>
    <row r="1699" spans="1:8">
      <c r="A1699" s="4" t="s">
        <v>922</v>
      </c>
      <c r="B1699" s="5">
        <v>1652</v>
      </c>
      <c r="C1699" s="6">
        <v>0</v>
      </c>
      <c r="D1699" s="6">
        <v>2</v>
      </c>
      <c r="E1699" s="6">
        <v>4</v>
      </c>
      <c r="F1699" s="6">
        <v>6</v>
      </c>
      <c r="G1699" s="6">
        <v>1698</v>
      </c>
      <c r="H1699" s="7"/>
    </row>
    <row r="1700" spans="1:8">
      <c r="A1700" s="4" t="s">
        <v>924</v>
      </c>
      <c r="B1700" s="5">
        <v>1658</v>
      </c>
      <c r="C1700" s="6">
        <v>0</v>
      </c>
      <c r="D1700" s="6">
        <v>2</v>
      </c>
      <c r="E1700" s="6">
        <v>4</v>
      </c>
      <c r="F1700" s="6">
        <v>6</v>
      </c>
      <c r="G1700" s="6">
        <v>1699</v>
      </c>
      <c r="H1700" s="7"/>
    </row>
    <row r="1701" spans="1:8">
      <c r="A1701" s="4" t="str">
        <f>HYPERLINK("https://scryfall.com/card/sok/81/maga-traitor-to-mortals","Maga, Traitor to Mortals")</f>
        <v>Maga, Traitor to Mortals</v>
      </c>
      <c r="B1701" s="5">
        <v>1692</v>
      </c>
      <c r="C1701" s="6">
        <v>1</v>
      </c>
      <c r="D1701" s="6">
        <v>3</v>
      </c>
      <c r="E1701" s="6">
        <v>2</v>
      </c>
      <c r="F1701" s="6">
        <v>6</v>
      </c>
      <c r="G1701" s="6">
        <v>1700</v>
      </c>
      <c r="H1701" s="7"/>
    </row>
    <row r="1702" spans="1:8">
      <c r="A1702" s="4" t="str">
        <f>HYPERLINK("https://scryfall.com/card/war/34/tomik-distinguished-advokist","Tomik, Distinguished Advokist")</f>
        <v>Tomik, Distinguished Advokist</v>
      </c>
      <c r="B1702" s="5">
        <v>1699</v>
      </c>
      <c r="C1702" s="6">
        <v>0</v>
      </c>
      <c r="D1702" s="6">
        <v>0</v>
      </c>
      <c r="E1702" s="6">
        <v>6</v>
      </c>
      <c r="F1702" s="6">
        <v>6</v>
      </c>
      <c r="G1702" s="6">
        <v>1701</v>
      </c>
      <c r="H1702" s="7"/>
    </row>
    <row r="1703" spans="1:8">
      <c r="A1703" s="4" t="str">
        <f>HYPERLINK("https://scryfall.com/card/tsp/44/tivadar-of-thorn","Tivadar of Thorn")</f>
        <v>Tivadar of Thorn</v>
      </c>
      <c r="B1703" s="5">
        <v>1701</v>
      </c>
      <c r="C1703" s="6">
        <v>0</v>
      </c>
      <c r="D1703" s="6">
        <v>1</v>
      </c>
      <c r="E1703" s="6">
        <v>5</v>
      </c>
      <c r="F1703" s="6">
        <v>6</v>
      </c>
      <c r="G1703" s="6">
        <v>1702</v>
      </c>
      <c r="H1703" s="7"/>
    </row>
    <row r="1704" spans="1:8">
      <c r="A1704" s="4" t="str">
        <f>HYPERLINK("https://scryfall.com/card/c18/198/bosh-iron-golem","Bosh, Iron Golem")</f>
        <v>Bosh, Iron Golem</v>
      </c>
      <c r="B1704" s="5">
        <v>1706</v>
      </c>
      <c r="C1704" s="6">
        <v>2</v>
      </c>
      <c r="D1704" s="6">
        <v>2</v>
      </c>
      <c r="E1704" s="6">
        <v>2</v>
      </c>
      <c r="F1704" s="6">
        <v>6</v>
      </c>
      <c r="G1704" s="6">
        <v>1703</v>
      </c>
      <c r="H1704" s="7"/>
    </row>
    <row r="1705" spans="1:8">
      <c r="A1705" s="4" t="str">
        <f>HYPERLINK("https://scryfall.com/card/vma/39/pianna-nomad-captain","Pianna, Nomad Captain")</f>
        <v>Pianna, Nomad Captain</v>
      </c>
      <c r="B1705" s="5">
        <v>1707</v>
      </c>
      <c r="C1705" s="6">
        <v>1</v>
      </c>
      <c r="D1705" s="6">
        <v>0</v>
      </c>
      <c r="E1705" s="6">
        <v>5</v>
      </c>
      <c r="F1705" s="6">
        <v>6</v>
      </c>
      <c r="G1705" s="6">
        <v>1704</v>
      </c>
      <c r="H1705" s="7"/>
    </row>
    <row r="1706" spans="1:8">
      <c r="A1706" s="4" t="str">
        <f>HYPERLINK("https://scryfall.com/card/ddu/2/dwynen-gilt-leaf-daen","Dwynen, Gilt-Leaf Daen")</f>
        <v>Dwynen, Gilt-Leaf Daen</v>
      </c>
      <c r="B1706" s="5">
        <v>1709</v>
      </c>
      <c r="C1706" s="6">
        <v>1</v>
      </c>
      <c r="D1706" s="6">
        <v>2</v>
      </c>
      <c r="E1706" s="6">
        <v>3</v>
      </c>
      <c r="F1706" s="6">
        <v>6</v>
      </c>
      <c r="G1706" s="6">
        <v>1705</v>
      </c>
      <c r="H1706" s="7"/>
    </row>
    <row r="1707" spans="1:8">
      <c r="A1707" s="4" t="str">
        <f>HYPERLINK("https://scryfall.com/card/pcy/95/latulla-keldon-overseer","Latulla, Keldon Overseer")</f>
        <v>Latulla, Keldon Overseer</v>
      </c>
      <c r="B1707" s="5">
        <v>1715</v>
      </c>
      <c r="C1707" s="6">
        <v>1</v>
      </c>
      <c r="D1707" s="6">
        <v>1</v>
      </c>
      <c r="E1707" s="6">
        <v>4</v>
      </c>
      <c r="F1707" s="6">
        <v>6</v>
      </c>
      <c r="G1707" s="6">
        <v>1706</v>
      </c>
      <c r="H1707" s="7"/>
    </row>
    <row r="1708" spans="1:8">
      <c r="A1708" s="4" t="str">
        <f>HYPERLINK("https://scryfall.com/card/jud/9/commander-eesha","Commander Eesha")</f>
        <v>Commander Eesha</v>
      </c>
      <c r="B1708" s="5">
        <v>1716</v>
      </c>
      <c r="C1708" s="6">
        <v>0</v>
      </c>
      <c r="D1708" s="6">
        <v>0</v>
      </c>
      <c r="E1708" s="6">
        <v>6</v>
      </c>
      <c r="F1708" s="6">
        <v>6</v>
      </c>
      <c r="G1708" s="6">
        <v>1707</v>
      </c>
      <c r="H1708" s="7"/>
    </row>
    <row r="1709" spans="1:8">
      <c r="A1709" s="4" t="str">
        <f>HYPERLINK("https://scryfall.com/card/bok/131/kodama-of-the-center-tree","Kodama of the Center Tree")</f>
        <v>Kodama of the Center Tree</v>
      </c>
      <c r="B1709" s="5">
        <v>1718</v>
      </c>
      <c r="C1709" s="6">
        <v>0</v>
      </c>
      <c r="D1709" s="6">
        <v>1</v>
      </c>
      <c r="E1709" s="6">
        <v>5</v>
      </c>
      <c r="F1709" s="6">
        <v>6</v>
      </c>
      <c r="G1709" s="6">
        <v>1708</v>
      </c>
      <c r="H1709" s="7"/>
    </row>
    <row r="1710" spans="1:8">
      <c r="A1710" s="4" t="str">
        <f>HYPERLINK("https://scryfall.com/card/me3/169/ramses-overdark","Ramses Overdark")</f>
        <v>Ramses Overdark</v>
      </c>
      <c r="B1710" s="5">
        <v>1724</v>
      </c>
      <c r="C1710" s="6">
        <v>0</v>
      </c>
      <c r="D1710" s="6">
        <v>0</v>
      </c>
      <c r="E1710" s="6">
        <v>6</v>
      </c>
      <c r="F1710" s="6">
        <v>6</v>
      </c>
      <c r="G1710" s="6">
        <v>1709</v>
      </c>
      <c r="H1710" s="7"/>
    </row>
    <row r="1711" spans="1:8">
      <c r="A1711" s="4" t="str">
        <f>HYPERLINK("https://scryfall.com/card/gk2/87/borborygmos","Borborygmos")</f>
        <v>Borborygmos</v>
      </c>
      <c r="B1711" s="5">
        <v>1728</v>
      </c>
      <c r="C1711" s="6">
        <v>1</v>
      </c>
      <c r="D1711" s="6">
        <v>3</v>
      </c>
      <c r="E1711" s="6">
        <v>2</v>
      </c>
      <c r="F1711" s="6">
        <v>6</v>
      </c>
      <c r="G1711" s="6">
        <v>1710</v>
      </c>
      <c r="H1711" s="7"/>
    </row>
    <row r="1712" spans="1:8">
      <c r="A1712" s="4" t="str">
        <f>HYPERLINK("https://scryfall.com/card/csp/129/garza-zol-plague-queen","Garza Zol, Plague Queen")</f>
        <v>Garza Zol, Plague Queen</v>
      </c>
      <c r="B1712" s="5">
        <v>1729</v>
      </c>
      <c r="C1712" s="6">
        <v>1</v>
      </c>
      <c r="D1712" s="6">
        <v>4</v>
      </c>
      <c r="E1712" s="6">
        <v>1</v>
      </c>
      <c r="F1712" s="6">
        <v>6</v>
      </c>
      <c r="G1712" s="6">
        <v>1711</v>
      </c>
      <c r="H1712" s="7"/>
    </row>
    <row r="1713" spans="1:8">
      <c r="A1713" s="4" t="str">
        <f>HYPERLINK("https://scryfall.com/card/dom/4/baird-steward-of-argive","Baird, Steward of Argive")</f>
        <v>Baird, Steward of Argive</v>
      </c>
      <c r="B1713" s="5">
        <v>1731</v>
      </c>
      <c r="C1713" s="6">
        <v>0</v>
      </c>
      <c r="D1713" s="6">
        <v>1</v>
      </c>
      <c r="E1713" s="6">
        <v>5</v>
      </c>
      <c r="F1713" s="6">
        <v>6</v>
      </c>
      <c r="G1713" s="6">
        <v>1712</v>
      </c>
      <c r="H1713" s="7"/>
    </row>
    <row r="1714" spans="1:8">
      <c r="A1714" s="4" t="str">
        <f>HYPERLINK("https://scryfall.com/card/bok/112/mannichi-the-fevered-dream","Mannichi, the Fevered Dream")</f>
        <v>Mannichi, the Fevered Dream</v>
      </c>
      <c r="B1714" s="5">
        <v>1740</v>
      </c>
      <c r="C1714" s="6">
        <v>0</v>
      </c>
      <c r="D1714" s="6">
        <v>6</v>
      </c>
      <c r="E1714" s="6">
        <v>0</v>
      </c>
      <c r="F1714" s="6">
        <v>6</v>
      </c>
      <c r="G1714" s="6">
        <v>1713</v>
      </c>
      <c r="H1714" s="7"/>
    </row>
    <row r="1715" spans="1:8">
      <c r="A1715" s="4" t="str">
        <f>HYPERLINK("https://scryfall.com/card/jud/93/jeska-warrior-adept","Jeska, Warrior Adept")</f>
        <v>Jeska, Warrior Adept</v>
      </c>
      <c r="B1715" s="5">
        <v>1741</v>
      </c>
      <c r="C1715" s="6">
        <v>1</v>
      </c>
      <c r="D1715" s="6">
        <v>1</v>
      </c>
      <c r="E1715" s="6">
        <v>4</v>
      </c>
      <c r="F1715" s="6">
        <v>6</v>
      </c>
      <c r="G1715" s="6">
        <v>1714</v>
      </c>
      <c r="H1715" s="7"/>
    </row>
    <row r="1716" spans="1:8">
      <c r="A1716" s="4" t="str">
        <f>HYPERLINK("https://scryfall.com/card/ptk/68/cao-cao-lord-of-wei","Cao Cao, Lord of Wei")</f>
        <v>Cao Cao, Lord of Wei</v>
      </c>
      <c r="B1716" s="5">
        <v>1742</v>
      </c>
      <c r="C1716" s="6">
        <v>1</v>
      </c>
      <c r="D1716" s="6">
        <v>1</v>
      </c>
      <c r="E1716" s="6">
        <v>4</v>
      </c>
      <c r="F1716" s="6">
        <v>6</v>
      </c>
      <c r="G1716" s="6">
        <v>1715</v>
      </c>
      <c r="H1716" s="7"/>
    </row>
    <row r="1717" spans="1:8">
      <c r="A1717" s="4" t="str">
        <f>HYPERLINK("https://scryfall.com/card/chk/223/kodama-of-the-south-tree","Kodama of the South Tree")</f>
        <v>Kodama of the South Tree</v>
      </c>
      <c r="B1717" s="5">
        <v>1746</v>
      </c>
      <c r="C1717" s="6">
        <v>1</v>
      </c>
      <c r="D1717" s="6">
        <v>1</v>
      </c>
      <c r="E1717" s="6">
        <v>4</v>
      </c>
      <c r="F1717" s="6">
        <v>6</v>
      </c>
      <c r="G1717" s="6">
        <v>1716</v>
      </c>
      <c r="H1717" s="7"/>
    </row>
    <row r="1718" spans="1:8">
      <c r="A1718" s="4" t="str">
        <f>HYPERLINK("https://scryfall.com/card/ptk/165/zuo-ci-the-mocking-sage","Zuo Ci, the Mocking Sage")</f>
        <v>Zuo Ci, the Mocking Sage</v>
      </c>
      <c r="B1718" s="5">
        <v>1751</v>
      </c>
      <c r="C1718" s="6">
        <v>1</v>
      </c>
      <c r="D1718" s="6">
        <v>0</v>
      </c>
      <c r="E1718" s="6">
        <v>5</v>
      </c>
      <c r="F1718" s="6">
        <v>6</v>
      </c>
      <c r="G1718" s="6">
        <v>1717</v>
      </c>
      <c r="H1718" s="7"/>
    </row>
    <row r="1719" spans="1:8" ht="18" customHeight="1">
      <c r="A1719" s="4" t="str">
        <f>HYPERLINK("https://scryfall.com/card/a25/20/kongming-sleeping-dragon","Kongming, ""Sleeping Dragon""")</f>
        <v>Kongming, "Sleeping Dragon"</v>
      </c>
      <c r="B1719" s="5">
        <v>1756</v>
      </c>
      <c r="C1719" s="6">
        <v>1</v>
      </c>
      <c r="D1719" s="6">
        <v>1</v>
      </c>
      <c r="E1719" s="6">
        <v>4</v>
      </c>
      <c r="F1719" s="6">
        <v>6</v>
      </c>
      <c r="G1719" s="6">
        <v>1718</v>
      </c>
      <c r="H1719" s="7"/>
    </row>
    <row r="1720" spans="1:8">
      <c r="A1720" s="4" t="str">
        <f>HYPERLINK("https://scryfall.com/card/inv/4/atalya-samite-master","Atalya, Samite Master")</f>
        <v>Atalya, Samite Master</v>
      </c>
      <c r="B1720" s="5">
        <v>1768</v>
      </c>
      <c r="C1720" s="6">
        <v>0</v>
      </c>
      <c r="D1720" s="6">
        <v>0</v>
      </c>
      <c r="E1720" s="6">
        <v>6</v>
      </c>
      <c r="F1720" s="6">
        <v>6</v>
      </c>
      <c r="G1720" s="6">
        <v>1719</v>
      </c>
      <c r="H1720" s="7"/>
    </row>
    <row r="1721" spans="1:8">
      <c r="A1721" s="4" t="str">
        <f>HYPERLINK("https://scryfall.com/card/me1/104/m%C3%A1rton-stromgald","Márton Stromgald")</f>
        <v>Márton Stromgald</v>
      </c>
      <c r="B1721" s="5">
        <v>1769</v>
      </c>
      <c r="C1721" s="6">
        <v>1</v>
      </c>
      <c r="D1721" s="6">
        <v>2</v>
      </c>
      <c r="E1721" s="6">
        <v>3</v>
      </c>
      <c r="F1721" s="6">
        <v>6</v>
      </c>
      <c r="G1721" s="6">
        <v>1720</v>
      </c>
      <c r="H1721" s="7"/>
    </row>
    <row r="1722" spans="1:8">
      <c r="A1722" s="4" t="str">
        <f>HYPERLINK("https://scryfall.com/card/me3/52/sun-ce-young-conquerer","Sun Ce, Young Conquerer")</f>
        <v>Sun Ce, Young Conquerer</v>
      </c>
      <c r="B1722" s="5">
        <v>1773</v>
      </c>
      <c r="C1722" s="6">
        <v>1</v>
      </c>
      <c r="D1722" s="6">
        <v>1</v>
      </c>
      <c r="E1722" s="6">
        <v>4</v>
      </c>
      <c r="F1722" s="6">
        <v>6</v>
      </c>
      <c r="G1722" s="6">
        <v>1721</v>
      </c>
      <c r="H1722" s="7"/>
    </row>
    <row r="1723" spans="1:8">
      <c r="A1723" s="4" t="str">
        <f>HYPERLINK("https://scryfall.com/card/bok/32/chisei-heart-of-oceans","Chisei, Heart of Oceans")</f>
        <v>Chisei, Heart of Oceans</v>
      </c>
      <c r="B1723" s="5">
        <v>1782</v>
      </c>
      <c r="C1723" s="6">
        <v>0</v>
      </c>
      <c r="D1723" s="6">
        <v>1</v>
      </c>
      <c r="E1723" s="6">
        <v>5</v>
      </c>
      <c r="F1723" s="6">
        <v>6</v>
      </c>
      <c r="G1723" s="6">
        <v>1722</v>
      </c>
      <c r="H1723" s="7"/>
    </row>
    <row r="1724" spans="1:8">
      <c r="A1724" s="4" t="str">
        <f>HYPERLINK("https://scryfall.com/card/jud/134/thriss-nantuko-primus","Thriss, Nantuko Primus")</f>
        <v>Thriss, Nantuko Primus</v>
      </c>
      <c r="B1724" s="5">
        <v>1795</v>
      </c>
      <c r="C1724" s="6">
        <v>1</v>
      </c>
      <c r="D1724" s="6">
        <v>0</v>
      </c>
      <c r="E1724" s="6">
        <v>5</v>
      </c>
      <c r="F1724" s="6">
        <v>6</v>
      </c>
      <c r="G1724" s="6">
        <v>1723</v>
      </c>
      <c r="H1724" s="7"/>
    </row>
    <row r="1725" spans="1:8">
      <c r="A1725" s="4" t="str">
        <f>HYPERLINK("https://scryfall.com/card/cm2/124/tuktuk-the-explorer","Tuktuk the Explorer")</f>
        <v>Tuktuk the Explorer</v>
      </c>
      <c r="B1725" s="5">
        <v>1605</v>
      </c>
      <c r="C1725" s="6">
        <v>0</v>
      </c>
      <c r="D1725" s="6">
        <v>0</v>
      </c>
      <c r="E1725" s="6">
        <v>5</v>
      </c>
      <c r="F1725" s="6">
        <v>5</v>
      </c>
      <c r="G1725" s="6">
        <v>1724</v>
      </c>
      <c r="H1725" s="7"/>
    </row>
    <row r="1726" spans="1:8">
      <c r="A1726" s="4" t="str">
        <f>HYPERLINK("https://scryfall.com/card/me3/179/tetsuo-umezawa","Tetsuo Umezawa")</f>
        <v>Tetsuo Umezawa</v>
      </c>
      <c r="B1726" s="5">
        <v>1620</v>
      </c>
      <c r="C1726" s="6">
        <v>2</v>
      </c>
      <c r="D1726" s="6">
        <v>3</v>
      </c>
      <c r="E1726" s="6">
        <v>0</v>
      </c>
      <c r="F1726" s="6">
        <v>5</v>
      </c>
      <c r="G1726" s="6">
        <v>1725</v>
      </c>
      <c r="H1726" s="7"/>
    </row>
    <row r="1727" spans="1:8">
      <c r="A1727" s="4" t="str">
        <f>HYPERLINK("https://scryfall.com/card/gk1/20/szadek-lord-of-secrets","Szadek, Lord of Secrets")</f>
        <v>Szadek, Lord of Secrets</v>
      </c>
      <c r="B1727" s="5">
        <v>1622</v>
      </c>
      <c r="C1727" s="6">
        <v>0</v>
      </c>
      <c r="D1727" s="6">
        <v>1</v>
      </c>
      <c r="E1727" s="6">
        <v>4</v>
      </c>
      <c r="F1727" s="6">
        <v>5</v>
      </c>
      <c r="G1727" s="6">
        <v>1726</v>
      </c>
      <c r="H1727" s="7"/>
    </row>
    <row r="1728" spans="1:8">
      <c r="A1728" s="4" t="str">
        <f>HYPERLINK("https://scryfall.com/card/tpr/214/vhati-il-dal","Vhati il-Dal")</f>
        <v>Vhati il-Dal</v>
      </c>
      <c r="B1728" s="5">
        <v>1634</v>
      </c>
      <c r="C1728" s="6">
        <v>1</v>
      </c>
      <c r="D1728" s="6">
        <v>0</v>
      </c>
      <c r="E1728" s="6">
        <v>4</v>
      </c>
      <c r="F1728" s="6">
        <v>5</v>
      </c>
      <c r="G1728" s="6">
        <v>1727</v>
      </c>
      <c r="H1728" s="7"/>
    </row>
    <row r="1729" spans="1:8">
      <c r="A1729" s="4" t="str">
        <f>HYPERLINK("https://scryfall.com/card/mir/68/hakim-loreweaver","Hakim, Loreweaver")</f>
        <v>Hakim, Loreweaver</v>
      </c>
      <c r="B1729" s="5">
        <v>1635</v>
      </c>
      <c r="C1729" s="6">
        <v>0</v>
      </c>
      <c r="D1729" s="6">
        <v>1</v>
      </c>
      <c r="E1729" s="6">
        <v>4</v>
      </c>
      <c r="F1729" s="6">
        <v>5</v>
      </c>
      <c r="G1729" s="6">
        <v>1728</v>
      </c>
      <c r="H1729" s="7"/>
    </row>
    <row r="1730" spans="1:8">
      <c r="A1730" s="4" t="str">
        <f>HYPERLINK("https://scryfall.com/card/sok/61/akuta-born-of-ash","Akuta, Born of Ash")</f>
        <v>Akuta, Born of Ash</v>
      </c>
      <c r="B1730" s="5">
        <v>1659</v>
      </c>
      <c r="C1730" s="6">
        <v>0</v>
      </c>
      <c r="D1730" s="6">
        <v>1</v>
      </c>
      <c r="E1730" s="6">
        <v>4</v>
      </c>
      <c r="F1730" s="6">
        <v>5</v>
      </c>
      <c r="G1730" s="6">
        <v>1729</v>
      </c>
      <c r="H1730" s="7"/>
    </row>
    <row r="1731" spans="1:8">
      <c r="A1731" s="4" t="str">
        <f>HYPERLINK("https://scryfall.com/card/me3/167/ragnar","Ragnar")</f>
        <v>Ragnar</v>
      </c>
      <c r="B1731" s="5">
        <v>1675</v>
      </c>
      <c r="C1731" s="6">
        <v>1</v>
      </c>
      <c r="D1731" s="6">
        <v>1</v>
      </c>
      <c r="E1731" s="6">
        <v>3</v>
      </c>
      <c r="F1731" s="6">
        <v>5</v>
      </c>
      <c r="G1731" s="6">
        <v>1730</v>
      </c>
      <c r="H1731" s="7"/>
    </row>
    <row r="1732" spans="1:8">
      <c r="A1732" s="4" t="str">
        <f>HYPERLINK("https://scryfall.com/card/aer/87/kari-zev-skyship-raider","Kari Zev, Skyship Raider")</f>
        <v>Kari Zev, Skyship Raider</v>
      </c>
      <c r="B1732" s="5">
        <v>1680</v>
      </c>
      <c r="C1732" s="6">
        <v>0</v>
      </c>
      <c r="D1732" s="6">
        <v>0</v>
      </c>
      <c r="E1732" s="6">
        <v>5</v>
      </c>
      <c r="F1732" s="6">
        <v>5</v>
      </c>
      <c r="G1732" s="6">
        <v>1731</v>
      </c>
      <c r="H1732" s="7"/>
    </row>
    <row r="1733" spans="1:8">
      <c r="A1733" s="4" t="str">
        <f>HYPERLINK("https://scryfall.com/card/ths/149/anthousa-setessan-hero","Anthousa, Setessan Hero")</f>
        <v>Anthousa, Setessan Hero</v>
      </c>
      <c r="B1733" s="5">
        <v>1681</v>
      </c>
      <c r="C1733" s="6">
        <v>1</v>
      </c>
      <c r="D1733" s="6">
        <v>2</v>
      </c>
      <c r="E1733" s="6">
        <v>2</v>
      </c>
      <c r="F1733" s="6">
        <v>5</v>
      </c>
      <c r="G1733" s="6">
        <v>1732</v>
      </c>
      <c r="H1733" s="7"/>
    </row>
    <row r="1734" spans="1:8">
      <c r="A1734" s="4" t="str">
        <f>HYPERLINK("https://scryfall.com/card/aer/154/hope-of-ghirapur","Hope of Ghirapur")</f>
        <v>Hope of Ghirapur</v>
      </c>
      <c r="B1734" s="5">
        <v>1682</v>
      </c>
      <c r="C1734" s="6">
        <v>0</v>
      </c>
      <c r="D1734" s="6">
        <v>0</v>
      </c>
      <c r="E1734" s="6">
        <v>5</v>
      </c>
      <c r="F1734" s="6">
        <v>5</v>
      </c>
      <c r="G1734" s="6">
        <v>1733</v>
      </c>
      <c r="H1734" s="7"/>
    </row>
    <row r="1735" spans="1:8">
      <c r="A1735" s="4" t="str">
        <f>HYPERLINK("https://scryfall.com/card/tor/42/llawan-cephalid-empress","Llawan, Cephalid Empress")</f>
        <v>Llawan, Cephalid Empress</v>
      </c>
      <c r="B1735" s="5">
        <v>1683</v>
      </c>
      <c r="C1735" s="6">
        <v>1</v>
      </c>
      <c r="D1735" s="6">
        <v>1</v>
      </c>
      <c r="E1735" s="6">
        <v>3</v>
      </c>
      <c r="F1735" s="6">
        <v>5</v>
      </c>
      <c r="G1735" s="6">
        <v>1734</v>
      </c>
      <c r="H1735" s="7"/>
    </row>
    <row r="1736" spans="1:8">
      <c r="A1736" s="4" t="str">
        <f>HYPERLINK("https://scryfall.com/card/chk/123/kuro-pitlord","Kuro, Pitlord")</f>
        <v>Kuro, Pitlord</v>
      </c>
      <c r="B1736" s="5">
        <v>1693</v>
      </c>
      <c r="C1736" s="6">
        <v>1</v>
      </c>
      <c r="D1736" s="6">
        <v>2</v>
      </c>
      <c r="E1736" s="6">
        <v>2</v>
      </c>
      <c r="F1736" s="6">
        <v>5</v>
      </c>
      <c r="G1736" s="6">
        <v>1735</v>
      </c>
      <c r="H1736" s="7"/>
    </row>
    <row r="1737" spans="1:8">
      <c r="A1737" s="4" t="str">
        <f>HYPERLINK("https://scryfall.com/card/me3/149/gwendlyn-di-corci","Gwendlyn Di Corci")</f>
        <v>Gwendlyn Di Corci</v>
      </c>
      <c r="B1737" s="5">
        <v>1705</v>
      </c>
      <c r="C1737" s="6">
        <v>1</v>
      </c>
      <c r="D1737" s="6">
        <v>2</v>
      </c>
      <c r="E1737" s="6">
        <v>2</v>
      </c>
      <c r="F1737" s="6">
        <v>5</v>
      </c>
      <c r="G1737" s="6">
        <v>1736</v>
      </c>
      <c r="H1737" s="7"/>
    </row>
    <row r="1738" spans="1:8">
      <c r="A1738" s="4" t="str">
        <f>HYPERLINK("https://scryfall.com/card/dom/96/kazarov-sengir-pureblood","Kazarov, Sengir Pureblood")</f>
        <v>Kazarov, Sengir Pureblood</v>
      </c>
      <c r="B1738" s="5">
        <v>1727</v>
      </c>
      <c r="C1738" s="6">
        <v>1</v>
      </c>
      <c r="D1738" s="6">
        <v>1</v>
      </c>
      <c r="E1738" s="6">
        <v>3</v>
      </c>
      <c r="F1738" s="6">
        <v>5</v>
      </c>
      <c r="G1738" s="6">
        <v>1737</v>
      </c>
      <c r="H1738" s="7"/>
    </row>
    <row r="1739" spans="1:8">
      <c r="A1739" s="4" t="str">
        <f>HYPERLINK("https://scryfall.com/card/dds/13/the-unspeakable","The Unspeakable")</f>
        <v>The Unspeakable</v>
      </c>
      <c r="B1739" s="5">
        <v>1733</v>
      </c>
      <c r="C1739" s="6">
        <v>0</v>
      </c>
      <c r="D1739" s="6">
        <v>0</v>
      </c>
      <c r="E1739" s="6">
        <v>5</v>
      </c>
      <c r="F1739" s="6">
        <v>5</v>
      </c>
      <c r="G1739" s="6">
        <v>1738</v>
      </c>
      <c r="H1739" s="7"/>
    </row>
    <row r="1740" spans="1:8">
      <c r="A1740" s="4" t="str">
        <f>HYPERLINK("https://scryfall.com/card/rav/196/circu-dimir-lobotomist","Circu, Dimir Lobotomist")</f>
        <v>Circu, Dimir Lobotomist</v>
      </c>
      <c r="B1740" s="5">
        <v>1734</v>
      </c>
      <c r="C1740" s="6">
        <v>0</v>
      </c>
      <c r="D1740" s="6">
        <v>0</v>
      </c>
      <c r="E1740" s="6">
        <v>5</v>
      </c>
      <c r="F1740" s="6">
        <v>5</v>
      </c>
      <c r="G1740" s="6">
        <v>1739</v>
      </c>
      <c r="H1740" s="7"/>
    </row>
    <row r="1741" spans="1:8">
      <c r="A1741" s="4" t="str">
        <f>HYPERLINK("https://scryfall.com/card/bok/13/kentaro-the-smiling-cat","Kentaro, the Smiling Cat")</f>
        <v>Kentaro, the Smiling Cat</v>
      </c>
      <c r="B1741" s="5">
        <v>1735</v>
      </c>
      <c r="C1741" s="6">
        <v>0</v>
      </c>
      <c r="D1741" s="6">
        <v>1</v>
      </c>
      <c r="E1741" s="6">
        <v>4</v>
      </c>
      <c r="F1741" s="6">
        <v>5</v>
      </c>
      <c r="G1741" s="6">
        <v>1740</v>
      </c>
      <c r="H1741" s="7"/>
    </row>
    <row r="1742" spans="1:8">
      <c r="A1742" s="4" t="str">
        <f>HYPERLINK("https://scryfall.com/card/dde/47/darigaaz-the-igniter","Darigaaz, the Igniter")</f>
        <v>Darigaaz, the Igniter</v>
      </c>
      <c r="B1742" s="5">
        <v>1739</v>
      </c>
      <c r="C1742" s="6">
        <v>1</v>
      </c>
      <c r="D1742" s="6">
        <v>2</v>
      </c>
      <c r="E1742" s="6">
        <v>2</v>
      </c>
      <c r="F1742" s="6">
        <v>5</v>
      </c>
      <c r="G1742" s="6">
        <v>1741</v>
      </c>
      <c r="H1742" s="7"/>
    </row>
    <row r="1743" spans="1:8">
      <c r="A1743" s="4" t="str">
        <f>HYPERLINK("https://scryfall.com/card/sok/31/cloudhoof-kirin","Cloudhoof Kirin")</f>
        <v>Cloudhoof Kirin</v>
      </c>
      <c r="B1743" s="5">
        <v>1744</v>
      </c>
      <c r="C1743" s="6">
        <v>0</v>
      </c>
      <c r="D1743" s="6">
        <v>0</v>
      </c>
      <c r="E1743" s="6">
        <v>5</v>
      </c>
      <c r="F1743" s="6">
        <v>5</v>
      </c>
      <c r="G1743" s="6">
        <v>1742</v>
      </c>
      <c r="H1743" s="7"/>
    </row>
    <row r="1744" spans="1:8">
      <c r="A1744" s="4" t="str">
        <f>HYPERLINK("https://scryfall.com/card/me3/158/lady-evangela","Lady Evangela")</f>
        <v>Lady Evangela</v>
      </c>
      <c r="B1744" s="5">
        <v>1758</v>
      </c>
      <c r="C1744" s="6">
        <v>0</v>
      </c>
      <c r="D1744" s="6">
        <v>0</v>
      </c>
      <c r="E1744" s="6">
        <v>5</v>
      </c>
      <c r="F1744" s="6">
        <v>5</v>
      </c>
      <c r="G1744" s="6">
        <v>1743</v>
      </c>
      <c r="H1744" s="7"/>
    </row>
    <row r="1745" spans="1:8">
      <c r="A1745" s="4" t="str">
        <f>HYPERLINK("https://scryfall.com/card/me1/113/autumn-willow","Autumn Willow")</f>
        <v>Autumn Willow</v>
      </c>
      <c r="B1745" s="5">
        <v>1759</v>
      </c>
      <c r="C1745" s="6">
        <v>1</v>
      </c>
      <c r="D1745" s="6">
        <v>1</v>
      </c>
      <c r="E1745" s="6">
        <v>3</v>
      </c>
      <c r="F1745" s="6">
        <v>5</v>
      </c>
      <c r="G1745" s="6">
        <v>1744</v>
      </c>
      <c r="H1745" s="7"/>
    </row>
    <row r="1746" spans="1:8">
      <c r="A1746" s="4" t="str">
        <f>HYPERLINK("https://scryfall.com/card/ptk/46/lu-meng-wu-general","Lu Meng, Wu General")</f>
        <v>Lu Meng, Wu General</v>
      </c>
      <c r="B1746" s="5">
        <v>1760</v>
      </c>
      <c r="C1746" s="6">
        <v>0</v>
      </c>
      <c r="D1746" s="6">
        <v>0</v>
      </c>
      <c r="E1746" s="6">
        <v>5</v>
      </c>
      <c r="F1746" s="6">
        <v>5</v>
      </c>
      <c r="G1746" s="6">
        <v>1745</v>
      </c>
      <c r="H1746" s="7"/>
    </row>
    <row r="1747" spans="1:8">
      <c r="A1747" s="4" t="str">
        <f>HYPERLINK("https://scryfall.com/card/chk/44/sensei-golden-tail","Sensei Golden-Tail")</f>
        <v>Sensei Golden-Tail</v>
      </c>
      <c r="B1747" s="5">
        <v>1766</v>
      </c>
      <c r="C1747" s="6">
        <v>0</v>
      </c>
      <c r="D1747" s="6">
        <v>1</v>
      </c>
      <c r="E1747" s="6">
        <v>4</v>
      </c>
      <c r="F1747" s="6">
        <v>5</v>
      </c>
      <c r="G1747" s="6">
        <v>1746</v>
      </c>
      <c r="H1747" s="7"/>
    </row>
    <row r="1748" spans="1:8">
      <c r="A1748" s="4" t="str">
        <f>HYPERLINK("https://scryfall.com/card/csp/36/heidar-rimewind-master","Heidar, Rimewind Master")</f>
        <v>Heidar, Rimewind Master</v>
      </c>
      <c r="B1748" s="5">
        <v>1772</v>
      </c>
      <c r="C1748" s="6">
        <v>1</v>
      </c>
      <c r="D1748" s="6">
        <v>3</v>
      </c>
      <c r="E1748" s="6">
        <v>1</v>
      </c>
      <c r="F1748" s="6">
        <v>5</v>
      </c>
      <c r="G1748" s="6">
        <v>1747</v>
      </c>
      <c r="H1748" s="7"/>
    </row>
    <row r="1749" spans="1:8">
      <c r="A1749" s="4" t="str">
        <f>HYPERLINK("https://scryfall.com/card/ptk/142/meng-huo-barbarian-king","Meng Huo, Barbarian King")</f>
        <v>Meng Huo, Barbarian King</v>
      </c>
      <c r="B1749" s="5">
        <v>1774</v>
      </c>
      <c r="C1749" s="6">
        <v>1</v>
      </c>
      <c r="D1749" s="6">
        <v>2</v>
      </c>
      <c r="E1749" s="6">
        <v>2</v>
      </c>
      <c r="F1749" s="6">
        <v>5</v>
      </c>
      <c r="G1749" s="6">
        <v>1748</v>
      </c>
      <c r="H1749" s="7"/>
    </row>
    <row r="1750" spans="1:8">
      <c r="A1750" s="4" t="str">
        <f>HYPERLINK("https://scryfall.com/card/cmd/189/chorus-of-the-conclave","Chorus of the Conclave")</f>
        <v>Chorus of the Conclave</v>
      </c>
      <c r="B1750" s="5">
        <v>1775</v>
      </c>
      <c r="C1750" s="6">
        <v>1</v>
      </c>
      <c r="D1750" s="6">
        <v>2</v>
      </c>
      <c r="E1750" s="6">
        <v>2</v>
      </c>
      <c r="F1750" s="6">
        <v>5</v>
      </c>
      <c r="G1750" s="6">
        <v>1749</v>
      </c>
      <c r="H1750" s="7"/>
    </row>
    <row r="1751" spans="1:8">
      <c r="A1751" s="4" t="str">
        <f>HYPERLINK("https://scryfall.com/card/dde/49/treva-the-renewer","Treva, the Renewer")</f>
        <v>Treva, the Renewer</v>
      </c>
      <c r="B1751" s="5">
        <v>1776</v>
      </c>
      <c r="C1751" s="6">
        <v>0</v>
      </c>
      <c r="D1751" s="6">
        <v>0</v>
      </c>
      <c r="E1751" s="6">
        <v>5</v>
      </c>
      <c r="F1751" s="6">
        <v>5</v>
      </c>
      <c r="G1751" s="6">
        <v>1750</v>
      </c>
      <c r="H1751" s="7"/>
    </row>
    <row r="1752" spans="1:8">
      <c r="A1752" s="4" t="str">
        <f>HYPERLINK("https://scryfall.com/card/me3/160/livonya-silone","Livonya Silone")</f>
        <v>Livonya Silone</v>
      </c>
      <c r="B1752" s="5">
        <v>1783</v>
      </c>
      <c r="C1752" s="6">
        <v>0</v>
      </c>
      <c r="D1752" s="6">
        <v>0</v>
      </c>
      <c r="E1752" s="6">
        <v>5</v>
      </c>
      <c r="F1752" s="6">
        <v>5</v>
      </c>
      <c r="G1752" s="6">
        <v>1751</v>
      </c>
      <c r="H1752" s="7"/>
    </row>
    <row r="1753" spans="1:8">
      <c r="A1753" s="4" t="str">
        <f>HYPERLINK("https://scryfall.com/card/sok/18/kiyomaro-first-to-stand","Kiyomaro, First to Stand")</f>
        <v>Kiyomaro, First to Stand</v>
      </c>
      <c r="B1753" s="5">
        <v>1784</v>
      </c>
      <c r="C1753" s="6">
        <v>0</v>
      </c>
      <c r="D1753" s="6">
        <v>1</v>
      </c>
      <c r="E1753" s="6">
        <v>4</v>
      </c>
      <c r="F1753" s="6">
        <v>5</v>
      </c>
      <c r="G1753" s="6">
        <v>1752</v>
      </c>
      <c r="H1753" s="7"/>
    </row>
    <row r="1754" spans="1:8">
      <c r="A1754" s="4" t="str">
        <f>HYPERLINK("https://scryfall.com/card/me3/108/lu-bu-master-at-arms","Lu Bu, Master-at-Arms")</f>
        <v>Lu Bu, Master-at-Arms</v>
      </c>
      <c r="B1754" s="5">
        <v>1792</v>
      </c>
      <c r="C1754" s="6">
        <v>1</v>
      </c>
      <c r="D1754" s="6">
        <v>0</v>
      </c>
      <c r="E1754" s="6">
        <v>4</v>
      </c>
      <c r="F1754" s="6">
        <v>5</v>
      </c>
      <c r="G1754" s="6">
        <v>1753</v>
      </c>
      <c r="H1754" s="7"/>
    </row>
    <row r="1755" spans="1:8">
      <c r="A1755" s="4" t="str">
        <f>HYPERLINK("https://scryfall.com/card/mir/197/telimtor","Telim'Tor")</f>
        <v>Telim'Tor</v>
      </c>
      <c r="B1755" s="5">
        <v>1798</v>
      </c>
      <c r="C1755" s="6">
        <v>0</v>
      </c>
      <c r="D1755" s="6">
        <v>1</v>
      </c>
      <c r="E1755" s="6">
        <v>4</v>
      </c>
      <c r="F1755" s="6">
        <v>5</v>
      </c>
      <c r="G1755" s="6">
        <v>1754</v>
      </c>
      <c r="H1755" s="7"/>
    </row>
    <row r="1756" spans="1:8">
      <c r="A1756" s="4" t="str">
        <f>HYPERLINK("https://scryfall.com/card/dgm/68/emmara-tandris","Emmara Tandris")</f>
        <v>Emmara Tandris</v>
      </c>
      <c r="B1756" s="5">
        <v>1802</v>
      </c>
      <c r="C1756" s="6">
        <v>0</v>
      </c>
      <c r="D1756" s="6">
        <v>1</v>
      </c>
      <c r="E1756" s="6">
        <v>4</v>
      </c>
      <c r="F1756" s="6">
        <v>5</v>
      </c>
      <c r="G1756" s="6">
        <v>1755</v>
      </c>
      <c r="H1756" s="7"/>
    </row>
    <row r="1757" spans="1:8">
      <c r="A1757" s="4" t="str">
        <f>HYPERLINK("https://scryfall.com/card/ptk/45/lady-sun","Lady Sun")</f>
        <v>Lady Sun</v>
      </c>
      <c r="B1757" s="5">
        <v>1810</v>
      </c>
      <c r="C1757" s="6">
        <v>0</v>
      </c>
      <c r="D1757" s="6">
        <v>0</v>
      </c>
      <c r="E1757" s="6">
        <v>5</v>
      </c>
      <c r="F1757" s="6">
        <v>5</v>
      </c>
      <c r="G1757" s="6">
        <v>1756</v>
      </c>
      <c r="H1757" s="7"/>
    </row>
    <row r="1758" spans="1:8">
      <c r="A1758" s="4" t="str">
        <f>HYPERLINK("https://scryfall.com/card/ptk/65/zhou-yu-chief-commander","Zhou Yu, Chief Commander")</f>
        <v>Zhou Yu, Chief Commander</v>
      </c>
      <c r="B1758" s="5">
        <v>1811</v>
      </c>
      <c r="C1758" s="6">
        <v>0</v>
      </c>
      <c r="D1758" s="6">
        <v>0</v>
      </c>
      <c r="E1758" s="6">
        <v>5</v>
      </c>
      <c r="F1758" s="6">
        <v>5</v>
      </c>
      <c r="G1758" s="6">
        <v>1757</v>
      </c>
      <c r="H1758" s="7"/>
    </row>
    <row r="1759" spans="1:8">
      <c r="A1759" s="4" t="str">
        <f>HYPERLINK("https://scryfall.com/card/chk/160a/brothers-yamazaki","Brothers Yamazaki")</f>
        <v>Brothers Yamazaki</v>
      </c>
      <c r="B1759" s="5">
        <v>1613</v>
      </c>
      <c r="C1759" s="6">
        <v>0</v>
      </c>
      <c r="D1759" s="6">
        <v>0</v>
      </c>
      <c r="E1759" s="6">
        <v>4</v>
      </c>
      <c r="F1759" s="6">
        <v>4</v>
      </c>
      <c r="G1759" s="6">
        <v>1758</v>
      </c>
      <c r="H1759" s="7"/>
    </row>
    <row r="1760" spans="1:8">
      <c r="A1760" s="4" t="str">
        <f>HYPERLINK("https://scryfall.com/card/c15/234/teysa-envoy-of-ghosts","Teysa, Envoy of Ghosts")</f>
        <v>Teysa, Envoy of Ghosts</v>
      </c>
      <c r="B1760" s="5">
        <v>1677</v>
      </c>
      <c r="C1760" s="6">
        <v>1</v>
      </c>
      <c r="D1760" s="6">
        <v>0</v>
      </c>
      <c r="E1760" s="6">
        <v>3</v>
      </c>
      <c r="F1760" s="6">
        <v>4</v>
      </c>
      <c r="G1760" s="6">
        <v>1759</v>
      </c>
      <c r="H1760" s="7"/>
    </row>
    <row r="1761" spans="1:8">
      <c r="A1761" s="4" t="str">
        <f>HYPERLINK("https://scryfall.com/card/chk/30/konda-lord-of-eiganjo","Konda, Lord of Eiganjo")</f>
        <v>Konda, Lord of Eiganjo</v>
      </c>
      <c r="B1761" s="5">
        <v>1696</v>
      </c>
      <c r="C1761" s="6">
        <v>1</v>
      </c>
      <c r="D1761" s="6">
        <v>0</v>
      </c>
      <c r="E1761" s="6">
        <v>3</v>
      </c>
      <c r="F1761" s="6">
        <v>4</v>
      </c>
      <c r="G1761" s="6">
        <v>1760</v>
      </c>
      <c r="H1761" s="7"/>
    </row>
    <row r="1762" spans="1:8">
      <c r="A1762" s="4" t="str">
        <f>HYPERLINK("https://scryfall.com/card/c13/149/hua-tuo-honored-physician","Hua Tuo, Honored Physician")</f>
        <v>Hua Tuo, Honored Physician</v>
      </c>
      <c r="B1762" s="5">
        <v>1714</v>
      </c>
      <c r="C1762" s="6">
        <v>1</v>
      </c>
      <c r="D1762" s="6">
        <v>1</v>
      </c>
      <c r="E1762" s="6">
        <v>2</v>
      </c>
      <c r="F1762" s="6">
        <v>4</v>
      </c>
      <c r="G1762" s="6">
        <v>1761</v>
      </c>
      <c r="H1762" s="7"/>
    </row>
    <row r="1763" spans="1:8">
      <c r="A1763" s="4" t="str">
        <f>HYPERLINK("https://scryfall.com/card/tsp/241/ith-high-arcanist","Ith, High Arcanist")</f>
        <v>Ith, High Arcanist</v>
      </c>
      <c r="B1763" s="5">
        <v>1717</v>
      </c>
      <c r="C1763" s="6">
        <v>0</v>
      </c>
      <c r="D1763" s="6">
        <v>1</v>
      </c>
      <c r="E1763" s="6">
        <v>3</v>
      </c>
      <c r="F1763" s="6">
        <v>4</v>
      </c>
      <c r="G1763" s="6">
        <v>1762</v>
      </c>
      <c r="H1763" s="7"/>
    </row>
    <row r="1764" spans="1:8">
      <c r="A1764" s="4" t="str">
        <f>HYPERLINK("https://scryfall.com/card/tpr/90/crovax-the-cursed","Crovax the Cursed")</f>
        <v>Crovax the Cursed</v>
      </c>
      <c r="B1764" s="5">
        <v>1720</v>
      </c>
      <c r="C1764" s="6">
        <v>1</v>
      </c>
      <c r="D1764" s="6">
        <v>2</v>
      </c>
      <c r="E1764" s="6">
        <v>1</v>
      </c>
      <c r="F1764" s="6">
        <v>4</v>
      </c>
      <c r="G1764" s="6">
        <v>1763</v>
      </c>
      <c r="H1764" s="7"/>
    </row>
    <row r="1765" spans="1:8">
      <c r="A1765" s="4" t="str">
        <f>HYPERLINK("https://scryfall.com/card/ema/145/rorix-bladewing","Rorix Bladewing")</f>
        <v>Rorix Bladewing</v>
      </c>
      <c r="B1765" s="5">
        <v>1748</v>
      </c>
      <c r="C1765" s="6">
        <v>0</v>
      </c>
      <c r="D1765" s="6">
        <v>1</v>
      </c>
      <c r="E1765" s="6">
        <v>3</v>
      </c>
      <c r="F1765" s="6">
        <v>4</v>
      </c>
      <c r="G1765" s="6">
        <v>1764</v>
      </c>
      <c r="H1765" s="7"/>
    </row>
    <row r="1766" spans="1:8">
      <c r="A1766" s="4" t="str">
        <f>HYPERLINK("https://scryfall.com/card/mma/49/kira-great-glass-spinner","Kira, Great Glass-Spinner")</f>
        <v>Kira, Great Glass-Spinner</v>
      </c>
      <c r="B1766" s="5">
        <v>1752</v>
      </c>
      <c r="C1766" s="6">
        <v>1</v>
      </c>
      <c r="D1766" s="6">
        <v>1</v>
      </c>
      <c r="E1766" s="6">
        <v>2</v>
      </c>
      <c r="F1766" s="6">
        <v>4</v>
      </c>
      <c r="G1766" s="6">
        <v>1765</v>
      </c>
      <c r="H1766" s="7"/>
    </row>
    <row r="1767" spans="1:8">
      <c r="A1767" s="4" t="str">
        <f>HYPERLINK("https://scryfall.com/card/vma/45/sidar-jabari","Sidar Jabari")</f>
        <v>Sidar Jabari</v>
      </c>
      <c r="B1767" s="5">
        <v>1761</v>
      </c>
      <c r="C1767" s="6">
        <v>0</v>
      </c>
      <c r="D1767" s="6">
        <v>0</v>
      </c>
      <c r="E1767" s="6">
        <v>4</v>
      </c>
      <c r="F1767" s="6">
        <v>4</v>
      </c>
      <c r="G1767" s="6">
        <v>1766</v>
      </c>
      <c r="H1767" s="7"/>
    </row>
    <row r="1768" spans="1:8">
      <c r="A1768" s="4" t="str">
        <f>HYPERLINK("https://scryfall.com/card/bok/90/yukora-the-prisoner","Yukora, the Prisoner")</f>
        <v>Yukora, the Prisoner</v>
      </c>
      <c r="B1768" s="5">
        <v>1762</v>
      </c>
      <c r="C1768" s="6">
        <v>0</v>
      </c>
      <c r="D1768" s="6">
        <v>0</v>
      </c>
      <c r="E1768" s="6">
        <v>4</v>
      </c>
      <c r="F1768" s="6">
        <v>4</v>
      </c>
      <c r="G1768" s="6">
        <v>1767</v>
      </c>
      <c r="H1768" s="7"/>
    </row>
    <row r="1769" spans="1:8">
      <c r="A1769" s="4" t="str">
        <f>HYPERLINK("https://scryfall.com/card/wth/70/gallowbraid","Gallowbraid")</f>
        <v>Gallowbraid</v>
      </c>
      <c r="B1769" s="5">
        <v>1763</v>
      </c>
      <c r="C1769" s="6">
        <v>0</v>
      </c>
      <c r="D1769" s="6">
        <v>0</v>
      </c>
      <c r="E1769" s="6">
        <v>4</v>
      </c>
      <c r="F1769" s="6">
        <v>4</v>
      </c>
      <c r="G1769" s="6">
        <v>1768</v>
      </c>
      <c r="H1769" s="7"/>
    </row>
    <row r="1770" spans="1:8">
      <c r="A1770" s="4" t="str">
        <f>HYPERLINK("https://scryfall.com/card/sok/3/celestial-kirin","Celestial Kirin")</f>
        <v>Celestial Kirin</v>
      </c>
      <c r="B1770" s="5">
        <v>1771</v>
      </c>
      <c r="C1770" s="6">
        <v>2</v>
      </c>
      <c r="D1770" s="6">
        <v>2</v>
      </c>
      <c r="E1770" s="6">
        <v>0</v>
      </c>
      <c r="F1770" s="6">
        <v>4</v>
      </c>
      <c r="G1770" s="6">
        <v>1769</v>
      </c>
      <c r="H1770" s="7"/>
    </row>
    <row r="1771" spans="1:8">
      <c r="A1771" s="4" t="str">
        <f>HYPERLINK("https://scryfall.com/card/ptk/95/zhang-he-wei-general","Zhang He, Wei General")</f>
        <v>Zhang He, Wei General</v>
      </c>
      <c r="B1771" s="5">
        <v>1777</v>
      </c>
      <c r="C1771" s="6">
        <v>1</v>
      </c>
      <c r="D1771" s="6">
        <v>0</v>
      </c>
      <c r="E1771" s="6">
        <v>3</v>
      </c>
      <c r="F1771" s="6">
        <v>4</v>
      </c>
      <c r="G1771" s="6">
        <v>1770</v>
      </c>
      <c r="H1771" s="7"/>
    </row>
    <row r="1772" spans="1:8">
      <c r="A1772" s="4" t="str">
        <f>HYPERLINK("https://scryfall.com/card/tor/8/major-teroh","Major Teroh")</f>
        <v>Major Teroh</v>
      </c>
      <c r="B1772" s="5">
        <v>1778</v>
      </c>
      <c r="C1772" s="6">
        <v>0</v>
      </c>
      <c r="D1772" s="6">
        <v>0</v>
      </c>
      <c r="E1772" s="6">
        <v>4</v>
      </c>
      <c r="F1772" s="6">
        <v>4</v>
      </c>
      <c r="G1772" s="6">
        <v>1771</v>
      </c>
      <c r="H1772" s="7"/>
    </row>
    <row r="1773" spans="1:8">
      <c r="A1773" s="4" t="str">
        <f>HYPERLINK("https://scryfall.com/card/xln/61/kopala-warden-of-waves","Kopala, Warden of Waves")</f>
        <v>Kopala, Warden of Waves</v>
      </c>
      <c r="B1773" s="5">
        <v>1780</v>
      </c>
      <c r="C1773" s="6">
        <v>0</v>
      </c>
      <c r="D1773" s="6">
        <v>1</v>
      </c>
      <c r="E1773" s="6">
        <v>3</v>
      </c>
      <c r="F1773" s="6">
        <v>4</v>
      </c>
      <c r="G1773" s="6">
        <v>1772</v>
      </c>
      <c r="H1773" s="7"/>
    </row>
    <row r="1774" spans="1:8">
      <c r="A1774" s="4" t="str">
        <f>HYPERLINK("https://scryfall.com/card/ptk/139/lady-zhurong-warrior-queen","Lady Zhurong, Warrior Queen")</f>
        <v>Lady Zhurong, Warrior Queen</v>
      </c>
      <c r="B1774" s="5">
        <v>1781</v>
      </c>
      <c r="C1774" s="6">
        <v>0</v>
      </c>
      <c r="D1774" s="6">
        <v>0</v>
      </c>
      <c r="E1774" s="6">
        <v>4</v>
      </c>
      <c r="F1774" s="6">
        <v>4</v>
      </c>
      <c r="G1774" s="6">
        <v>1773</v>
      </c>
      <c r="H1774" s="7"/>
    </row>
    <row r="1775" spans="1:8">
      <c r="A1775" s="4" t="str">
        <f>HYPERLINK("https://scryfall.com/card/ptk/66/zhuge-jin-wu-strategist","Zhuge Jin, Wu Strategist")</f>
        <v>Zhuge Jin, Wu Strategist</v>
      </c>
      <c r="B1775" s="5">
        <v>1789</v>
      </c>
      <c r="C1775" s="6">
        <v>1</v>
      </c>
      <c r="D1775" s="6">
        <v>0</v>
      </c>
      <c r="E1775" s="6">
        <v>3</v>
      </c>
      <c r="F1775" s="6">
        <v>4</v>
      </c>
      <c r="G1775" s="6">
        <v>1774</v>
      </c>
      <c r="H1775" s="7"/>
    </row>
    <row r="1776" spans="1:8">
      <c r="A1776" s="4" t="str">
        <f>HYPERLINK("https://scryfall.com/card/ptk/109/dong-zhou-the-tyrant","Dong Zhou, the Tyrant")</f>
        <v>Dong Zhou, the Tyrant</v>
      </c>
      <c r="B1776" s="5">
        <v>1797</v>
      </c>
      <c r="C1776" s="6">
        <v>0</v>
      </c>
      <c r="D1776" s="6">
        <v>3</v>
      </c>
      <c r="E1776" s="6">
        <v>1</v>
      </c>
      <c r="F1776" s="6">
        <v>4</v>
      </c>
      <c r="G1776" s="6">
        <v>1775</v>
      </c>
      <c r="H1776" s="7"/>
    </row>
    <row r="1777" spans="1:8">
      <c r="A1777" s="4" t="str">
        <f>HYPERLINK("https://scryfall.com/card/bok/17/opal-eye-kondas-yojimbo","Opal-Eye, Konda's Yojimbo")</f>
        <v>Opal-Eye, Konda's Yojimbo</v>
      </c>
      <c r="B1777" s="5">
        <v>1799</v>
      </c>
      <c r="C1777" s="6">
        <v>0</v>
      </c>
      <c r="D1777" s="6">
        <v>1</v>
      </c>
      <c r="E1777" s="6">
        <v>3</v>
      </c>
      <c r="F1777" s="6">
        <v>4</v>
      </c>
      <c r="G1777" s="6">
        <v>1776</v>
      </c>
      <c r="H1777" s="7"/>
    </row>
    <row r="1778" spans="1:8">
      <c r="A1778" s="4" t="str">
        <f>HYPERLINK("https://scryfall.com/card/chk/46/takeno-samurai-general","Takeno, Samurai General")</f>
        <v>Takeno, Samurai General</v>
      </c>
      <c r="B1778" s="5">
        <v>1801</v>
      </c>
      <c r="C1778" s="6">
        <v>0</v>
      </c>
      <c r="D1778" s="6">
        <v>1</v>
      </c>
      <c r="E1778" s="6">
        <v>3</v>
      </c>
      <c r="F1778" s="6">
        <v>4</v>
      </c>
      <c r="G1778" s="6">
        <v>1777</v>
      </c>
      <c r="H1778" s="7"/>
    </row>
    <row r="1779" spans="1:8">
      <c r="A1779" s="4" t="str">
        <f>HYPERLINK("https://scryfall.com/card/sok/123/bounteous-kirin","Bounteous Kirin")</f>
        <v>Bounteous Kirin</v>
      </c>
      <c r="B1779" s="5">
        <v>1803</v>
      </c>
      <c r="C1779" s="6">
        <v>0</v>
      </c>
      <c r="D1779" s="6">
        <v>0</v>
      </c>
      <c r="E1779" s="6">
        <v>4</v>
      </c>
      <c r="F1779" s="6">
        <v>4</v>
      </c>
      <c r="G1779" s="6">
        <v>1778</v>
      </c>
      <c r="H1779" s="7"/>
    </row>
    <row r="1780" spans="1:8">
      <c r="A1780" s="4" t="str">
        <f>HYPERLINK("https://scryfall.com/card/sok/136/masumaro-first-to-live","Masumaro, First to Live")</f>
        <v>Masumaro, First to Live</v>
      </c>
      <c r="B1780" s="5">
        <v>1804</v>
      </c>
      <c r="C1780" s="6">
        <v>0</v>
      </c>
      <c r="D1780" s="6">
        <v>1</v>
      </c>
      <c r="E1780" s="6">
        <v>3</v>
      </c>
      <c r="F1780" s="6">
        <v>4</v>
      </c>
      <c r="G1780" s="6">
        <v>1779</v>
      </c>
      <c r="H1780" s="7"/>
    </row>
    <row r="1781" spans="1:8">
      <c r="A1781" s="4" t="str">
        <f>HYPERLINK("https://scryfall.com/card/10e/12/cho-manno-revolutionary","Cho-Manno, Revolutionary")</f>
        <v>Cho-Manno, Revolutionary</v>
      </c>
      <c r="B1781" s="5">
        <v>1808</v>
      </c>
      <c r="C1781" s="6">
        <v>0</v>
      </c>
      <c r="D1781" s="6">
        <v>0</v>
      </c>
      <c r="E1781" s="6">
        <v>4</v>
      </c>
      <c r="F1781" s="6">
        <v>4</v>
      </c>
      <c r="G1781" s="6">
        <v>1780</v>
      </c>
      <c r="H1781" s="7"/>
    </row>
    <row r="1782" spans="1:8">
      <c r="A1782" s="4" t="str">
        <f>HYPERLINK("https://scryfall.com/card/inv/47/blind-seer","Blind Seer")</f>
        <v>Blind Seer</v>
      </c>
      <c r="B1782" s="5">
        <v>1614</v>
      </c>
      <c r="C1782" s="6">
        <v>0</v>
      </c>
      <c r="D1782" s="6">
        <v>1</v>
      </c>
      <c r="E1782" s="6">
        <v>2</v>
      </c>
      <c r="F1782" s="6">
        <v>3</v>
      </c>
      <c r="G1782" s="6">
        <v>1781</v>
      </c>
      <c r="H1782" s="7"/>
    </row>
    <row r="1783" spans="1:8">
      <c r="A1783" s="4" t="str">
        <f>HYPERLINK("https://scryfall.com/card/pls/74/tahngarth-talruum-hero","Tahngarth, Talruum Hero")</f>
        <v>Tahngarth, Talruum Hero</v>
      </c>
      <c r="B1783" s="5">
        <v>1708</v>
      </c>
      <c r="C1783" s="6">
        <v>0</v>
      </c>
      <c r="D1783" s="6">
        <v>1</v>
      </c>
      <c r="E1783" s="6">
        <v>2</v>
      </c>
      <c r="F1783" s="6">
        <v>3</v>
      </c>
      <c r="G1783" s="6">
        <v>1782</v>
      </c>
      <c r="H1783" s="7"/>
    </row>
    <row r="1784" spans="1:8">
      <c r="A1784" s="4" t="str">
        <f>HYPERLINK("https://scryfall.com/card/mir/146/spirit-of-the-night","Spirit of the Night")</f>
        <v>Spirit of the Night</v>
      </c>
      <c r="B1784" s="5">
        <v>1732</v>
      </c>
      <c r="C1784" s="6">
        <v>0</v>
      </c>
      <c r="D1784" s="6">
        <v>0</v>
      </c>
      <c r="E1784" s="6">
        <v>3</v>
      </c>
      <c r="F1784" s="6">
        <v>3</v>
      </c>
      <c r="G1784" s="6">
        <v>1783</v>
      </c>
      <c r="H1784" s="7"/>
    </row>
    <row r="1785" spans="1:8">
      <c r="A1785" s="4" t="str">
        <f>HYPERLINK("https://scryfall.com/card/tsb/61/eron-the-relentless","Eron the Relentless")</f>
        <v>Eron the Relentless</v>
      </c>
      <c r="B1785" s="5">
        <v>1749</v>
      </c>
      <c r="C1785" s="6">
        <v>0</v>
      </c>
      <c r="D1785" s="6">
        <v>1</v>
      </c>
      <c r="E1785" s="6">
        <v>2</v>
      </c>
      <c r="F1785" s="6">
        <v>3</v>
      </c>
      <c r="G1785" s="6">
        <v>1784</v>
      </c>
      <c r="H1785" s="7"/>
    </row>
    <row r="1786" spans="1:8">
      <c r="A1786" s="4" t="str">
        <f>HYPERLINK("https://scryfall.com/card/mir/256/asmira-holy-avenger","Asmira, Holy Avenger")</f>
        <v>Asmira, Holy Avenger</v>
      </c>
      <c r="B1786" s="5">
        <v>1753</v>
      </c>
      <c r="C1786" s="6">
        <v>2</v>
      </c>
      <c r="D1786" s="6">
        <v>0</v>
      </c>
      <c r="E1786" s="6">
        <v>1</v>
      </c>
      <c r="F1786" s="6">
        <v>3</v>
      </c>
      <c r="G1786" s="6">
        <v>1785</v>
      </c>
      <c r="H1786" s="7"/>
    </row>
    <row r="1787" spans="1:8">
      <c r="A1787" s="4" t="str">
        <f>HYPERLINK("https://scryfall.com/card/ori/43/alhammarret-high-arbiter","Alhammarret, High Arbiter")</f>
        <v>Alhammarret, High Arbiter</v>
      </c>
      <c r="B1787" s="5">
        <v>1755</v>
      </c>
      <c r="C1787" s="6">
        <v>1</v>
      </c>
      <c r="D1787" s="6">
        <v>0</v>
      </c>
      <c r="E1787" s="6">
        <v>2</v>
      </c>
      <c r="F1787" s="6">
        <v>3</v>
      </c>
      <c r="G1787" s="6">
        <v>1786</v>
      </c>
      <c r="H1787" s="7"/>
    </row>
    <row r="1788" spans="1:8">
      <c r="A1788" s="4" t="str">
        <f>HYPERLINK("https://scryfall.com/card/me3/146/boris-devilboon","Boris Devilboon")</f>
        <v>Boris Devilboon</v>
      </c>
      <c r="B1788" s="5">
        <v>1767</v>
      </c>
      <c r="C1788" s="6">
        <v>0</v>
      </c>
      <c r="D1788" s="6">
        <v>2</v>
      </c>
      <c r="E1788" s="6">
        <v>1</v>
      </c>
      <c r="F1788" s="6">
        <v>3</v>
      </c>
      <c r="G1788" s="6">
        <v>1787</v>
      </c>
      <c r="H1788" s="7"/>
    </row>
    <row r="1789" spans="1:8">
      <c r="A1789" s="4" t="str">
        <f>HYPERLINK("https://scryfall.com/card/leg/231/hunding-gjornersen","Hunding Gjornersen")</f>
        <v>Hunding Gjornersen</v>
      </c>
      <c r="B1789" s="5">
        <v>1770</v>
      </c>
      <c r="C1789" s="6">
        <v>0</v>
      </c>
      <c r="D1789" s="6">
        <v>0</v>
      </c>
      <c r="E1789" s="6">
        <v>3</v>
      </c>
      <c r="F1789" s="6">
        <v>3</v>
      </c>
      <c r="G1789" s="6">
        <v>1788</v>
      </c>
      <c r="H1789" s="7"/>
    </row>
    <row r="1790" spans="1:8">
      <c r="A1790" s="4" t="str">
        <f>HYPERLINK("https://scryfall.com/card/ody/29/lieutenant-kirtar","Lieutenant Kirtar")</f>
        <v>Lieutenant Kirtar</v>
      </c>
      <c r="B1790" s="5">
        <v>1779</v>
      </c>
      <c r="C1790" s="6">
        <v>1</v>
      </c>
      <c r="D1790" s="6">
        <v>0</v>
      </c>
      <c r="E1790" s="6">
        <v>2</v>
      </c>
      <c r="F1790" s="6">
        <v>3</v>
      </c>
      <c r="G1790" s="6">
        <v>1789</v>
      </c>
      <c r="H1790" s="7"/>
    </row>
    <row r="1791" spans="1:8">
      <c r="A1791" s="4" t="str">
        <f>HYPERLINK("https://scryfall.com/card/mir/142/shauku-endbringer","Shauku, Endbringer")</f>
        <v>Shauku, Endbringer</v>
      </c>
      <c r="B1791" s="5">
        <v>1790</v>
      </c>
      <c r="C1791" s="6">
        <v>1</v>
      </c>
      <c r="D1791" s="6">
        <v>0</v>
      </c>
      <c r="E1791" s="6">
        <v>2</v>
      </c>
      <c r="F1791" s="6">
        <v>3</v>
      </c>
      <c r="G1791" s="6">
        <v>1790</v>
      </c>
      <c r="H1791" s="7"/>
    </row>
    <row r="1792" spans="1:8">
      <c r="A1792" s="4" t="str">
        <f>HYPERLINK("https://scryfall.com/card/tpr/88/commander-greven-il-vec","Commander Greven il-Vec")</f>
        <v>Commander Greven il-Vec</v>
      </c>
      <c r="B1792" s="5">
        <v>1793</v>
      </c>
      <c r="C1792" s="6">
        <v>0</v>
      </c>
      <c r="D1792" s="6">
        <v>0</v>
      </c>
      <c r="E1792" s="6">
        <v>3</v>
      </c>
      <c r="F1792" s="6">
        <v>3</v>
      </c>
      <c r="G1792" s="6">
        <v>1791</v>
      </c>
      <c r="H1792" s="7"/>
    </row>
    <row r="1793" spans="1:8">
      <c r="A1793" s="4" t="str">
        <f>HYPERLINK("https://scryfall.com/card/ptk/128/yuan-shao-the-indecisive","Yuan Shao, the Indecisive")</f>
        <v>Yuan Shao, the Indecisive</v>
      </c>
      <c r="B1793" s="5">
        <v>1794</v>
      </c>
      <c r="C1793" s="6">
        <v>0</v>
      </c>
      <c r="D1793" s="6">
        <v>0</v>
      </c>
      <c r="E1793" s="6">
        <v>3</v>
      </c>
      <c r="F1793" s="6">
        <v>3</v>
      </c>
      <c r="G1793" s="6">
        <v>1792</v>
      </c>
      <c r="H1793" s="7"/>
    </row>
    <row r="1794" spans="1:8">
      <c r="A1794" s="4" t="str">
        <f>HYPERLINK("https://scryfall.com/card/cm2/30/jareth-leonine-titan","Jareth, Leonine Titan")</f>
        <v>Jareth, Leonine Titan</v>
      </c>
      <c r="B1794" s="5">
        <v>1807</v>
      </c>
      <c r="C1794" s="6">
        <v>0</v>
      </c>
      <c r="D1794" s="6">
        <v>1</v>
      </c>
      <c r="E1794" s="6">
        <v>2</v>
      </c>
      <c r="F1794" s="6">
        <v>3</v>
      </c>
      <c r="G1794" s="6">
        <v>1793</v>
      </c>
      <c r="H1794" s="7"/>
    </row>
    <row r="1795" spans="1:8">
      <c r="A1795" s="4" t="str">
        <f>HYPERLINK("https://scryfall.com/card/mir/95/taniwha","Taniwha")</f>
        <v>Taniwha</v>
      </c>
      <c r="B1795" s="5">
        <v>1809</v>
      </c>
      <c r="C1795" s="6">
        <v>0</v>
      </c>
      <c r="D1795" s="6">
        <v>0</v>
      </c>
      <c r="E1795" s="6">
        <v>3</v>
      </c>
      <c r="F1795" s="6">
        <v>3</v>
      </c>
      <c r="G1795" s="6">
        <v>1794</v>
      </c>
      <c r="H1795" s="7"/>
    </row>
    <row r="1796" spans="1:8">
      <c r="A1796" s="4" t="str">
        <f>HYPERLINK("https://scryfall.com/card/me3/166/princess-lucrezia","Princess Lucrezia")</f>
        <v>Princess Lucrezia</v>
      </c>
      <c r="B1796" s="5">
        <v>1814</v>
      </c>
      <c r="C1796" s="6">
        <v>0</v>
      </c>
      <c r="D1796" s="6">
        <v>0</v>
      </c>
      <c r="E1796" s="6">
        <v>3</v>
      </c>
      <c r="F1796" s="6">
        <v>3</v>
      </c>
      <c r="G1796" s="6">
        <v>1795</v>
      </c>
      <c r="H1796" s="7"/>
    </row>
    <row r="1797" spans="1:8">
      <c r="A1797" s="4" t="str">
        <f>HYPERLINK("https://scryfall.com/card/me3/183/torsten-von-ursus","Torsten Von Ursus")</f>
        <v>Torsten Von Ursus</v>
      </c>
      <c r="B1797" s="5">
        <v>1815</v>
      </c>
      <c r="C1797" s="6">
        <v>0</v>
      </c>
      <c r="D1797" s="6">
        <v>0</v>
      </c>
      <c r="E1797" s="6">
        <v>3</v>
      </c>
      <c r="F1797" s="6">
        <v>3</v>
      </c>
      <c r="G1797" s="6">
        <v>1796</v>
      </c>
      <c r="H1797" s="7"/>
    </row>
    <row r="1798" spans="1:8">
      <c r="A1798" s="4" t="str">
        <f>HYPERLINK("https://scryfall.com/card/me3/178/sunastian-falconer","Sunastian Falconer")</f>
        <v>Sunastian Falconer</v>
      </c>
      <c r="B1798" s="5">
        <v>1816</v>
      </c>
      <c r="C1798" s="6">
        <v>0</v>
      </c>
      <c r="D1798" s="6">
        <v>0</v>
      </c>
      <c r="E1798" s="6">
        <v>3</v>
      </c>
      <c r="F1798" s="6">
        <v>3</v>
      </c>
      <c r="G1798" s="6">
        <v>1797</v>
      </c>
      <c r="H1798" s="7"/>
    </row>
    <row r="1799" spans="1:8">
      <c r="A1799" s="4" t="str">
        <f>HYPERLINK("https://scryfall.com/card/ptk/82/sima-yi-wei-field-marshal","Sima Yi, Wei Field Marshal")</f>
        <v>Sima Yi, Wei Field Marshal</v>
      </c>
      <c r="B1799" s="5">
        <v>1817</v>
      </c>
      <c r="C1799" s="6">
        <v>0</v>
      </c>
      <c r="D1799" s="6">
        <v>0</v>
      </c>
      <c r="E1799" s="6">
        <v>3</v>
      </c>
      <c r="F1799" s="6">
        <v>3</v>
      </c>
      <c r="G1799" s="6">
        <v>1798</v>
      </c>
      <c r="H1799" s="7"/>
    </row>
    <row r="1800" spans="1:8">
      <c r="A1800" s="4" t="str">
        <f>HYPERLINK("https://scryfall.com/card/me3/184/tuknir-deathlock","Tuknir Deathlock")</f>
        <v>Tuknir Deathlock</v>
      </c>
      <c r="B1800" s="5">
        <v>1819</v>
      </c>
      <c r="C1800" s="6">
        <v>1</v>
      </c>
      <c r="D1800" s="6">
        <v>0</v>
      </c>
      <c r="E1800" s="6">
        <v>2</v>
      </c>
      <c r="F1800" s="6">
        <v>3</v>
      </c>
      <c r="G1800" s="6">
        <v>1799</v>
      </c>
      <c r="H1800" s="7"/>
    </row>
    <row r="1801" spans="1:8">
      <c r="A1801" s="4" t="str">
        <f>HYPERLINK("https://scryfall.com/card/lrw/6/brigid-hero-of-kinsbaile","Brigid, Hero of Kinsbaile")</f>
        <v>Brigid, Hero of Kinsbaile</v>
      </c>
      <c r="B1801" s="5">
        <v>1822</v>
      </c>
      <c r="C1801" s="6">
        <v>0</v>
      </c>
      <c r="D1801" s="6">
        <v>0</v>
      </c>
      <c r="E1801" s="6">
        <v>3</v>
      </c>
      <c r="F1801" s="6">
        <v>3</v>
      </c>
      <c r="G1801" s="6">
        <v>1800</v>
      </c>
      <c r="H1801" s="7"/>
    </row>
    <row r="1802" spans="1:8">
      <c r="A1802" s="4" t="str">
        <f>HYPERLINK("https://scryfall.com/card/ptk/8/huang-zhong-shu-general","Huang Zhong, Shu General")</f>
        <v>Huang Zhong, Shu General</v>
      </c>
      <c r="B1802" s="5">
        <v>1823</v>
      </c>
      <c r="C1802" s="6">
        <v>0</v>
      </c>
      <c r="D1802" s="6">
        <v>0</v>
      </c>
      <c r="E1802" s="6">
        <v>3</v>
      </c>
      <c r="F1802" s="6">
        <v>3</v>
      </c>
      <c r="G1802" s="6">
        <v>1801</v>
      </c>
      <c r="H1802" s="7"/>
    </row>
    <row r="1803" spans="1:8">
      <c r="A1803" s="4" t="str">
        <f>HYPERLINK("https://scryfall.com/card/leg/243/lord-magnus","Lord Magnus")</f>
        <v>Lord Magnus</v>
      </c>
      <c r="B1803" s="5">
        <v>1824</v>
      </c>
      <c r="C1803" s="6">
        <v>0</v>
      </c>
      <c r="D1803" s="6">
        <v>0</v>
      </c>
      <c r="E1803" s="6">
        <v>3</v>
      </c>
      <c r="F1803" s="6">
        <v>3</v>
      </c>
      <c r="G1803" s="6">
        <v>1802</v>
      </c>
      <c r="H1803" s="7"/>
    </row>
    <row r="1804" spans="1:8">
      <c r="A1804" s="4" t="str">
        <f>HYPERLINK("https://scryfall.com/card/hml/12/rashka-the-slayer","Rashka the Slayer")</f>
        <v>Rashka the Slayer</v>
      </c>
      <c r="B1804" s="5">
        <v>1825</v>
      </c>
      <c r="C1804" s="6">
        <v>0</v>
      </c>
      <c r="D1804" s="6">
        <v>0</v>
      </c>
      <c r="E1804" s="6">
        <v>3</v>
      </c>
      <c r="F1804" s="6">
        <v>3</v>
      </c>
      <c r="G1804" s="6">
        <v>1803</v>
      </c>
      <c r="H1804" s="7"/>
    </row>
    <row r="1805" spans="1:8">
      <c r="A1805" s="4" t="str">
        <f>HYPERLINK("https://scryfall.com/card/inv/244/dromar-the-banisher","Dromar, the Banisher")</f>
        <v>Dromar, the Banisher</v>
      </c>
      <c r="B1805" s="5">
        <v>1828</v>
      </c>
      <c r="C1805" s="6">
        <v>1</v>
      </c>
      <c r="D1805" s="6">
        <v>0</v>
      </c>
      <c r="E1805" s="6">
        <v>2</v>
      </c>
      <c r="F1805" s="6">
        <v>3</v>
      </c>
      <c r="G1805" s="6">
        <v>1804</v>
      </c>
      <c r="H1805" s="7"/>
    </row>
    <row r="1806" spans="1:8">
      <c r="A1806" s="4" t="str">
        <f>HYPERLINK("https://scryfall.com/card/me2/197/skeleton-ship","Skeleton Ship")</f>
        <v>Skeleton Ship</v>
      </c>
      <c r="B1806" s="5">
        <v>1690</v>
      </c>
      <c r="C1806" s="6">
        <v>1</v>
      </c>
      <c r="D1806" s="6">
        <v>0</v>
      </c>
      <c r="E1806" s="6">
        <v>1</v>
      </c>
      <c r="F1806" s="6">
        <v>2</v>
      </c>
      <c r="G1806" s="6">
        <v>1805</v>
      </c>
      <c r="H1806" s="7"/>
    </row>
    <row r="1807" spans="1:8">
      <c r="A1807" s="4" t="str">
        <f>HYPERLINK("https://scryfall.com/card/me3/142/arcades-sabboth","Arcades Sabboth")</f>
        <v>Arcades Sabboth</v>
      </c>
      <c r="B1807" s="5">
        <v>1702</v>
      </c>
      <c r="C1807" s="6">
        <v>0</v>
      </c>
      <c r="D1807" s="6">
        <v>1</v>
      </c>
      <c r="E1807" s="6">
        <v>1</v>
      </c>
      <c r="F1807" s="6">
        <v>2</v>
      </c>
      <c r="G1807" s="6">
        <v>1806</v>
      </c>
      <c r="H1807" s="7"/>
    </row>
    <row r="1808" spans="1:8">
      <c r="A1808" s="4" t="str">
        <f>HYPERLINK("https://scryfall.com/card/mir/182/hivis-of-the-scale","Hivis of the Scale")</f>
        <v>Hivis of the Scale</v>
      </c>
      <c r="B1808" s="5">
        <v>1703</v>
      </c>
      <c r="C1808" s="6">
        <v>0</v>
      </c>
      <c r="D1808" s="6">
        <v>2</v>
      </c>
      <c r="E1808" s="6">
        <v>0</v>
      </c>
      <c r="F1808" s="6">
        <v>2</v>
      </c>
      <c r="G1808" s="6">
        <v>1807</v>
      </c>
      <c r="H1808" s="7"/>
    </row>
    <row r="1809" spans="1:8">
      <c r="A1809" s="4" t="str">
        <f>HYPERLINK("https://scryfall.com/card/me3/144/barktooth-warbeard","Barktooth Warbeard")</f>
        <v>Barktooth Warbeard</v>
      </c>
      <c r="B1809" s="5">
        <v>1704</v>
      </c>
      <c r="C1809" s="6">
        <v>0</v>
      </c>
      <c r="D1809" s="6">
        <v>1</v>
      </c>
      <c r="E1809" s="6">
        <v>1</v>
      </c>
      <c r="F1809" s="6">
        <v>2</v>
      </c>
      <c r="G1809" s="6">
        <v>1808</v>
      </c>
      <c r="H1809" s="7"/>
    </row>
    <row r="1810" spans="1:8">
      <c r="A1810" s="4" t="str">
        <f>HYPERLINK("https://scryfall.com/card/me3/143/axelrod-gunnarson","Axelrod Gunnarson")</f>
        <v>Axelrod Gunnarson</v>
      </c>
      <c r="B1810" s="5">
        <v>1721</v>
      </c>
      <c r="C1810" s="6">
        <v>0</v>
      </c>
      <c r="D1810" s="6">
        <v>1</v>
      </c>
      <c r="E1810" s="6">
        <v>1</v>
      </c>
      <c r="F1810" s="6">
        <v>2</v>
      </c>
      <c r="G1810" s="6">
        <v>1809</v>
      </c>
      <c r="H1810" s="7"/>
    </row>
    <row r="1811" spans="1:8">
      <c r="A1811" s="4" t="str">
        <f>HYPERLINK("https://scryfall.com/card/me3/12/guan-yu-sainted-warrior","Guan Yu, Sainted Warrior")</f>
        <v>Guan Yu, Sainted Warrior</v>
      </c>
      <c r="B1811" s="5">
        <v>1737</v>
      </c>
      <c r="C1811" s="6">
        <v>0</v>
      </c>
      <c r="D1811" s="6">
        <v>0</v>
      </c>
      <c r="E1811" s="6">
        <v>2</v>
      </c>
      <c r="F1811" s="6">
        <v>2</v>
      </c>
      <c r="G1811" s="6">
        <v>1810</v>
      </c>
      <c r="H1811" s="7"/>
    </row>
    <row r="1812" spans="1:8">
      <c r="A1812" s="4" t="str">
        <f>HYPERLINK("https://scryfall.com/card/a25/174/iwamori-of-the-open-fist","Iwamori of the Open Fist")</f>
        <v>Iwamori of the Open Fist</v>
      </c>
      <c r="B1812" s="5">
        <v>1786</v>
      </c>
      <c r="C1812" s="6">
        <v>0</v>
      </c>
      <c r="D1812" s="6">
        <v>1</v>
      </c>
      <c r="E1812" s="6">
        <v>1</v>
      </c>
      <c r="F1812" s="6">
        <v>2</v>
      </c>
      <c r="G1812" s="6">
        <v>1811</v>
      </c>
      <c r="H1812" s="7"/>
    </row>
    <row r="1813" spans="1:8">
      <c r="A1813" s="4" t="str">
        <f>HYPERLINK("https://scryfall.com/card/me3/49/reveka-wizard-savant","Reveka, Wizard Savant")</f>
        <v>Reveka, Wizard Savant</v>
      </c>
      <c r="B1813" s="5">
        <v>1791</v>
      </c>
      <c r="C1813" s="6">
        <v>0</v>
      </c>
      <c r="D1813" s="6">
        <v>0</v>
      </c>
      <c r="E1813" s="6">
        <v>2</v>
      </c>
      <c r="F1813" s="6">
        <v>2</v>
      </c>
      <c r="G1813" s="6">
        <v>1812</v>
      </c>
      <c r="H1813" s="7"/>
    </row>
    <row r="1814" spans="1:8">
      <c r="A1814" s="4" t="str">
        <f>HYPERLINK("https://scryfall.com/card/ptk/69/cao-ren-wei-commander","Cao Ren, Wei Commander")</f>
        <v>Cao Ren, Wei Commander</v>
      </c>
      <c r="B1814" s="5">
        <v>1806</v>
      </c>
      <c r="C1814" s="6">
        <v>0</v>
      </c>
      <c r="D1814" s="6">
        <v>1</v>
      </c>
      <c r="E1814" s="6">
        <v>1</v>
      </c>
      <c r="F1814" s="6">
        <v>2</v>
      </c>
      <c r="G1814" s="6">
        <v>1813</v>
      </c>
      <c r="H1814" s="7"/>
    </row>
    <row r="1815" spans="1:8">
      <c r="A1815" s="4" t="str">
        <f>HYPERLINK("https://scryfall.com/card/hml/60/veldrane-of-sengir","Veldrane of Sengir")</f>
        <v>Veldrane of Sengir</v>
      </c>
      <c r="B1815" s="5">
        <v>1813</v>
      </c>
      <c r="C1815" s="6">
        <v>0</v>
      </c>
      <c r="D1815" s="6">
        <v>0</v>
      </c>
      <c r="E1815" s="6">
        <v>2</v>
      </c>
      <c r="F1815" s="6">
        <v>2</v>
      </c>
      <c r="G1815" s="6">
        <v>1814</v>
      </c>
      <c r="H1815" s="7"/>
    </row>
    <row r="1816" spans="1:8">
      <c r="A1816" s="4" t="str">
        <f>HYPERLINK("https://scryfall.com/card/mir/135/purraj-of-urborg","Purraj of Urborg")</f>
        <v>Purraj of Urborg</v>
      </c>
      <c r="B1816" s="5">
        <v>1820</v>
      </c>
      <c r="C1816" s="6">
        <v>1</v>
      </c>
      <c r="D1816" s="6">
        <v>1</v>
      </c>
      <c r="E1816" s="6">
        <v>0</v>
      </c>
      <c r="F1816" s="6">
        <v>2</v>
      </c>
      <c r="G1816" s="6">
        <v>1815</v>
      </c>
      <c r="H1816" s="7"/>
    </row>
    <row r="1817" spans="1:8">
      <c r="A1817" s="4" t="str">
        <f>HYPERLINK("https://scryfall.com/card/chr/77/johan","Johan")</f>
        <v>Johan</v>
      </c>
      <c r="B1817" s="5">
        <v>1826</v>
      </c>
      <c r="C1817" s="6">
        <v>0</v>
      </c>
      <c r="D1817" s="6">
        <v>0</v>
      </c>
      <c r="E1817" s="6">
        <v>2</v>
      </c>
      <c r="F1817" s="6">
        <v>2</v>
      </c>
      <c r="G1817" s="6">
        <v>1816</v>
      </c>
      <c r="H1817" s="7"/>
    </row>
    <row r="1818" spans="1:8">
      <c r="A1818" s="4" t="str">
        <f>HYPERLINK("https://scryfall.com/card/me3/153/jedit-ojanen","Jedit Ojanen")</f>
        <v>Jedit Ojanen</v>
      </c>
      <c r="B1818" s="5">
        <v>1827</v>
      </c>
      <c r="C1818" s="6">
        <v>0</v>
      </c>
      <c r="D1818" s="6">
        <v>0</v>
      </c>
      <c r="E1818" s="6">
        <v>2</v>
      </c>
      <c r="F1818" s="6">
        <v>2</v>
      </c>
      <c r="G1818" s="6">
        <v>1817</v>
      </c>
      <c r="H1818" s="7"/>
    </row>
    <row r="1819" spans="1:8">
      <c r="A1819" s="4" t="str">
        <f>HYPERLINK("https://scryfall.com/card/sok/107/jiwari-the-earth-aflame","Jiwari, the Earth Aflame")</f>
        <v>Jiwari, the Earth Aflame</v>
      </c>
      <c r="B1819" s="5">
        <v>1829</v>
      </c>
      <c r="C1819" s="6">
        <v>1</v>
      </c>
      <c r="D1819" s="6">
        <v>0</v>
      </c>
      <c r="E1819" s="6">
        <v>1</v>
      </c>
      <c r="F1819" s="6">
        <v>2</v>
      </c>
      <c r="G1819" s="6">
        <v>1818</v>
      </c>
      <c r="H1819" s="7"/>
    </row>
    <row r="1820" spans="1:8">
      <c r="A1820" s="4" t="str">
        <f>HYPERLINK("https://scryfall.com/card/wth/111/maraxus-of-keld","Maraxus of Keld")</f>
        <v>Maraxus of Keld</v>
      </c>
      <c r="B1820" s="5">
        <v>1830</v>
      </c>
      <c r="C1820" s="6">
        <v>0</v>
      </c>
      <c r="D1820" s="6">
        <v>0</v>
      </c>
      <c r="E1820" s="6">
        <v>2</v>
      </c>
      <c r="F1820" s="6">
        <v>2</v>
      </c>
      <c r="G1820" s="6">
        <v>1819</v>
      </c>
      <c r="H1820" s="7"/>
    </row>
    <row r="1821" spans="1:8">
      <c r="A1821" s="4" t="str">
        <f>HYPERLINK("https://scryfall.com/card/hml/8/hazduhr-the-abbot","Hazduhr the Abbot")</f>
        <v>Hazduhr the Abbot</v>
      </c>
      <c r="B1821" s="5">
        <v>1836</v>
      </c>
      <c r="C1821" s="6">
        <v>0</v>
      </c>
      <c r="D1821" s="6">
        <v>0</v>
      </c>
      <c r="E1821" s="6">
        <v>2</v>
      </c>
      <c r="F1821" s="6">
        <v>2</v>
      </c>
      <c r="G1821" s="6">
        <v>1820</v>
      </c>
      <c r="H1821" s="7"/>
    </row>
    <row r="1822" spans="1:8">
      <c r="A1822" s="4" t="str">
        <f>HYPERLINK("https://scryfall.com/card/me3/182/tor-wauki","Tor Wauki")</f>
        <v>Tor Wauki</v>
      </c>
      <c r="B1822" s="5">
        <v>1837</v>
      </c>
      <c r="C1822" s="6">
        <v>0</v>
      </c>
      <c r="D1822" s="6">
        <v>0</v>
      </c>
      <c r="E1822" s="6">
        <v>2</v>
      </c>
      <c r="F1822" s="6">
        <v>2</v>
      </c>
      <c r="G1822" s="6">
        <v>1821</v>
      </c>
      <c r="H1822" s="7"/>
    </row>
    <row r="1823" spans="1:8">
      <c r="A1823" s="4" t="str">
        <f>HYPERLINK("https://scryfall.com/card/ptk/33/zhao-zilong-tiger-general","Zhao Zilong, Tiger General")</f>
        <v>Zhao Zilong, Tiger General</v>
      </c>
      <c r="B1823" s="5">
        <v>1838</v>
      </c>
      <c r="C1823" s="6">
        <v>0</v>
      </c>
      <c r="D1823" s="6">
        <v>0</v>
      </c>
      <c r="E1823" s="6">
        <v>2</v>
      </c>
      <c r="F1823" s="6">
        <v>2</v>
      </c>
      <c r="G1823" s="6">
        <v>1822</v>
      </c>
      <c r="H1823" s="7"/>
    </row>
    <row r="1824" spans="1:8">
      <c r="A1824" s="4" t="str">
        <f>HYPERLINK("https://scryfall.com/card/ptk/116/ma-chao-western-warrior","Ma Chao, Western Warrior")</f>
        <v>Ma Chao, Western Warrior</v>
      </c>
      <c r="B1824" s="5">
        <v>1839</v>
      </c>
      <c r="C1824" s="6">
        <v>0</v>
      </c>
      <c r="D1824" s="6">
        <v>0</v>
      </c>
      <c r="E1824" s="6">
        <v>2</v>
      </c>
      <c r="F1824" s="6">
        <v>2</v>
      </c>
      <c r="G1824" s="6">
        <v>1823</v>
      </c>
      <c r="H1824" s="7"/>
    </row>
    <row r="1825" spans="1:8">
      <c r="A1825" s="4" t="str">
        <f>HYPERLINK("https://scryfall.com/card/ptk/93/xun-yu-wei-advisor","Xun Yu, Wei Advisor")</f>
        <v>Xun Yu, Wei Advisor</v>
      </c>
      <c r="B1825" s="5">
        <v>1840</v>
      </c>
      <c r="C1825" s="6">
        <v>1</v>
      </c>
      <c r="D1825" s="6">
        <v>0</v>
      </c>
      <c r="E1825" s="6">
        <v>1</v>
      </c>
      <c r="F1825" s="6">
        <v>2</v>
      </c>
      <c r="G1825" s="6">
        <v>1824</v>
      </c>
      <c r="H1825" s="7"/>
    </row>
    <row r="1826" spans="1:8">
      <c r="A1826" s="4" t="str">
        <f>HYPERLINK("https://scryfall.com/card/me3/180/the-lady-of-the-mountain","The Lady of the Mountain")</f>
        <v>The Lady of the Mountain</v>
      </c>
      <c r="B1826" s="5">
        <v>1842</v>
      </c>
      <c r="C1826" s="6">
        <v>0</v>
      </c>
      <c r="D1826" s="6">
        <v>0</v>
      </c>
      <c r="E1826" s="6">
        <v>2</v>
      </c>
      <c r="F1826" s="6">
        <v>2</v>
      </c>
      <c r="G1826" s="6">
        <v>1825</v>
      </c>
      <c r="H1826" s="7"/>
    </row>
    <row r="1827" spans="1:8">
      <c r="A1827" s="4" t="str">
        <f>HYPERLINK("https://scryfall.com/card/me3/172/rohgahh-of-kher-keep","Rohgahh of Kher Keep")</f>
        <v>Rohgahh of Kher Keep</v>
      </c>
      <c r="B1827" s="5">
        <v>1745</v>
      </c>
      <c r="C1827" s="6">
        <v>0</v>
      </c>
      <c r="D1827" s="6">
        <v>0</v>
      </c>
      <c r="E1827" s="6">
        <v>1</v>
      </c>
      <c r="F1827" s="6">
        <v>1</v>
      </c>
      <c r="G1827" s="6">
        <v>1826</v>
      </c>
      <c r="H1827" s="7"/>
    </row>
    <row r="1828" spans="1:8">
      <c r="A1828" s="4" t="str">
        <f>HYPERLINK("https://scryfall.com/card/chr/73/ayesha-tanaka","Ayesha Tanaka")</f>
        <v>Ayesha Tanaka</v>
      </c>
      <c r="B1828" s="5">
        <v>1765</v>
      </c>
      <c r="C1828" s="6">
        <v>0</v>
      </c>
      <c r="D1828" s="6">
        <v>0</v>
      </c>
      <c r="E1828" s="6">
        <v>1</v>
      </c>
      <c r="F1828" s="6">
        <v>1</v>
      </c>
      <c r="G1828" s="6">
        <v>1827</v>
      </c>
      <c r="H1828" s="7"/>
    </row>
    <row r="1829" spans="1:8">
      <c r="A1829" s="4" t="str">
        <f>HYPERLINK("https://scryfall.com/card/sok/104/iizuka-the-ruthless","Iizuka the Ruthless")</f>
        <v>Iizuka the Ruthless</v>
      </c>
      <c r="B1829" s="5">
        <v>1785</v>
      </c>
      <c r="C1829" s="6">
        <v>0</v>
      </c>
      <c r="D1829" s="6">
        <v>0</v>
      </c>
      <c r="E1829" s="6">
        <v>1</v>
      </c>
      <c r="F1829" s="6">
        <v>1</v>
      </c>
      <c r="G1829" s="6">
        <v>1828</v>
      </c>
      <c r="H1829" s="7"/>
    </row>
    <row r="1830" spans="1:8">
      <c r="A1830" s="4" t="str">
        <f>HYPERLINK("https://scryfall.com/card/me3/145/bartel-runeaxe","Bartel Runeaxe")</f>
        <v>Bartel Runeaxe</v>
      </c>
      <c r="B1830" s="5">
        <v>1788</v>
      </c>
      <c r="C1830" s="6">
        <v>0</v>
      </c>
      <c r="D1830" s="6">
        <v>1</v>
      </c>
      <c r="E1830" s="6">
        <v>0</v>
      </c>
      <c r="F1830" s="6">
        <v>1</v>
      </c>
      <c r="G1830" s="6">
        <v>1829</v>
      </c>
      <c r="H1830" s="7"/>
    </row>
    <row r="1831" spans="1:8">
      <c r="A1831" s="4" t="str">
        <f>HYPERLINK("https://scryfall.com/card/chk/66/hisoka-minamo-sensei","Hisoka, Minamo Sensei")</f>
        <v>Hisoka, Minamo Sensei</v>
      </c>
      <c r="B1831" s="5">
        <v>1800</v>
      </c>
      <c r="C1831" s="6">
        <v>0</v>
      </c>
      <c r="D1831" s="6">
        <v>1</v>
      </c>
      <c r="E1831" s="6">
        <v>0</v>
      </c>
      <c r="F1831" s="6">
        <v>1</v>
      </c>
      <c r="G1831" s="6">
        <v>1830</v>
      </c>
      <c r="H1831" s="7"/>
    </row>
    <row r="1832" spans="1:8">
      <c r="A1832" s="4" t="str">
        <f>HYPERLINK("https://scryfall.com/card/me3/159/lady-orca","Lady Orca")</f>
        <v>Lady Orca</v>
      </c>
      <c r="B1832" s="5">
        <v>1812</v>
      </c>
      <c r="C1832" s="6">
        <v>0</v>
      </c>
      <c r="D1832" s="6">
        <v>0</v>
      </c>
      <c r="E1832" s="6">
        <v>1</v>
      </c>
      <c r="F1832" s="6">
        <v>1</v>
      </c>
      <c r="G1832" s="6">
        <v>1831</v>
      </c>
      <c r="H1832" s="7"/>
    </row>
    <row r="1833" spans="1:8">
      <c r="A1833" s="4" t="str">
        <f>HYPERLINK("https://scryfall.com/card/me3/164/palladia-mors","Palladia-Mors")</f>
        <v>Palladia-Mors</v>
      </c>
      <c r="B1833" s="5">
        <v>1818</v>
      </c>
      <c r="C1833" s="6">
        <v>0</v>
      </c>
      <c r="D1833" s="6">
        <v>0</v>
      </c>
      <c r="E1833" s="6">
        <v>1</v>
      </c>
      <c r="F1833" s="6">
        <v>1</v>
      </c>
      <c r="G1833" s="6">
        <v>1832</v>
      </c>
      <c r="H1833" s="7"/>
    </row>
    <row r="1834" spans="1:8">
      <c r="A1834" s="4" t="str">
        <f>HYPERLINK("https://scryfall.com/card/ptk/96/zhang-liao-hero-of-hefei","Zhang Liao, Hero of Hefei")</f>
        <v>Zhang Liao, Hero of Hefei</v>
      </c>
      <c r="B1834" s="5">
        <v>1821</v>
      </c>
      <c r="C1834" s="6">
        <v>1</v>
      </c>
      <c r="D1834" s="6">
        <v>0</v>
      </c>
      <c r="E1834" s="6">
        <v>0</v>
      </c>
      <c r="F1834" s="6">
        <v>1</v>
      </c>
      <c r="G1834" s="6">
        <v>1833</v>
      </c>
      <c r="H1834" s="7"/>
    </row>
    <row r="1835" spans="1:8">
      <c r="A1835" s="4" t="str">
        <f>HYPERLINK("https://scryfall.com/card/leg/227/gosta-dirk","Gosta Dirk")</f>
        <v>Gosta Dirk</v>
      </c>
      <c r="B1835" s="5">
        <v>1831</v>
      </c>
      <c r="C1835" s="6">
        <v>0</v>
      </c>
      <c r="D1835" s="6">
        <v>0</v>
      </c>
      <c r="E1835" s="6">
        <v>1</v>
      </c>
      <c r="F1835" s="6">
        <v>1</v>
      </c>
      <c r="G1835" s="6">
        <v>1834</v>
      </c>
      <c r="H1835" s="7"/>
    </row>
    <row r="1836" spans="1:8">
      <c r="A1836" s="4" t="str">
        <f>HYPERLINK("https://scryfall.com/card/me3/165/pavel-maliki","Pavel Maliki")</f>
        <v>Pavel Maliki</v>
      </c>
      <c r="B1836" s="5">
        <v>1832</v>
      </c>
      <c r="C1836" s="6">
        <v>0</v>
      </c>
      <c r="D1836" s="6">
        <v>0</v>
      </c>
      <c r="E1836" s="6">
        <v>1</v>
      </c>
      <c r="F1836" s="6">
        <v>1</v>
      </c>
      <c r="G1836" s="6">
        <v>1835</v>
      </c>
      <c r="H1836" s="7"/>
    </row>
    <row r="1837" spans="1:8">
      <c r="A1837" s="4" t="str">
        <f>HYPERLINK("https://scryfall.com/card/ptk/47/lu-su-wu-advisor","Lu Su, Wu Advisor")</f>
        <v>Lu Su, Wu Advisor</v>
      </c>
      <c r="B1837" s="5">
        <v>1833</v>
      </c>
      <c r="C1837" s="6">
        <v>0</v>
      </c>
      <c r="D1837" s="6">
        <v>0</v>
      </c>
      <c r="E1837" s="6">
        <v>1</v>
      </c>
      <c r="F1837" s="6">
        <v>1</v>
      </c>
      <c r="G1837" s="6">
        <v>1836</v>
      </c>
      <c r="H1837" s="7"/>
    </row>
    <row r="1838" spans="1:8">
      <c r="A1838" s="4" t="str">
        <f>HYPERLINK("https://scryfall.com/card/hml/54/irini-sengir","Irini Sengir")</f>
        <v>Irini Sengir</v>
      </c>
      <c r="B1838" s="5">
        <v>1835</v>
      </c>
      <c r="C1838" s="6">
        <v>0</v>
      </c>
      <c r="D1838" s="6">
        <v>0</v>
      </c>
      <c r="E1838" s="6">
        <v>1</v>
      </c>
      <c r="F1838" s="6">
        <v>1</v>
      </c>
      <c r="G1838" s="6">
        <v>1837</v>
      </c>
      <c r="H1838" s="7"/>
    </row>
    <row r="1839" spans="1:8">
      <c r="A1839" s="4" t="str">
        <f>HYPERLINK("https://scryfall.com/card/me3/161/marhault-elsdragon","Marhault Elsdragon")</f>
        <v>Marhault Elsdragon</v>
      </c>
      <c r="B1839" s="5">
        <v>1844</v>
      </c>
      <c r="C1839" s="6">
        <v>0</v>
      </c>
      <c r="D1839" s="6">
        <v>0</v>
      </c>
      <c r="E1839" s="6">
        <v>1</v>
      </c>
      <c r="F1839" s="6">
        <v>1</v>
      </c>
      <c r="G1839" s="6">
        <v>1838</v>
      </c>
      <c r="H1839" s="7"/>
    </row>
    <row r="1840" spans="1:8">
      <c r="A1840" s="4" t="str">
        <f>HYPERLINK("https://scryfall.com/card/hml/77/joven","Joven")</f>
        <v>Joven</v>
      </c>
      <c r="B1840" s="5">
        <v>1846</v>
      </c>
      <c r="C1840" s="6">
        <v>1</v>
      </c>
      <c r="D1840" s="6">
        <v>0</v>
      </c>
      <c r="E1840" s="6">
        <v>0</v>
      </c>
      <c r="F1840" s="6">
        <v>1</v>
      </c>
      <c r="G1840" s="6">
        <v>1839</v>
      </c>
      <c r="H1840" s="7"/>
    </row>
    <row r="1841" spans="1:8">
      <c r="A1841" s="4" t="str">
        <f>HYPERLINK("https://scryfall.com/card/me3/28/zhang-fei-fierce-warrior","Zhang Fei, Fierce Warrior")</f>
        <v>Zhang Fei, Fierce Warrior</v>
      </c>
      <c r="B1841" s="5">
        <v>1847</v>
      </c>
      <c r="C1841" s="6">
        <v>0</v>
      </c>
      <c r="D1841" s="6">
        <v>0</v>
      </c>
      <c r="E1841" s="6">
        <v>1</v>
      </c>
      <c r="F1841" s="6">
        <v>1</v>
      </c>
      <c r="G1841" s="6">
        <v>1840</v>
      </c>
      <c r="H1841" s="7"/>
    </row>
    <row r="1842" spans="1:8">
      <c r="A1842" s="4" t="str">
        <f>HYPERLINK("https://scryfall.com/card/leg/232/jacques-le-vert","Jacques le Vert")</f>
        <v>Jacques le Vert</v>
      </c>
      <c r="B1842" s="5">
        <v>1848</v>
      </c>
      <c r="C1842" s="6">
        <v>0</v>
      </c>
      <c r="D1842" s="6">
        <v>0</v>
      </c>
      <c r="E1842" s="6">
        <v>1</v>
      </c>
      <c r="F1842" s="6">
        <v>1</v>
      </c>
      <c r="G1842" s="6">
        <v>1841</v>
      </c>
      <c r="H1842" s="7"/>
    </row>
    <row r="1843" spans="1:8">
      <c r="A1843" s="4" t="str">
        <f>HYPERLINK("https://scryfall.com/card/wth/75/morinfen","Morinfen")</f>
        <v>Morinfen</v>
      </c>
      <c r="B1843" s="5">
        <v>1849</v>
      </c>
      <c r="C1843" s="6">
        <v>0</v>
      </c>
      <c r="D1843" s="6">
        <v>0</v>
      </c>
      <c r="E1843" s="6">
        <v>1</v>
      </c>
      <c r="F1843" s="6">
        <v>1</v>
      </c>
      <c r="G1843" s="6">
        <v>1842</v>
      </c>
      <c r="H1843" s="7"/>
    </row>
    <row r="1844" spans="1:8">
      <c r="A1844" s="4" t="str">
        <f>HYPERLINK("https://scryfall.com/card/hml/69/chandler","Chandler")</f>
        <v>Chandler</v>
      </c>
      <c r="B1844" s="5">
        <v>1850</v>
      </c>
      <c r="C1844" s="6">
        <v>0</v>
      </c>
      <c r="D1844" s="6">
        <v>0</v>
      </c>
      <c r="E1844" s="6">
        <v>1</v>
      </c>
      <c r="F1844" s="6">
        <v>1</v>
      </c>
      <c r="G1844" s="6">
        <v>1843</v>
      </c>
      <c r="H1844" s="7"/>
    </row>
    <row r="1845" spans="1:8">
      <c r="A1845" s="4" t="str">
        <f>HYPERLINK("https://scryfall.com/card/leg/268/ur-drago","Ur-Drago")</f>
        <v>Ur-Drago</v>
      </c>
      <c r="B1845" s="5">
        <v>1854</v>
      </c>
      <c r="C1845" s="6">
        <v>0</v>
      </c>
      <c r="D1845" s="6">
        <v>0</v>
      </c>
      <c r="E1845" s="6">
        <v>1</v>
      </c>
      <c r="F1845" s="6">
        <v>1</v>
      </c>
      <c r="G1845" s="6">
        <v>1844</v>
      </c>
      <c r="H1845" s="7"/>
    </row>
    <row r="1846" spans="1:8">
      <c r="A1846" s="4" t="str">
        <f>HYPERLINK("https://scryfall.com/card/me3/175/sivitri-scarzam","Sivitri Scarzam")</f>
        <v>Sivitri Scarzam</v>
      </c>
      <c r="B1846" s="5">
        <v>1787</v>
      </c>
      <c r="C1846" s="6">
        <v>0</v>
      </c>
      <c r="D1846" s="6">
        <v>0</v>
      </c>
      <c r="E1846" s="6">
        <v>0</v>
      </c>
      <c r="F1846" s="6">
        <v>0</v>
      </c>
      <c r="G1846" s="6">
        <v>1845</v>
      </c>
      <c r="H1846" s="7"/>
    </row>
    <row r="1847" spans="1:8">
      <c r="A1847" s="4" t="str">
        <f>HYPERLINK("https://scryfall.com/card/tsb/100/solkanar-the-swamp-king","Sol'kanar the Swamp King")</f>
        <v>Sol'kanar the Swamp King</v>
      </c>
      <c r="B1847" s="5">
        <v>1796</v>
      </c>
      <c r="C1847" s="6">
        <v>0</v>
      </c>
      <c r="D1847" s="6">
        <v>0</v>
      </c>
      <c r="E1847" s="6">
        <v>0</v>
      </c>
      <c r="F1847" s="6">
        <v>0</v>
      </c>
      <c r="G1847" s="6">
        <v>1846</v>
      </c>
      <c r="H1847" s="7"/>
    </row>
    <row r="1848" spans="1:8">
      <c r="A1848" s="4" t="str">
        <f>HYPERLINK("https://scryfall.com/card/me3/171/riven-turnbull","Riven Turnbull")</f>
        <v>Riven Turnbull</v>
      </c>
      <c r="B1848" s="5">
        <v>1805</v>
      </c>
      <c r="C1848" s="6">
        <v>0</v>
      </c>
      <c r="D1848" s="6">
        <v>0</v>
      </c>
      <c r="E1848" s="6">
        <v>0</v>
      </c>
      <c r="F1848" s="6">
        <v>0</v>
      </c>
      <c r="G1848" s="6">
        <v>1847</v>
      </c>
      <c r="H1848" s="7"/>
    </row>
    <row r="1849" spans="1:8">
      <c r="A1849" s="4" t="str">
        <f>HYPERLINK("https://scryfall.com/card/me3/185/vaevictis-asmadi","Vaevictis Asmadi")</f>
        <v>Vaevictis Asmadi</v>
      </c>
      <c r="B1849" s="5">
        <v>1834</v>
      </c>
      <c r="C1849" s="6">
        <v>0</v>
      </c>
      <c r="D1849" s="6">
        <v>0</v>
      </c>
      <c r="E1849" s="6">
        <v>0</v>
      </c>
      <c r="F1849" s="6">
        <v>0</v>
      </c>
      <c r="G1849" s="6">
        <v>1848</v>
      </c>
      <c r="H1849" s="7"/>
    </row>
    <row r="1850" spans="1:8">
      <c r="A1850" s="4" t="str">
        <f>HYPERLINK("https://scryfall.com/card/me3/148/gabriel-angelfire","Gabriel Angelfire")</f>
        <v>Gabriel Angelfire</v>
      </c>
      <c r="B1850" s="5">
        <v>1841</v>
      </c>
      <c r="C1850" s="6">
        <v>0</v>
      </c>
      <c r="D1850" s="6">
        <v>0</v>
      </c>
      <c r="E1850" s="6">
        <v>0</v>
      </c>
      <c r="F1850" s="6">
        <v>0</v>
      </c>
      <c r="G1850" s="6">
        <v>1849</v>
      </c>
      <c r="H1850" s="7"/>
    </row>
    <row r="1851" spans="1:8">
      <c r="A1851" s="4" t="str">
        <f>HYPERLINK("https://scryfall.com/card/leg/237/kasimir-the-lone-wolf","Kasimir the Lone Wolf")</f>
        <v>Kasimir the Lone Wolf</v>
      </c>
      <c r="B1851" s="5">
        <v>1843</v>
      </c>
      <c r="C1851" s="6">
        <v>0</v>
      </c>
      <c r="D1851" s="6">
        <v>0</v>
      </c>
      <c r="E1851" s="6">
        <v>0</v>
      </c>
      <c r="F1851" s="6">
        <v>0</v>
      </c>
      <c r="G1851" s="6">
        <v>1850</v>
      </c>
      <c r="H1851" s="7"/>
    </row>
    <row r="1852" spans="1:8">
      <c r="A1852" s="4" t="str">
        <f>HYPERLINK("https://scryfall.com/card/me3/181/tobias-andrion","Tobias Andrion")</f>
        <v>Tobias Andrion</v>
      </c>
      <c r="B1852" s="5">
        <v>1845</v>
      </c>
      <c r="C1852" s="6">
        <v>0</v>
      </c>
      <c r="D1852" s="6">
        <v>0</v>
      </c>
      <c r="E1852" s="6">
        <v>0</v>
      </c>
      <c r="F1852" s="6">
        <v>0</v>
      </c>
      <c r="G1852" s="6">
        <v>1851</v>
      </c>
      <c r="H1852" s="7"/>
    </row>
    <row r="1853" spans="1:8">
      <c r="A1853" s="4" t="str">
        <f>HYPERLINK("https://scryfall.com/card/me3/157/lady-caleria","Lady Caleria")</f>
        <v>Lady Caleria</v>
      </c>
      <c r="B1853" s="5">
        <v>1851</v>
      </c>
      <c r="C1853" s="6">
        <v>0</v>
      </c>
      <c r="D1853" s="6">
        <v>0</v>
      </c>
      <c r="E1853" s="6">
        <v>0</v>
      </c>
      <c r="F1853" s="6">
        <v>0</v>
      </c>
      <c r="G1853" s="6">
        <v>1852</v>
      </c>
      <c r="H1853" s="7"/>
    </row>
    <row r="1854" spans="1:8">
      <c r="A1854" s="4" t="str">
        <f>HYPERLINK("https://scryfall.com/card/me3/154/jerrard-of-the-closed-fist","Jerrard of the Closed Fist")</f>
        <v>Jerrard of the Closed Fist</v>
      </c>
      <c r="B1854" s="5">
        <v>1852</v>
      </c>
      <c r="C1854" s="6">
        <v>0</v>
      </c>
      <c r="D1854" s="6">
        <v>0</v>
      </c>
      <c r="E1854" s="6">
        <v>0</v>
      </c>
      <c r="F1854" s="6">
        <v>0</v>
      </c>
      <c r="G1854" s="6">
        <v>1853</v>
      </c>
      <c r="H1854" s="7"/>
    </row>
    <row r="1855" spans="1:8">
      <c r="A1855" s="4" t="str">
        <f>HYPERLINK("https://scryfall.com/card/me3/174/sir-shandlar-of-eberyn","Sir Shandlar of Eberyn")</f>
        <v>Sir Shandlar of Eberyn</v>
      </c>
      <c r="B1855" s="5">
        <v>1853</v>
      </c>
      <c r="C1855" s="6">
        <v>0</v>
      </c>
      <c r="D1855" s="6">
        <v>0</v>
      </c>
      <c r="E1855" s="6">
        <v>0</v>
      </c>
      <c r="F1855" s="6">
        <v>0</v>
      </c>
      <c r="G1855" s="6">
        <v>1854</v>
      </c>
      <c r="H1855" s="7"/>
    </row>
    <row r="1856" spans="1:8">
      <c r="A1856" s="4" t="str">
        <f>HYPERLINK("https://scryfall.com/card/tpr/21/orim-samite-healer","Orim, Samite Healer")</f>
        <v>Orim, Samite Healer</v>
      </c>
      <c r="B1856" s="5">
        <v>1855</v>
      </c>
      <c r="C1856" s="6">
        <v>0</v>
      </c>
      <c r="D1856" s="6">
        <v>0</v>
      </c>
      <c r="E1856" s="6">
        <v>0</v>
      </c>
      <c r="F1856" s="6">
        <v>0</v>
      </c>
      <c r="G1856" s="6">
        <v>1855</v>
      </c>
      <c r="H1856" s="7"/>
    </row>
    <row r="1857" spans="1:8">
      <c r="A1857" s="4" t="str">
        <f>HYPERLINK("https://scryfall.com/card/me3/155/kei-takahashi","Kei Takahashi")</f>
        <v>Kei Takahashi</v>
      </c>
      <c r="B1857" s="5">
        <v>1856</v>
      </c>
      <c r="C1857" s="6">
        <v>0</v>
      </c>
      <c r="D1857" s="6">
        <v>0</v>
      </c>
      <c r="E1857" s="6">
        <v>0</v>
      </c>
      <c r="F1857" s="6">
        <v>0</v>
      </c>
      <c r="G1857" s="6">
        <v>1856</v>
      </c>
      <c r="H1857" s="7"/>
    </row>
    <row r="1858" spans="1:8">
      <c r="A1858" s="4" t="str">
        <f>HYPERLINK("https://scryfall.com/card/hml/85/daughter-of-autumn","Daughter of Autumn")</f>
        <v>Daughter of Autumn</v>
      </c>
      <c r="B1858" s="5">
        <v>1857</v>
      </c>
      <c r="C1858" s="6">
        <v>0</v>
      </c>
      <c r="D1858" s="6">
        <v>0</v>
      </c>
      <c r="E1858" s="6">
        <v>0</v>
      </c>
      <c r="F1858" s="6">
        <v>0</v>
      </c>
      <c r="G1858" s="6">
        <v>1857</v>
      </c>
      <c r="H1858" s="7"/>
    </row>
    <row r="1859" spans="1:8">
      <c r="A1859" s="17"/>
      <c r="B1859" s="5"/>
      <c r="H1859" s="7"/>
    </row>
    <row r="1860" spans="1:8">
      <c r="A1860" s="17"/>
      <c r="B1860" s="5"/>
      <c r="H1860" s="7"/>
    </row>
    <row r="1861" spans="1:8">
      <c r="A1861" s="17"/>
      <c r="B1861" s="5"/>
      <c r="H1861" s="7"/>
    </row>
    <row r="1862" spans="1:8">
      <c r="A1862" s="17"/>
      <c r="B1862" s="5"/>
      <c r="H1862" s="7"/>
    </row>
    <row r="1863" spans="1:8">
      <c r="A1863" s="17"/>
      <c r="B1863" s="5"/>
      <c r="H1863" s="7"/>
    </row>
    <row r="1864" spans="1:8">
      <c r="A1864" s="17"/>
      <c r="B1864" s="5"/>
      <c r="H1864" s="7"/>
    </row>
    <row r="1865" spans="1:8">
      <c r="A1865" s="17"/>
      <c r="B1865" s="5"/>
      <c r="H1865" s="7"/>
    </row>
    <row r="1866" spans="1:8">
      <c r="A1866" s="17"/>
      <c r="B1866" s="5"/>
      <c r="H1866" s="7"/>
    </row>
    <row r="1867" spans="1:8">
      <c r="A1867" s="17"/>
      <c r="B1867" s="5"/>
      <c r="H1867" s="7"/>
    </row>
    <row r="1868" spans="1:8">
      <c r="A1868" s="17"/>
      <c r="B1868" s="5"/>
      <c r="H1868" s="7"/>
    </row>
    <row r="1869" spans="1:8">
      <c r="A1869" s="17"/>
      <c r="B1869" s="5"/>
      <c r="H1869" s="7"/>
    </row>
    <row r="1870" spans="1:8">
      <c r="A1870" s="17"/>
      <c r="B1870" s="5"/>
      <c r="H1870" s="7"/>
    </row>
    <row r="1871" spans="1:8">
      <c r="A1871" s="17"/>
      <c r="B1871" s="5"/>
      <c r="H1871" s="7"/>
    </row>
    <row r="1872" spans="1:8">
      <c r="A1872" s="17"/>
      <c r="B1872" s="5"/>
      <c r="H1872" s="7"/>
    </row>
    <row r="1873" spans="1:8">
      <c r="A1873" s="17"/>
      <c r="B1873" s="5"/>
      <c r="H1873" s="7"/>
    </row>
    <row r="1874" spans="1:8">
      <c r="A1874" s="17"/>
      <c r="B1874" s="5"/>
      <c r="H1874" s="7"/>
    </row>
    <row r="1875" spans="1:8">
      <c r="A1875" s="17"/>
      <c r="B1875" s="5"/>
      <c r="H1875" s="7"/>
    </row>
    <row r="1876" spans="1:8">
      <c r="A1876" s="17"/>
      <c r="B1876" s="5"/>
      <c r="H1876" s="7"/>
    </row>
    <row r="1877" spans="1:8">
      <c r="A1877" s="17"/>
      <c r="B1877" s="5"/>
      <c r="H1877" s="7"/>
    </row>
    <row r="1878" spans="1:8">
      <c r="A1878" s="17"/>
      <c r="B1878" s="5"/>
      <c r="H1878" s="7"/>
    </row>
    <row r="1879" spans="1:8">
      <c r="A1879" s="17"/>
      <c r="B1879" s="5"/>
      <c r="H1879" s="7"/>
    </row>
    <row r="1880" spans="1:8">
      <c r="A1880" s="17"/>
      <c r="B1880" s="5"/>
      <c r="H1880" s="7"/>
    </row>
    <row r="1881" spans="1:8">
      <c r="A1881" s="17"/>
      <c r="B1881" s="5"/>
      <c r="H1881" s="7"/>
    </row>
    <row r="1882" spans="1:8">
      <c r="A1882" s="17"/>
      <c r="B1882" s="5"/>
      <c r="H1882" s="7"/>
    </row>
    <row r="1883" spans="1:8">
      <c r="A1883" s="17"/>
      <c r="B1883" s="5"/>
      <c r="H1883" s="7"/>
    </row>
    <row r="1884" spans="1:8">
      <c r="A1884" s="17"/>
      <c r="B1884" s="5"/>
      <c r="H1884" s="7"/>
    </row>
    <row r="1885" spans="1:8">
      <c r="A1885" s="17"/>
      <c r="B1885" s="5"/>
      <c r="H1885" s="7"/>
    </row>
    <row r="1886" spans="1:8">
      <c r="A1886" s="17"/>
      <c r="B1886" s="5"/>
      <c r="H1886" s="7"/>
    </row>
    <row r="1887" spans="1:8">
      <c r="A1887" s="17"/>
      <c r="B1887" s="5"/>
      <c r="H1887" s="7"/>
    </row>
    <row r="1888" spans="1:8">
      <c r="A1888" s="17"/>
      <c r="B1888" s="5"/>
      <c r="H1888" s="7"/>
    </row>
    <row r="1889" spans="1:8">
      <c r="A1889" s="17"/>
      <c r="B1889" s="5"/>
      <c r="H1889" s="7"/>
    </row>
    <row r="1890" spans="1:8">
      <c r="A1890" s="17"/>
      <c r="B1890" s="5"/>
      <c r="H1890" s="7"/>
    </row>
    <row r="1891" spans="1:8">
      <c r="A1891" s="17"/>
      <c r="B1891" s="5"/>
      <c r="H1891" s="7"/>
    </row>
    <row r="1892" spans="1:8">
      <c r="A1892" s="17"/>
      <c r="B1892" s="5"/>
      <c r="H1892" s="7"/>
    </row>
    <row r="1893" spans="1:8">
      <c r="A1893" s="17"/>
      <c r="B1893" s="5"/>
      <c r="H1893" s="7"/>
    </row>
    <row r="1894" spans="1:8">
      <c r="A1894" s="17"/>
      <c r="B1894" s="5"/>
      <c r="H1894" s="7"/>
    </row>
    <row r="1895" spans="1:8">
      <c r="A1895" s="17"/>
      <c r="B1895" s="5"/>
      <c r="H1895" s="7"/>
    </row>
    <row r="1896" spans="1:8">
      <c r="A1896" s="17"/>
      <c r="B1896" s="5"/>
      <c r="H1896" s="7"/>
    </row>
    <row r="1897" spans="1:8">
      <c r="A1897" s="17"/>
      <c r="B1897" s="5"/>
      <c r="H1897" s="7"/>
    </row>
    <row r="1898" spans="1:8">
      <c r="A1898" s="17"/>
      <c r="B1898" s="5"/>
      <c r="H1898" s="7"/>
    </row>
    <row r="1899" spans="1:8">
      <c r="A1899" s="17"/>
      <c r="B1899" s="5"/>
      <c r="H1899" s="7"/>
    </row>
    <row r="1900" spans="1:8">
      <c r="A1900" s="17"/>
      <c r="B1900" s="5"/>
      <c r="H1900" s="7"/>
    </row>
    <row r="1901" spans="1:8">
      <c r="A1901" s="17"/>
      <c r="B1901" s="5"/>
      <c r="H1901" s="7"/>
    </row>
    <row r="1902" spans="1:8">
      <c r="A1902" s="17"/>
      <c r="B1902" s="5"/>
      <c r="H1902" s="7"/>
    </row>
    <row r="1903" spans="1:8">
      <c r="A1903" s="17"/>
      <c r="B1903" s="5"/>
      <c r="H1903" s="7"/>
    </row>
    <row r="1904" spans="1:8">
      <c r="A1904" s="17"/>
      <c r="B1904" s="5"/>
      <c r="H1904" s="7"/>
    </row>
    <row r="1905" spans="1:8">
      <c r="A1905" s="17"/>
      <c r="B1905" s="5"/>
      <c r="H1905" s="7"/>
    </row>
    <row r="1906" spans="1:8">
      <c r="A1906" s="17"/>
      <c r="B1906" s="5"/>
      <c r="H1906" s="7"/>
    </row>
    <row r="1907" spans="1:8">
      <c r="A1907" s="17"/>
      <c r="B1907" s="5"/>
      <c r="H1907" s="7"/>
    </row>
    <row r="1908" spans="1:8">
      <c r="A1908" s="17"/>
      <c r="B1908" s="5"/>
      <c r="H1908" s="7"/>
    </row>
    <row r="1909" spans="1:8">
      <c r="A1909" s="17"/>
      <c r="B1909" s="5"/>
      <c r="H1909" s="7"/>
    </row>
    <row r="1910" spans="1:8">
      <c r="A1910" s="17"/>
      <c r="B1910" s="5"/>
      <c r="H1910" s="7"/>
    </row>
    <row r="1911" spans="1:8">
      <c r="A1911" s="17"/>
      <c r="B1911" s="5"/>
      <c r="H1911" s="7"/>
    </row>
    <row r="1912" spans="1:8">
      <c r="A1912" s="17"/>
      <c r="B1912" s="5"/>
      <c r="H1912" s="7"/>
    </row>
    <row r="1913" spans="1:8">
      <c r="A1913" s="17"/>
      <c r="B1913" s="5"/>
      <c r="H1913" s="7"/>
    </row>
    <row r="1914" spans="1:8">
      <c r="A1914" s="17"/>
      <c r="B1914" s="5"/>
      <c r="H1914" s="7"/>
    </row>
    <row r="1915" spans="1:8">
      <c r="A1915" s="17"/>
      <c r="B1915" s="5"/>
      <c r="H1915" s="7"/>
    </row>
    <row r="1916" spans="1:8">
      <c r="A1916" s="17"/>
      <c r="B1916" s="5"/>
      <c r="H1916" s="7"/>
    </row>
    <row r="1917" spans="1:8">
      <c r="A1917" s="17"/>
      <c r="B1917" s="5"/>
      <c r="H1917" s="7"/>
    </row>
    <row r="1918" spans="1:8">
      <c r="A1918" s="17"/>
      <c r="B1918" s="5"/>
      <c r="H1918" s="7"/>
    </row>
    <row r="1919" spans="1:8">
      <c r="A1919" s="17"/>
      <c r="B1919" s="5"/>
      <c r="H1919" s="7"/>
    </row>
    <row r="1920" spans="1:8">
      <c r="A1920" s="17"/>
      <c r="B1920" s="5"/>
      <c r="H1920" s="7"/>
    </row>
    <row r="1921" spans="1:8">
      <c r="A1921" s="17"/>
      <c r="B1921" s="5"/>
      <c r="H1921" s="7"/>
    </row>
    <row r="1922" spans="1:8">
      <c r="A1922" s="17"/>
      <c r="B1922" s="5"/>
      <c r="H1922" s="7"/>
    </row>
    <row r="1923" spans="1:8">
      <c r="A1923" s="17"/>
      <c r="B1923" s="5"/>
      <c r="H1923" s="7"/>
    </row>
    <row r="1924" spans="1:8">
      <c r="A1924" s="17"/>
      <c r="B1924" s="5"/>
      <c r="H1924" s="7"/>
    </row>
    <row r="1925" spans="1:8">
      <c r="A1925" s="17"/>
      <c r="B1925" s="5"/>
      <c r="H1925" s="7"/>
    </row>
    <row r="1926" spans="1:8">
      <c r="A1926" s="17"/>
      <c r="B1926" s="5"/>
      <c r="H1926" s="7"/>
    </row>
    <row r="1927" spans="1:8">
      <c r="A1927" s="17"/>
      <c r="B1927" s="5"/>
      <c r="H1927" s="7"/>
    </row>
    <row r="1928" spans="1:8">
      <c r="A1928" s="17"/>
      <c r="B1928" s="5"/>
      <c r="H1928" s="7"/>
    </row>
    <row r="1929" spans="1:8">
      <c r="A1929" s="17"/>
      <c r="B1929" s="5"/>
      <c r="H1929" s="7"/>
    </row>
    <row r="1930" spans="1:8">
      <c r="A1930" s="17"/>
      <c r="B1930" s="5"/>
      <c r="H1930" s="7"/>
    </row>
    <row r="1931" spans="1:8">
      <c r="A1931" s="17"/>
      <c r="B1931" s="5"/>
      <c r="H1931" s="7"/>
    </row>
    <row r="1932" spans="1:8">
      <c r="A1932" s="17"/>
      <c r="B1932" s="5"/>
      <c r="H1932" s="7"/>
    </row>
    <row r="1933" spans="1:8">
      <c r="A1933" s="17"/>
      <c r="B1933" s="5"/>
      <c r="H1933" s="7"/>
    </row>
    <row r="1934" spans="1:8">
      <c r="A1934" s="17"/>
      <c r="B1934" s="5"/>
      <c r="H1934" s="7"/>
    </row>
    <row r="1935" spans="1:8">
      <c r="A1935" s="17"/>
      <c r="B1935" s="5"/>
      <c r="H1935" s="7"/>
    </row>
    <row r="1936" spans="1:8">
      <c r="A1936" s="17"/>
      <c r="B1936" s="5"/>
      <c r="H1936" s="7"/>
    </row>
    <row r="1937" spans="1:8">
      <c r="A1937" s="17"/>
      <c r="B1937" s="5"/>
      <c r="H1937" s="7"/>
    </row>
    <row r="1938" spans="1:8">
      <c r="A1938" s="17"/>
      <c r="B1938" s="5"/>
      <c r="H1938" s="7"/>
    </row>
    <row r="1939" spans="1:8">
      <c r="A1939" s="17"/>
      <c r="B1939" s="5"/>
      <c r="H1939" s="7"/>
    </row>
    <row r="1940" spans="1:8">
      <c r="A1940" s="17"/>
      <c r="B1940" s="5"/>
      <c r="H1940" s="7"/>
    </row>
    <row r="1941" spans="1:8">
      <c r="A1941" s="17"/>
      <c r="B1941" s="5"/>
      <c r="H1941" s="7"/>
    </row>
    <row r="1942" spans="1:8">
      <c r="A1942" s="17"/>
      <c r="B1942" s="5"/>
      <c r="H1942" s="7"/>
    </row>
    <row r="1943" spans="1:8">
      <c r="A1943" s="17"/>
      <c r="B1943" s="5"/>
      <c r="H1943" s="7"/>
    </row>
    <row r="1944" spans="1:8">
      <c r="A1944" s="17"/>
      <c r="B1944" s="5"/>
      <c r="H1944" s="7"/>
    </row>
    <row r="1945" spans="1:8">
      <c r="A1945" s="17"/>
      <c r="B1945" s="5"/>
      <c r="H1945" s="7"/>
    </row>
    <row r="1946" spans="1:8">
      <c r="A1946" s="17"/>
      <c r="B1946" s="5"/>
      <c r="H1946" s="7"/>
    </row>
    <row r="1947" spans="1:8">
      <c r="A1947" s="17"/>
      <c r="B1947" s="5"/>
      <c r="H1947" s="7"/>
    </row>
    <row r="1948" spans="1:8">
      <c r="A1948" s="17"/>
      <c r="B1948" s="5"/>
      <c r="H1948" s="7"/>
    </row>
    <row r="1949" spans="1:8">
      <c r="A1949" s="17"/>
      <c r="B1949" s="5"/>
      <c r="H1949" s="7"/>
    </row>
    <row r="1950" spans="1:8">
      <c r="A1950" s="17"/>
      <c r="B1950" s="5"/>
      <c r="H1950" s="7"/>
    </row>
    <row r="1951" spans="1:8">
      <c r="A1951" s="17"/>
      <c r="B1951" s="5"/>
      <c r="H1951" s="7"/>
    </row>
    <row r="1952" spans="1:8">
      <c r="A1952" s="17"/>
      <c r="B1952" s="5"/>
      <c r="H1952" s="7"/>
    </row>
    <row r="1953" spans="1:8">
      <c r="A1953" s="17"/>
      <c r="B1953" s="5"/>
      <c r="H1953" s="7"/>
    </row>
    <row r="1954" spans="1:8">
      <c r="A1954" s="17"/>
      <c r="B1954" s="5"/>
      <c r="H1954" s="7"/>
    </row>
    <row r="1955" spans="1:8">
      <c r="A1955" s="17"/>
      <c r="B1955" s="5"/>
      <c r="H1955" s="7"/>
    </row>
    <row r="1956" spans="1:8">
      <c r="A1956" s="17"/>
      <c r="B1956" s="5"/>
      <c r="H1956" s="7"/>
    </row>
    <row r="1957" spans="1:8">
      <c r="A1957" s="17"/>
      <c r="B1957" s="5"/>
      <c r="H1957" s="7"/>
    </row>
    <row r="1958" spans="1:8">
      <c r="A1958" s="17"/>
      <c r="B1958" s="5"/>
      <c r="H1958" s="7"/>
    </row>
    <row r="1959" spans="1:8">
      <c r="A1959" s="17"/>
      <c r="B1959" s="5"/>
      <c r="H1959" s="7"/>
    </row>
    <row r="1960" spans="1:8">
      <c r="A1960" s="17"/>
      <c r="B1960" s="5"/>
      <c r="H1960" s="7"/>
    </row>
    <row r="1961" spans="1:8">
      <c r="A1961" s="17"/>
      <c r="B1961" s="5"/>
      <c r="H1961" s="7"/>
    </row>
    <row r="1962" spans="1:8">
      <c r="A1962" s="17"/>
      <c r="B1962" s="5"/>
      <c r="H1962" s="7"/>
    </row>
    <row r="1963" spans="1:8">
      <c r="A1963" s="17"/>
      <c r="B1963" s="5"/>
      <c r="H1963" s="7"/>
    </row>
    <row r="1964" spans="1:8">
      <c r="A1964" s="17"/>
      <c r="B1964" s="5"/>
      <c r="H1964" s="7"/>
    </row>
    <row r="1965" spans="1:8">
      <c r="A1965" s="17"/>
      <c r="B1965" s="5"/>
      <c r="H1965" s="7"/>
    </row>
    <row r="1966" spans="1:8">
      <c r="A1966" s="17"/>
      <c r="B1966" s="5"/>
      <c r="H1966" s="7"/>
    </row>
    <row r="1967" spans="1:8">
      <c r="A1967" s="17"/>
      <c r="B1967" s="5"/>
      <c r="H1967" s="7"/>
    </row>
    <row r="1968" spans="1:8">
      <c r="A1968" s="17"/>
      <c r="B1968" s="5"/>
      <c r="H1968" s="7"/>
    </row>
    <row r="1969" spans="1:8">
      <c r="A1969" s="17"/>
      <c r="B1969" s="5"/>
      <c r="H1969" s="7"/>
    </row>
    <row r="1970" spans="1:8">
      <c r="A1970" s="17"/>
      <c r="B1970" s="5"/>
      <c r="H1970" s="7"/>
    </row>
    <row r="1971" spans="1:8">
      <c r="A1971" s="17"/>
      <c r="B1971" s="5"/>
      <c r="H1971" s="7"/>
    </row>
    <row r="1972" spans="1:8">
      <c r="A1972" s="17"/>
      <c r="B1972" s="5"/>
      <c r="H1972" s="7"/>
    </row>
    <row r="1973" spans="1:8">
      <c r="A1973" s="17"/>
      <c r="B1973" s="5"/>
      <c r="H1973" s="7"/>
    </row>
    <row r="1974" spans="1:8">
      <c r="A1974" s="17"/>
      <c r="B1974" s="5"/>
      <c r="H1974" s="7"/>
    </row>
    <row r="1975" spans="1:8">
      <c r="A1975" s="17"/>
      <c r="B1975" s="5"/>
      <c r="H1975" s="7"/>
    </row>
    <row r="1976" spans="1:8">
      <c r="A1976" s="17"/>
      <c r="B1976" s="5"/>
      <c r="H1976" s="7"/>
    </row>
    <row r="1977" spans="1:8">
      <c r="A1977" s="17"/>
      <c r="B1977" s="5"/>
      <c r="H1977" s="7"/>
    </row>
    <row r="1978" spans="1:8">
      <c r="A1978" s="17"/>
      <c r="B1978" s="5"/>
      <c r="H1978" s="7"/>
    </row>
    <row r="1979" spans="1:8">
      <c r="A1979" s="17"/>
      <c r="B1979" s="5"/>
      <c r="H1979" s="7"/>
    </row>
    <row r="1980" spans="1:8">
      <c r="A1980" s="17"/>
      <c r="B1980" s="5"/>
      <c r="H1980" s="7"/>
    </row>
    <row r="1981" spans="1:8">
      <c r="A1981" s="17"/>
      <c r="B1981" s="5"/>
      <c r="H1981" s="7"/>
    </row>
    <row r="1982" spans="1:8">
      <c r="A1982" s="17"/>
      <c r="B1982" s="5"/>
      <c r="H1982" s="7"/>
    </row>
    <row r="1983" spans="1:8">
      <c r="A1983" s="17"/>
      <c r="B1983" s="5"/>
      <c r="H1983" s="7"/>
    </row>
    <row r="1984" spans="1:8">
      <c r="A1984" s="17"/>
      <c r="B1984" s="5"/>
      <c r="H1984" s="7"/>
    </row>
    <row r="1985" spans="1:8">
      <c r="A1985" s="17"/>
      <c r="B1985" s="5"/>
      <c r="H1985" s="7"/>
    </row>
    <row r="1986" spans="1:8">
      <c r="A1986" s="17"/>
      <c r="B1986" s="5"/>
      <c r="H1986" s="7"/>
    </row>
  </sheetData>
  <sortState xmlns:xlrd2="http://schemas.microsoft.com/office/spreadsheetml/2017/richdata2" ref="A2:F1986">
    <sortCondition descending="1" ref="F1:F1986"/>
  </sortState>
  <conditionalFormatting sqref="B1:B1986">
    <cfRule type="colorScale" priority="1">
      <colorScale>
        <cfvo type="percentile" val="25"/>
        <cfvo type="percentile" val="50"/>
        <cfvo type="percentile" val="75"/>
        <color rgb="FF57BB8A"/>
        <color rgb="FFFFD666"/>
        <color rgb="FFE67C73"/>
      </colorScale>
    </cfRule>
  </conditionalFormatting>
  <hyperlinks>
    <hyperlink ref="A9" r:id="rId1" xr:uid="{00000000-0004-0000-0000-000000000000}"/>
    <hyperlink ref="A10" r:id="rId2" xr:uid="{00000000-0004-0000-0000-000001000000}"/>
    <hyperlink ref="A11" r:id="rId3" xr:uid="{00000000-0004-0000-0000-000002000000}"/>
    <hyperlink ref="A31" r:id="rId4" xr:uid="{00000000-0004-0000-0000-000003000000}"/>
    <hyperlink ref="A58" r:id="rId5" xr:uid="{00000000-0004-0000-0000-000004000000}"/>
    <hyperlink ref="A59" r:id="rId6" xr:uid="{00000000-0004-0000-0000-000005000000}"/>
    <hyperlink ref="A60" r:id="rId7" xr:uid="{00000000-0004-0000-0000-000006000000}"/>
    <hyperlink ref="A61" r:id="rId8" xr:uid="{00000000-0004-0000-0000-000007000000}"/>
    <hyperlink ref="A62" r:id="rId9" xr:uid="{00000000-0004-0000-0000-000008000000}"/>
    <hyperlink ref="A128" r:id="rId10" xr:uid="{00000000-0004-0000-0000-000009000000}"/>
    <hyperlink ref="A63" r:id="rId11" xr:uid="{00000000-0004-0000-0000-00000A000000}"/>
    <hyperlink ref="A131" r:id="rId12" xr:uid="{00000000-0004-0000-0000-00000B000000}"/>
    <hyperlink ref="A64" r:id="rId13" xr:uid="{00000000-0004-0000-0000-00000C000000}"/>
    <hyperlink ref="A32" r:id="rId14" xr:uid="{00000000-0004-0000-0000-00000D000000}"/>
    <hyperlink ref="A132" r:id="rId15" xr:uid="{00000000-0004-0000-0000-00000E000000}"/>
    <hyperlink ref="A33" r:id="rId16" xr:uid="{00000000-0004-0000-0000-00000F000000}"/>
    <hyperlink ref="A67" r:id="rId17" xr:uid="{00000000-0004-0000-0000-000010000000}"/>
    <hyperlink ref="A68" r:id="rId18" xr:uid="{00000000-0004-0000-0000-000011000000}"/>
    <hyperlink ref="A17" r:id="rId19" xr:uid="{00000000-0004-0000-0000-000012000000}"/>
    <hyperlink ref="A205" r:id="rId20" xr:uid="{00000000-0004-0000-0000-000013000000}"/>
    <hyperlink ref="A69" r:id="rId21" xr:uid="{00000000-0004-0000-0000-000014000000}"/>
    <hyperlink ref="A206" r:id="rId22" xr:uid="{00000000-0004-0000-0000-000015000000}"/>
    <hyperlink ref="A71" r:id="rId23" xr:uid="{00000000-0004-0000-0000-000016000000}"/>
    <hyperlink ref="A73" r:id="rId24" xr:uid="{00000000-0004-0000-0000-000017000000}"/>
    <hyperlink ref="A207" r:id="rId25" xr:uid="{00000000-0004-0000-0000-000018000000}"/>
    <hyperlink ref="A134" r:id="rId26" xr:uid="{00000000-0004-0000-0000-000019000000}"/>
    <hyperlink ref="A35" r:id="rId27" xr:uid="{00000000-0004-0000-0000-00001A000000}"/>
    <hyperlink ref="A18" r:id="rId28" xr:uid="{00000000-0004-0000-0000-00001B000000}"/>
    <hyperlink ref="A209" r:id="rId29" xr:uid="{00000000-0004-0000-0000-00001C000000}"/>
    <hyperlink ref="A136" r:id="rId30" xr:uid="{00000000-0004-0000-0000-00001D000000}"/>
    <hyperlink ref="A137" r:id="rId31" xr:uid="{00000000-0004-0000-0000-00001E000000}"/>
    <hyperlink ref="A210" r:id="rId32" xr:uid="{00000000-0004-0000-0000-00001F000000}"/>
    <hyperlink ref="A36" r:id="rId33" xr:uid="{00000000-0004-0000-0000-000020000000}"/>
    <hyperlink ref="A138" r:id="rId34" xr:uid="{00000000-0004-0000-0000-000021000000}"/>
    <hyperlink ref="A37" r:id="rId35" xr:uid="{00000000-0004-0000-0000-000022000000}"/>
    <hyperlink ref="A38" r:id="rId36" xr:uid="{00000000-0004-0000-0000-000023000000}"/>
    <hyperlink ref="A139" r:id="rId37" xr:uid="{00000000-0004-0000-0000-000024000000}"/>
    <hyperlink ref="A213" r:id="rId38" xr:uid="{00000000-0004-0000-0000-000025000000}"/>
    <hyperlink ref="A140" r:id="rId39" xr:uid="{00000000-0004-0000-0000-000026000000}"/>
    <hyperlink ref="A39" r:id="rId40" xr:uid="{00000000-0004-0000-0000-000027000000}"/>
    <hyperlink ref="A214" r:id="rId41" xr:uid="{00000000-0004-0000-0000-000028000000}"/>
    <hyperlink ref="A215" r:id="rId42" xr:uid="{00000000-0004-0000-0000-000029000000}"/>
    <hyperlink ref="A435" r:id="rId43" xr:uid="{00000000-0004-0000-0000-00002A000000}"/>
    <hyperlink ref="A76" r:id="rId44" xr:uid="{00000000-0004-0000-0000-00002B000000}"/>
    <hyperlink ref="A40" r:id="rId45" xr:uid="{00000000-0004-0000-0000-00002C000000}"/>
    <hyperlink ref="A141" r:id="rId46" xr:uid="{00000000-0004-0000-0000-00002D000000}"/>
    <hyperlink ref="A41" r:id="rId47" xr:uid="{00000000-0004-0000-0000-00002E000000}"/>
    <hyperlink ref="A142" r:id="rId48" xr:uid="{00000000-0004-0000-0000-00002F000000}"/>
    <hyperlink ref="A217" r:id="rId49" xr:uid="{00000000-0004-0000-0000-000030000000}"/>
    <hyperlink ref="A436" r:id="rId50" xr:uid="{00000000-0004-0000-0000-000031000000}"/>
    <hyperlink ref="A22" r:id="rId51" xr:uid="{00000000-0004-0000-0000-000032000000}"/>
    <hyperlink ref="A143" r:id="rId52" xr:uid="{00000000-0004-0000-0000-000033000000}"/>
    <hyperlink ref="A42" r:id="rId53" xr:uid="{00000000-0004-0000-0000-000034000000}"/>
    <hyperlink ref="A79" r:id="rId54" xr:uid="{00000000-0004-0000-0000-000035000000}"/>
    <hyperlink ref="A220" r:id="rId55" xr:uid="{00000000-0004-0000-0000-000036000000}"/>
    <hyperlink ref="A221" r:id="rId56" xr:uid="{00000000-0004-0000-0000-000037000000}"/>
    <hyperlink ref="A222" r:id="rId57" xr:uid="{00000000-0004-0000-0000-000038000000}"/>
    <hyperlink ref="A144" r:id="rId58" xr:uid="{00000000-0004-0000-0000-000039000000}"/>
    <hyperlink ref="A223" r:id="rId59" xr:uid="{00000000-0004-0000-0000-00003A000000}"/>
    <hyperlink ref="A224" r:id="rId60" xr:uid="{00000000-0004-0000-0000-00003B000000}"/>
    <hyperlink ref="A81" r:id="rId61" xr:uid="{00000000-0004-0000-0000-00003C000000}"/>
    <hyperlink ref="A145" r:id="rId62" xr:uid="{00000000-0004-0000-0000-00003D000000}"/>
    <hyperlink ref="A43" r:id="rId63" xr:uid="{00000000-0004-0000-0000-00003E000000}"/>
    <hyperlink ref="A225" r:id="rId64" xr:uid="{00000000-0004-0000-0000-00003F000000}"/>
    <hyperlink ref="A226" r:id="rId65" xr:uid="{00000000-0004-0000-0000-000040000000}"/>
    <hyperlink ref="A83" r:id="rId66" xr:uid="{00000000-0004-0000-0000-000041000000}"/>
    <hyperlink ref="A438" r:id="rId67" xr:uid="{00000000-0004-0000-0000-000042000000}"/>
    <hyperlink ref="A147" r:id="rId68" xr:uid="{00000000-0004-0000-0000-000043000000}"/>
    <hyperlink ref="A227" r:id="rId69" xr:uid="{00000000-0004-0000-0000-000044000000}"/>
    <hyperlink ref="A84" r:id="rId70" xr:uid="{00000000-0004-0000-0000-000045000000}"/>
    <hyperlink ref="A148" r:id="rId71" xr:uid="{00000000-0004-0000-0000-000046000000}"/>
    <hyperlink ref="A228" r:id="rId72" xr:uid="{00000000-0004-0000-0000-000047000000}"/>
    <hyperlink ref="A312" r:id="rId73" xr:uid="{00000000-0004-0000-0000-000048000000}"/>
    <hyperlink ref="A230" r:id="rId74" xr:uid="{00000000-0004-0000-0000-000049000000}"/>
    <hyperlink ref="A314" r:id="rId75" xr:uid="{00000000-0004-0000-0000-00004A000000}"/>
    <hyperlink ref="A88" r:id="rId76" xr:uid="{00000000-0004-0000-0000-00004B000000}"/>
    <hyperlink ref="A155" r:id="rId77" xr:uid="{00000000-0004-0000-0000-00004C000000}"/>
    <hyperlink ref="A156" r:id="rId78" xr:uid="{00000000-0004-0000-0000-00004D000000}"/>
    <hyperlink ref="A315" r:id="rId79" xr:uid="{00000000-0004-0000-0000-00004E000000}"/>
    <hyperlink ref="A316" r:id="rId80" xr:uid="{00000000-0004-0000-0000-00004F000000}"/>
    <hyperlink ref="A44" r:id="rId81" xr:uid="{00000000-0004-0000-0000-000050000000}"/>
    <hyperlink ref="A317" r:id="rId82" xr:uid="{00000000-0004-0000-0000-000051000000}"/>
    <hyperlink ref="A45" r:id="rId83" xr:uid="{00000000-0004-0000-0000-000052000000}"/>
    <hyperlink ref="A233" r:id="rId84" xr:uid="{00000000-0004-0000-0000-000053000000}"/>
    <hyperlink ref="A234" r:id="rId85" xr:uid="{00000000-0004-0000-0000-000054000000}"/>
    <hyperlink ref="A46" r:id="rId86" xr:uid="{00000000-0004-0000-0000-000055000000}"/>
    <hyperlink ref="A90" r:id="rId87" xr:uid="{00000000-0004-0000-0000-000056000000}"/>
    <hyperlink ref="A158" r:id="rId88" xr:uid="{00000000-0004-0000-0000-000057000000}"/>
    <hyperlink ref="A235" r:id="rId89" xr:uid="{00000000-0004-0000-0000-000058000000}"/>
    <hyperlink ref="A318" r:id="rId90" xr:uid="{00000000-0004-0000-0000-000059000000}"/>
    <hyperlink ref="A236" r:id="rId91" xr:uid="{00000000-0004-0000-0000-00005A000000}"/>
    <hyperlink ref="A440" r:id="rId92" xr:uid="{00000000-0004-0000-0000-00005B000000}"/>
    <hyperlink ref="A237" r:id="rId93" xr:uid="{00000000-0004-0000-0000-00005C000000}"/>
    <hyperlink ref="A91" r:id="rId94" xr:uid="{00000000-0004-0000-0000-00005D000000}"/>
    <hyperlink ref="A319" r:id="rId95" xr:uid="{00000000-0004-0000-0000-00005E000000}"/>
    <hyperlink ref="A159" r:id="rId96" xr:uid="{00000000-0004-0000-0000-00005F000000}"/>
    <hyperlink ref="A49" r:id="rId97" xr:uid="{00000000-0004-0000-0000-000060000000}"/>
    <hyperlink ref="A239" r:id="rId98" xr:uid="{00000000-0004-0000-0000-000061000000}"/>
    <hyperlink ref="A95" r:id="rId99" xr:uid="{00000000-0004-0000-0000-000062000000}"/>
    <hyperlink ref="A442" r:id="rId100" xr:uid="{00000000-0004-0000-0000-000063000000}"/>
    <hyperlink ref="A320" r:id="rId101" xr:uid="{00000000-0004-0000-0000-000064000000}"/>
    <hyperlink ref="A443" r:id="rId102" xr:uid="{00000000-0004-0000-0000-000065000000}"/>
    <hyperlink ref="A322" r:id="rId103" xr:uid="{00000000-0004-0000-0000-000066000000}"/>
    <hyperlink ref="A98" r:id="rId104" xr:uid="{00000000-0004-0000-0000-000067000000}"/>
    <hyperlink ref="A163" r:id="rId105" xr:uid="{00000000-0004-0000-0000-000068000000}"/>
    <hyperlink ref="A99" r:id="rId106" xr:uid="{00000000-0004-0000-0000-000069000000}"/>
    <hyperlink ref="A325" r:id="rId107" xr:uid="{00000000-0004-0000-0000-00006A000000}"/>
    <hyperlink ref="A101" r:id="rId108" xr:uid="{00000000-0004-0000-0000-00006B000000}"/>
    <hyperlink ref="A242" r:id="rId109" xr:uid="{00000000-0004-0000-0000-00006C000000}"/>
    <hyperlink ref="A102" r:id="rId110" xr:uid="{00000000-0004-0000-0000-00006D000000}"/>
    <hyperlink ref="A445" r:id="rId111" xr:uid="{00000000-0004-0000-0000-00006E000000}"/>
    <hyperlink ref="A243" r:id="rId112" xr:uid="{00000000-0004-0000-0000-00006F000000}"/>
    <hyperlink ref="A327" r:id="rId113" xr:uid="{00000000-0004-0000-0000-000070000000}"/>
    <hyperlink ref="A446" r:id="rId114" xr:uid="{00000000-0004-0000-0000-000071000000}"/>
    <hyperlink ref="A103" r:id="rId115" xr:uid="{00000000-0004-0000-0000-000072000000}"/>
    <hyperlink ref="A328" r:id="rId116" xr:uid="{00000000-0004-0000-0000-000073000000}"/>
    <hyperlink ref="A447" r:id="rId117" xr:uid="{00000000-0004-0000-0000-000074000000}"/>
    <hyperlink ref="A329" r:id="rId118" xr:uid="{00000000-0004-0000-0000-000075000000}"/>
    <hyperlink ref="A600" r:id="rId119" xr:uid="{00000000-0004-0000-0000-000076000000}"/>
    <hyperlink ref="A448" r:id="rId120" xr:uid="{00000000-0004-0000-0000-000077000000}"/>
    <hyperlink ref="A450" r:id="rId121" xr:uid="{00000000-0004-0000-0000-000078000000}"/>
    <hyperlink ref="A165" r:id="rId122" xr:uid="{00000000-0004-0000-0000-000079000000}"/>
    <hyperlink ref="A51" r:id="rId123" xr:uid="{00000000-0004-0000-0000-00007A000000}"/>
    <hyperlink ref="A104" r:id="rId124" xr:uid="{00000000-0004-0000-0000-00007B000000}"/>
    <hyperlink ref="A105" r:id="rId125" xr:uid="{00000000-0004-0000-0000-00007C000000}"/>
    <hyperlink ref="A106" r:id="rId126" xr:uid="{00000000-0004-0000-0000-00007D000000}"/>
    <hyperlink ref="A331" r:id="rId127" xr:uid="{00000000-0004-0000-0000-00007E000000}"/>
    <hyperlink ref="A601" r:id="rId128" xr:uid="{00000000-0004-0000-0000-00007F000000}"/>
    <hyperlink ref="A332" r:id="rId129" xr:uid="{00000000-0004-0000-0000-000080000000}"/>
    <hyperlink ref="A452" r:id="rId130" xr:uid="{00000000-0004-0000-0000-000081000000}"/>
    <hyperlink ref="A166" r:id="rId131" xr:uid="{00000000-0004-0000-0000-000082000000}"/>
    <hyperlink ref="A453" r:id="rId132" xr:uid="{00000000-0004-0000-0000-000083000000}"/>
    <hyperlink ref="A246" r:id="rId133" xr:uid="{00000000-0004-0000-0000-000084000000}"/>
    <hyperlink ref="A247" r:id="rId134" xr:uid="{00000000-0004-0000-0000-000085000000}"/>
    <hyperlink ref="A167" r:id="rId135" xr:uid="{00000000-0004-0000-0000-000086000000}"/>
    <hyperlink ref="A334" r:id="rId136" xr:uid="{00000000-0004-0000-0000-000087000000}"/>
    <hyperlink ref="A335" r:id="rId137" xr:uid="{00000000-0004-0000-0000-000088000000}"/>
    <hyperlink ref="A248" r:id="rId138" xr:uid="{00000000-0004-0000-0000-000089000000}"/>
    <hyperlink ref="A337" r:id="rId139" xr:uid="{00000000-0004-0000-0000-00008A000000}"/>
    <hyperlink ref="A338" r:id="rId140" xr:uid="{00000000-0004-0000-0000-00008B000000}"/>
    <hyperlink ref="A250" r:id="rId141" xr:uid="{00000000-0004-0000-0000-00008C000000}"/>
    <hyperlink ref="A457" r:id="rId142" xr:uid="{00000000-0004-0000-0000-00008D000000}"/>
    <hyperlink ref="A252" r:id="rId143" xr:uid="{00000000-0004-0000-0000-00008E000000}"/>
    <hyperlink ref="A341" r:id="rId144" xr:uid="{00000000-0004-0000-0000-00008F000000}"/>
    <hyperlink ref="A253" r:id="rId145" xr:uid="{00000000-0004-0000-0000-000090000000}"/>
    <hyperlink ref="A344" r:id="rId146" xr:uid="{00000000-0004-0000-0000-000091000000}"/>
    <hyperlink ref="A605" r:id="rId147" xr:uid="{00000000-0004-0000-0000-000092000000}"/>
    <hyperlink ref="A345" r:id="rId148" xr:uid="{00000000-0004-0000-0000-000093000000}"/>
    <hyperlink ref="A346" r:id="rId149" xr:uid="{00000000-0004-0000-0000-000094000000}"/>
    <hyperlink ref="A347" r:id="rId150" xr:uid="{00000000-0004-0000-0000-000095000000}"/>
    <hyperlink ref="A348" r:id="rId151" xr:uid="{00000000-0004-0000-0000-000096000000}"/>
    <hyperlink ref="A254" r:id="rId152" xr:uid="{00000000-0004-0000-0000-000097000000}"/>
    <hyperlink ref="A108" r:id="rId153" xr:uid="{00000000-0004-0000-0000-000098000000}"/>
    <hyperlink ref="A255" r:id="rId154" xr:uid="{00000000-0004-0000-0000-000099000000}"/>
    <hyperlink ref="A461" r:id="rId155" xr:uid="{00000000-0004-0000-0000-00009A000000}"/>
    <hyperlink ref="A256" r:id="rId156" xr:uid="{00000000-0004-0000-0000-00009B000000}"/>
    <hyperlink ref="A462" r:id="rId157" xr:uid="{00000000-0004-0000-0000-00009C000000}"/>
    <hyperlink ref="A732" r:id="rId158" xr:uid="{00000000-0004-0000-0000-00009D000000}"/>
    <hyperlink ref="A257" r:id="rId159" xr:uid="{00000000-0004-0000-0000-00009E000000}"/>
    <hyperlink ref="A109" r:id="rId160" xr:uid="{00000000-0004-0000-0000-00009F000000}"/>
    <hyperlink ref="A608" r:id="rId161" xr:uid="{00000000-0004-0000-0000-0000A0000000}"/>
    <hyperlink ref="A29" r:id="rId162" xr:uid="{00000000-0004-0000-0000-0000A1000000}"/>
    <hyperlink ref="A174" r:id="rId163" xr:uid="{00000000-0004-0000-0000-0000A2000000}"/>
    <hyperlink ref="A463" r:id="rId164" xr:uid="{00000000-0004-0000-0000-0000A3000000}"/>
    <hyperlink ref="A175" r:id="rId165" xr:uid="{00000000-0004-0000-0000-0000A4000000}"/>
    <hyperlink ref="A260" r:id="rId166" xr:uid="{00000000-0004-0000-0000-0000A5000000}"/>
    <hyperlink ref="A52" r:id="rId167" xr:uid="{00000000-0004-0000-0000-0000A6000000}"/>
    <hyperlink ref="A356" r:id="rId168" xr:uid="{00000000-0004-0000-0000-0000A7000000}"/>
    <hyperlink ref="A111" r:id="rId169" xr:uid="{00000000-0004-0000-0000-0000A8000000}"/>
    <hyperlink ref="A357" r:id="rId170" xr:uid="{00000000-0004-0000-0000-0000A9000000}"/>
    <hyperlink ref="A610" r:id="rId171" xr:uid="{00000000-0004-0000-0000-0000AA000000}"/>
    <hyperlink ref="A176" r:id="rId172" xr:uid="{00000000-0004-0000-0000-0000AB000000}"/>
    <hyperlink ref="A262" r:id="rId173" xr:uid="{00000000-0004-0000-0000-0000AC000000}"/>
    <hyperlink ref="A611" r:id="rId174" xr:uid="{00000000-0004-0000-0000-0000AD000000}"/>
    <hyperlink ref="A113" r:id="rId175" xr:uid="{00000000-0004-0000-0000-0000AE000000}"/>
    <hyperlink ref="A465" r:id="rId176" xr:uid="{00000000-0004-0000-0000-0000AF000000}"/>
    <hyperlink ref="A30" r:id="rId177" xr:uid="{00000000-0004-0000-0000-0000B0000000}"/>
    <hyperlink ref="A360" r:id="rId178" xr:uid="{00000000-0004-0000-0000-0000B1000000}"/>
    <hyperlink ref="A362" r:id="rId179" xr:uid="{00000000-0004-0000-0000-0000B2000000}"/>
    <hyperlink ref="A114" r:id="rId180" xr:uid="{00000000-0004-0000-0000-0000B3000000}"/>
    <hyperlink ref="A469" r:id="rId181" xr:uid="{00000000-0004-0000-0000-0000B4000000}"/>
    <hyperlink ref="A364" r:id="rId182" xr:uid="{00000000-0004-0000-0000-0000B5000000}"/>
    <hyperlink ref="A472" r:id="rId183" xr:uid="{00000000-0004-0000-0000-0000B6000000}"/>
    <hyperlink ref="A473" r:id="rId184" xr:uid="{00000000-0004-0000-0000-0000B7000000}"/>
    <hyperlink ref="A53" r:id="rId185" xr:uid="{00000000-0004-0000-0000-0000B8000000}"/>
    <hyperlink ref="A264" r:id="rId186" xr:uid="{00000000-0004-0000-0000-0000B9000000}"/>
    <hyperlink ref="A178" r:id="rId187" xr:uid="{00000000-0004-0000-0000-0000BA000000}"/>
    <hyperlink ref="A365" r:id="rId188" xr:uid="{00000000-0004-0000-0000-0000BB000000}"/>
    <hyperlink ref="A115" r:id="rId189" xr:uid="{00000000-0004-0000-0000-0000BC000000}"/>
    <hyperlink ref="A265" r:id="rId190" xr:uid="{00000000-0004-0000-0000-0000BD000000}"/>
    <hyperlink ref="A366" r:id="rId191" xr:uid="{00000000-0004-0000-0000-0000BE000000}"/>
    <hyperlink ref="A54" r:id="rId192" xr:uid="{00000000-0004-0000-0000-0000BF000000}"/>
    <hyperlink ref="A475" r:id="rId193" xr:uid="{00000000-0004-0000-0000-0000C0000000}"/>
    <hyperlink ref="A181" r:id="rId194" xr:uid="{00000000-0004-0000-0000-0000C1000000}"/>
    <hyperlink ref="A266" r:id="rId195" xr:uid="{00000000-0004-0000-0000-0000C2000000}"/>
    <hyperlink ref="A55" r:id="rId196" xr:uid="{00000000-0004-0000-0000-0000C3000000}"/>
    <hyperlink ref="A478" r:id="rId197" xr:uid="{00000000-0004-0000-0000-0000C4000000}"/>
    <hyperlink ref="A117" r:id="rId198" xr:uid="{00000000-0004-0000-0000-0000C5000000}"/>
    <hyperlink ref="A480" r:id="rId199" xr:uid="{00000000-0004-0000-0000-0000C6000000}"/>
    <hyperlink ref="A184" r:id="rId200" xr:uid="{00000000-0004-0000-0000-0000C7000000}"/>
    <hyperlink ref="A481" r:id="rId201" xr:uid="{00000000-0004-0000-0000-0000C8000000}"/>
    <hyperlink ref="A267" r:id="rId202" xr:uid="{00000000-0004-0000-0000-0000C9000000}"/>
    <hyperlink ref="A482" r:id="rId203" xr:uid="{00000000-0004-0000-0000-0000CA000000}"/>
    <hyperlink ref="A268" r:id="rId204" xr:uid="{00000000-0004-0000-0000-0000CB000000}"/>
    <hyperlink ref="A483" r:id="rId205" xr:uid="{00000000-0004-0000-0000-0000CC000000}"/>
    <hyperlink ref="A735" r:id="rId206" xr:uid="{00000000-0004-0000-0000-0000CD000000}"/>
    <hyperlink ref="A367" r:id="rId207" xr:uid="{00000000-0004-0000-0000-0000CE000000}"/>
    <hyperlink ref="A118" r:id="rId208" xr:uid="{00000000-0004-0000-0000-0000CF000000}"/>
    <hyperlink ref="A368" r:id="rId209" xr:uid="{00000000-0004-0000-0000-0000D0000000}"/>
    <hyperlink ref="A615" r:id="rId210" xr:uid="{00000000-0004-0000-0000-0000D1000000}"/>
    <hyperlink ref="A119" r:id="rId211" xr:uid="{00000000-0004-0000-0000-0000D2000000}"/>
    <hyperlink ref="A484" r:id="rId212" xr:uid="{00000000-0004-0000-0000-0000D3000000}"/>
    <hyperlink ref="A120" r:id="rId213" xr:uid="{00000000-0004-0000-0000-0000D4000000}"/>
    <hyperlink ref="A269" r:id="rId214" xr:uid="{00000000-0004-0000-0000-0000D5000000}"/>
    <hyperlink ref="A866" r:id="rId215" xr:uid="{00000000-0004-0000-0000-0000D6000000}"/>
    <hyperlink ref="A370" r:id="rId216" xr:uid="{00000000-0004-0000-0000-0000D7000000}"/>
    <hyperlink ref="A616" r:id="rId217" xr:uid="{00000000-0004-0000-0000-0000D8000000}"/>
    <hyperlink ref="A485" r:id="rId218" xr:uid="{00000000-0004-0000-0000-0000D9000000}"/>
    <hyperlink ref="A617" r:id="rId219" xr:uid="{00000000-0004-0000-0000-0000DA000000}"/>
    <hyperlink ref="A619" r:id="rId220" xr:uid="{00000000-0004-0000-0000-0000DB000000}"/>
    <hyperlink ref="A486" r:id="rId221" xr:uid="{00000000-0004-0000-0000-0000DC000000}"/>
    <hyperlink ref="A372" r:id="rId222" xr:uid="{00000000-0004-0000-0000-0000DD000000}"/>
    <hyperlink ref="A373" r:id="rId223" xr:uid="{00000000-0004-0000-0000-0000DE000000}"/>
    <hyperlink ref="A488" r:id="rId224" xr:uid="{00000000-0004-0000-0000-0000DF000000}"/>
    <hyperlink ref="A737" r:id="rId225" xr:uid="{00000000-0004-0000-0000-0000E0000000}"/>
    <hyperlink ref="A490" r:id="rId226" xr:uid="{00000000-0004-0000-0000-0000E1000000}"/>
    <hyperlink ref="A620" r:id="rId227" xr:uid="{00000000-0004-0000-0000-0000E2000000}"/>
    <hyperlink ref="A375" r:id="rId228" xr:uid="{00000000-0004-0000-0000-0000E3000000}"/>
    <hyperlink ref="A271" r:id="rId229" xr:uid="{00000000-0004-0000-0000-0000E4000000}"/>
    <hyperlink ref="A868" r:id="rId230" xr:uid="{00000000-0004-0000-0000-0000E5000000}"/>
    <hyperlink ref="A987" r:id="rId231" xr:uid="{00000000-0004-0000-0000-0000E6000000}"/>
    <hyperlink ref="A272" r:id="rId232" xr:uid="{00000000-0004-0000-0000-0000E7000000}"/>
    <hyperlink ref="A739" r:id="rId233" xr:uid="{00000000-0004-0000-0000-0000E8000000}"/>
    <hyperlink ref="A187" r:id="rId234" xr:uid="{00000000-0004-0000-0000-0000E9000000}"/>
    <hyperlink ref="A622" r:id="rId235" xr:uid="{00000000-0004-0000-0000-0000EA000000}"/>
    <hyperlink ref="A273" r:id="rId236" xr:uid="{00000000-0004-0000-0000-0000EB000000}"/>
    <hyperlink ref="A492" r:id="rId237" xr:uid="{00000000-0004-0000-0000-0000EC000000}"/>
    <hyperlink ref="A376" r:id="rId238" xr:uid="{00000000-0004-0000-0000-0000ED000000}"/>
    <hyperlink ref="A623" r:id="rId239" xr:uid="{00000000-0004-0000-0000-0000EE000000}"/>
    <hyperlink ref="A624" r:id="rId240" xr:uid="{00000000-0004-0000-0000-0000EF000000}"/>
    <hyperlink ref="A742" r:id="rId241" xr:uid="{00000000-0004-0000-0000-0000F0000000}"/>
    <hyperlink ref="A377" r:id="rId242" xr:uid="{00000000-0004-0000-0000-0000F1000000}"/>
    <hyperlink ref="A743" r:id="rId243" xr:uid="{00000000-0004-0000-0000-0000F2000000}"/>
    <hyperlink ref="A378" r:id="rId244" xr:uid="{00000000-0004-0000-0000-0000F3000000}"/>
    <hyperlink ref="A625" r:id="rId245" xr:uid="{00000000-0004-0000-0000-0000F4000000}"/>
    <hyperlink ref="A274" r:id="rId246" xr:uid="{00000000-0004-0000-0000-0000F5000000}"/>
    <hyperlink ref="A495" r:id="rId247" xr:uid="{00000000-0004-0000-0000-0000F6000000}"/>
    <hyperlink ref="A496" r:id="rId248" xr:uid="{00000000-0004-0000-0000-0000F7000000}"/>
    <hyperlink ref="A123" r:id="rId249" xr:uid="{00000000-0004-0000-0000-0000F8000000}"/>
    <hyperlink ref="A498" r:id="rId250" xr:uid="{00000000-0004-0000-0000-0000F9000000}"/>
    <hyperlink ref="A745" r:id="rId251" xr:uid="{00000000-0004-0000-0000-0000FA000000}"/>
    <hyperlink ref="A870" r:id="rId252" xr:uid="{00000000-0004-0000-0000-0000FB000000}"/>
    <hyperlink ref="A275" r:id="rId253" xr:uid="{00000000-0004-0000-0000-0000FC000000}"/>
    <hyperlink ref="A500" r:id="rId254" xr:uid="{00000000-0004-0000-0000-0000FD000000}"/>
    <hyperlink ref="A501" r:id="rId255" xr:uid="{00000000-0004-0000-0000-0000FE000000}"/>
    <hyperlink ref="A379" r:id="rId256" xr:uid="{00000000-0004-0000-0000-0000FF000000}"/>
    <hyperlink ref="A380" r:id="rId257" xr:uid="{00000000-0004-0000-0000-000000010000}"/>
    <hyperlink ref="A189" r:id="rId258" xr:uid="{00000000-0004-0000-0000-000001010000}"/>
    <hyperlink ref="A276" r:id="rId259" xr:uid="{00000000-0004-0000-0000-000002010000}"/>
    <hyperlink ref="A124" r:id="rId260" xr:uid="{00000000-0004-0000-0000-000003010000}"/>
    <hyperlink ref="A628" r:id="rId261" xr:uid="{00000000-0004-0000-0000-000004010000}"/>
    <hyperlink ref="A502" r:id="rId262" xr:uid="{00000000-0004-0000-0000-000005010000}"/>
    <hyperlink ref="A191" r:id="rId263" xr:uid="{00000000-0004-0000-0000-000006010000}"/>
    <hyperlink ref="A503" r:id="rId264" xr:uid="{00000000-0004-0000-0000-000007010000}"/>
    <hyperlink ref="A988" r:id="rId265" xr:uid="{00000000-0004-0000-0000-000008010000}"/>
    <hyperlink ref="A277" r:id="rId266" xr:uid="{00000000-0004-0000-0000-000009010000}"/>
    <hyperlink ref="A384" r:id="rId267" xr:uid="{00000000-0004-0000-0000-00000A010000}"/>
    <hyperlink ref="A748" r:id="rId268" xr:uid="{00000000-0004-0000-0000-00000B010000}"/>
    <hyperlink ref="A749" r:id="rId269" xr:uid="{00000000-0004-0000-0000-00000C010000}"/>
    <hyperlink ref="A278" r:id="rId270" xr:uid="{00000000-0004-0000-0000-00000D010000}"/>
    <hyperlink ref="A193" r:id="rId271" xr:uid="{00000000-0004-0000-0000-00000E010000}"/>
    <hyperlink ref="A386" r:id="rId272" xr:uid="{00000000-0004-0000-0000-00000F010000}"/>
    <hyperlink ref="A194" r:id="rId273" xr:uid="{00000000-0004-0000-0000-000010010000}"/>
    <hyperlink ref="A387" r:id="rId274" xr:uid="{00000000-0004-0000-0000-000011010000}"/>
    <hyperlink ref="A990" r:id="rId275" xr:uid="{00000000-0004-0000-0000-000012010000}"/>
    <hyperlink ref="A279" r:id="rId276" xr:uid="{00000000-0004-0000-0000-000013010000}"/>
    <hyperlink ref="A195" r:id="rId277" xr:uid="{00000000-0004-0000-0000-000014010000}"/>
    <hyperlink ref="A506" r:id="rId278" xr:uid="{00000000-0004-0000-0000-000015010000}"/>
    <hyperlink ref="A631" r:id="rId279" xr:uid="{00000000-0004-0000-0000-000016010000}"/>
    <hyperlink ref="A872" r:id="rId280" xr:uid="{00000000-0004-0000-0000-000017010000}"/>
    <hyperlink ref="A750" r:id="rId281" xr:uid="{00000000-0004-0000-0000-000018010000}"/>
    <hyperlink ref="A507" r:id="rId282" xr:uid="{00000000-0004-0000-0000-000019010000}"/>
    <hyperlink ref="A634" r:id="rId283" xr:uid="{00000000-0004-0000-0000-00001A010000}"/>
    <hyperlink ref="A508" r:id="rId284" xr:uid="{00000000-0004-0000-0000-00001B010000}"/>
    <hyperlink ref="A509" r:id="rId285" xr:uid="{00000000-0004-0000-0000-00001C010000}"/>
    <hyperlink ref="A635" r:id="rId286" xr:uid="{00000000-0004-0000-0000-00001D010000}"/>
    <hyperlink ref="A636" r:id="rId287" xr:uid="{00000000-0004-0000-0000-00001E010000}"/>
    <hyperlink ref="A510" r:id="rId288" xr:uid="{00000000-0004-0000-0000-00001F010000}"/>
    <hyperlink ref="A638" r:id="rId289" xr:uid="{00000000-0004-0000-0000-000020010000}"/>
    <hyperlink ref="A639" r:id="rId290" xr:uid="{00000000-0004-0000-0000-000021010000}"/>
    <hyperlink ref="A511" r:id="rId291" xr:uid="{00000000-0004-0000-0000-000022010000}"/>
    <hyperlink ref="A512" r:id="rId292" xr:uid="{00000000-0004-0000-0000-000023010000}"/>
    <hyperlink ref="A873" r:id="rId293" xr:uid="{00000000-0004-0000-0000-000024010000}"/>
    <hyperlink ref="A513" r:id="rId294" xr:uid="{00000000-0004-0000-0000-000025010000}"/>
    <hyperlink ref="A751" r:id="rId295" xr:uid="{00000000-0004-0000-0000-000026010000}"/>
    <hyperlink ref="A752" r:id="rId296" xr:uid="{00000000-0004-0000-0000-000027010000}"/>
    <hyperlink ref="A642" r:id="rId297" xr:uid="{00000000-0004-0000-0000-000028010000}"/>
    <hyperlink ref="A643" r:id="rId298" xr:uid="{00000000-0004-0000-0000-000029010000}"/>
    <hyperlink ref="A644" r:id="rId299" xr:uid="{00000000-0004-0000-0000-00002A010000}"/>
    <hyperlink ref="A874" r:id="rId300" xr:uid="{00000000-0004-0000-0000-00002B010000}"/>
    <hyperlink ref="A281" r:id="rId301" xr:uid="{00000000-0004-0000-0000-00002C010000}"/>
    <hyperlink ref="A875" r:id="rId302" xr:uid="{00000000-0004-0000-0000-00002D010000}"/>
    <hyperlink ref="A514" r:id="rId303" xr:uid="{00000000-0004-0000-0000-00002E010000}"/>
    <hyperlink ref="A391" r:id="rId304" xr:uid="{00000000-0004-0000-0000-00002F010000}"/>
    <hyperlink ref="A392" r:id="rId305" xr:uid="{00000000-0004-0000-0000-000030010000}"/>
    <hyperlink ref="A515" r:id="rId306" xr:uid="{00000000-0004-0000-0000-000031010000}"/>
    <hyperlink ref="A645" r:id="rId307" xr:uid="{00000000-0004-0000-0000-000032010000}"/>
    <hyperlink ref="A877" r:id="rId308" xr:uid="{00000000-0004-0000-0000-000033010000}"/>
    <hyperlink ref="A393" r:id="rId309" xr:uid="{00000000-0004-0000-0000-000034010000}"/>
    <hyperlink ref="A647" r:id="rId310" xr:uid="{00000000-0004-0000-0000-000035010000}"/>
    <hyperlink ref="A196" r:id="rId311" xr:uid="{00000000-0004-0000-0000-000036010000}"/>
    <hyperlink ref="A516" r:id="rId312" xr:uid="{00000000-0004-0000-0000-000037010000}"/>
    <hyperlink ref="A994" r:id="rId313" xr:uid="{00000000-0004-0000-0000-000038010000}"/>
    <hyperlink ref="A753" r:id="rId314" xr:uid="{00000000-0004-0000-0000-000039010000}"/>
    <hyperlink ref="A125" r:id="rId315" xr:uid="{00000000-0004-0000-0000-00003A010000}"/>
    <hyperlink ref="A396" r:id="rId316" xr:uid="{00000000-0004-0000-0000-00003B010000}"/>
    <hyperlink ref="A397" r:id="rId317" xr:uid="{00000000-0004-0000-0000-00003C010000}"/>
    <hyperlink ref="A884" r:id="rId318" xr:uid="{00000000-0004-0000-0000-00003D010000}"/>
    <hyperlink ref="A517" r:id="rId319" xr:uid="{00000000-0004-0000-0000-00003E010000}"/>
    <hyperlink ref="A518" r:id="rId320" xr:uid="{00000000-0004-0000-0000-00003F010000}"/>
    <hyperlink ref="A755" r:id="rId321" xr:uid="{00000000-0004-0000-0000-000040010000}"/>
    <hyperlink ref="A399" r:id="rId322" xr:uid="{00000000-0004-0000-0000-000041010000}"/>
    <hyperlink ref="A519" r:id="rId323" xr:uid="{00000000-0004-0000-0000-000042010000}"/>
    <hyperlink ref="A756" r:id="rId324" xr:uid="{00000000-0004-0000-0000-000043010000}"/>
    <hyperlink ref="A757" r:id="rId325" xr:uid="{00000000-0004-0000-0000-000044010000}"/>
    <hyperlink ref="A885" r:id="rId326" xr:uid="{00000000-0004-0000-0000-000045010000}"/>
    <hyperlink ref="A758" r:id="rId327" xr:uid="{00000000-0004-0000-0000-000046010000}"/>
    <hyperlink ref="A759" r:id="rId328" xr:uid="{00000000-0004-0000-0000-000047010000}"/>
    <hyperlink ref="A197" r:id="rId329" xr:uid="{00000000-0004-0000-0000-000048010000}"/>
    <hyperlink ref="A760" r:id="rId330" xr:uid="{00000000-0004-0000-0000-000049010000}"/>
    <hyperlink ref="A886" r:id="rId331" xr:uid="{00000000-0004-0000-0000-00004A010000}"/>
    <hyperlink ref="A648" r:id="rId332" xr:uid="{00000000-0004-0000-0000-00004B010000}"/>
    <hyperlink ref="A520" r:id="rId333" xr:uid="{00000000-0004-0000-0000-00004C010000}"/>
    <hyperlink ref="A761" r:id="rId334" xr:uid="{00000000-0004-0000-0000-00004D010000}"/>
    <hyperlink ref="A282" r:id="rId335" xr:uid="{00000000-0004-0000-0000-00004E010000}"/>
    <hyperlink ref="A762" r:id="rId336" xr:uid="{00000000-0004-0000-0000-00004F010000}"/>
    <hyperlink ref="A401" r:id="rId337" xr:uid="{00000000-0004-0000-0000-000050010000}"/>
    <hyperlink ref="A763" r:id="rId338" xr:uid="{00000000-0004-0000-0000-000051010000}"/>
    <hyperlink ref="A283" r:id="rId339" xr:uid="{00000000-0004-0000-0000-000052010000}"/>
    <hyperlink ref="A998" r:id="rId340" xr:uid="{00000000-0004-0000-0000-000053010000}"/>
    <hyperlink ref="A650" r:id="rId341" xr:uid="{00000000-0004-0000-0000-000054010000}"/>
    <hyperlink ref="A284" r:id="rId342" xr:uid="{00000000-0004-0000-0000-000055010000}"/>
    <hyperlink ref="A888" r:id="rId343" xr:uid="{00000000-0004-0000-0000-000056010000}"/>
    <hyperlink ref="A522" r:id="rId344" xr:uid="{00000000-0004-0000-0000-000057010000}"/>
    <hyperlink ref="A198" r:id="rId345" xr:uid="{00000000-0004-0000-0000-000058010000}"/>
    <hyperlink ref="A403" r:id="rId346" xr:uid="{00000000-0004-0000-0000-000059010000}"/>
    <hyperlink ref="A764" r:id="rId347" xr:uid="{00000000-0004-0000-0000-00005A010000}"/>
    <hyperlink ref="A404" r:id="rId348" xr:uid="{00000000-0004-0000-0000-00005B010000}"/>
    <hyperlink ref="A889" r:id="rId349" xr:uid="{00000000-0004-0000-0000-00005C010000}"/>
    <hyperlink ref="A767" r:id="rId350" xr:uid="{00000000-0004-0000-0000-00005D010000}"/>
    <hyperlink ref="A126" r:id="rId351" xr:uid="{00000000-0004-0000-0000-00005E010000}"/>
    <hyperlink ref="A524" r:id="rId352" xr:uid="{00000000-0004-0000-0000-00005F010000}"/>
    <hyperlink ref="A525" r:id="rId353" xr:uid="{00000000-0004-0000-0000-000060010000}"/>
    <hyperlink ref="A768" r:id="rId354" xr:uid="{00000000-0004-0000-0000-000061010000}"/>
    <hyperlink ref="A285" r:id="rId355" xr:uid="{00000000-0004-0000-0000-000062010000}"/>
    <hyperlink ref="A771" r:id="rId356" xr:uid="{00000000-0004-0000-0000-000063010000}"/>
    <hyperlink ref="A199" r:id="rId357" xr:uid="{00000000-0004-0000-0000-000064010000}"/>
    <hyperlink ref="A527" r:id="rId358" xr:uid="{00000000-0004-0000-0000-000065010000}"/>
    <hyperlink ref="A406" r:id="rId359" xr:uid="{00000000-0004-0000-0000-000066010000}"/>
    <hyperlink ref="A407" r:id="rId360" xr:uid="{00000000-0004-0000-0000-000067010000}"/>
    <hyperlink ref="A286" r:id="rId361" xr:uid="{00000000-0004-0000-0000-000068010000}"/>
    <hyperlink ref="A200" r:id="rId362" xr:uid="{00000000-0004-0000-0000-000069010000}"/>
    <hyperlink ref="A528" r:id="rId363" xr:uid="{00000000-0004-0000-0000-00006A010000}"/>
    <hyperlink ref="A529" r:id="rId364" xr:uid="{00000000-0004-0000-0000-00006B010000}"/>
    <hyperlink ref="A654" r:id="rId365" xr:uid="{00000000-0004-0000-0000-00006C010000}"/>
    <hyperlink ref="A530" r:id="rId366" xr:uid="{00000000-0004-0000-0000-00006D010000}"/>
    <hyperlink ref="A655" r:id="rId367" xr:uid="{00000000-0004-0000-0000-00006E010000}"/>
    <hyperlink ref="A287" r:id="rId368" xr:uid="{00000000-0004-0000-0000-00006F010000}"/>
    <hyperlink ref="A531" r:id="rId369" xr:uid="{00000000-0004-0000-0000-000070010000}"/>
    <hyperlink ref="A774" r:id="rId370" xr:uid="{00000000-0004-0000-0000-000071010000}"/>
    <hyperlink ref="A532" r:id="rId371" xr:uid="{00000000-0004-0000-0000-000072010000}"/>
    <hyperlink ref="A776" r:id="rId372" xr:uid="{00000000-0004-0000-0000-000073010000}"/>
    <hyperlink ref="A658" r:id="rId373" xr:uid="{00000000-0004-0000-0000-000074010000}"/>
    <hyperlink ref="A777" r:id="rId374" xr:uid="{00000000-0004-0000-0000-000075010000}"/>
    <hyperlink ref="A659" r:id="rId375" xr:uid="{00000000-0004-0000-0000-000076010000}"/>
    <hyperlink ref="A290" r:id="rId376" xr:uid="{00000000-0004-0000-0000-000077010000}"/>
    <hyperlink ref="A891" r:id="rId377" xr:uid="{00000000-0004-0000-0000-000078010000}"/>
    <hyperlink ref="A410" r:id="rId378" xr:uid="{00000000-0004-0000-0000-000079010000}"/>
    <hyperlink ref="A778" r:id="rId379" xr:uid="{00000000-0004-0000-0000-00007A010000}"/>
    <hyperlink ref="A533" r:id="rId380" xr:uid="{00000000-0004-0000-0000-00007B010000}"/>
    <hyperlink ref="A411" r:id="rId381" xr:uid="{00000000-0004-0000-0000-00007C010000}"/>
    <hyperlink ref="A534" r:id="rId382" xr:uid="{00000000-0004-0000-0000-00007D010000}"/>
    <hyperlink ref="A660" r:id="rId383" xr:uid="{00000000-0004-0000-0000-00007E010000}"/>
    <hyperlink ref="A412" r:id="rId384" xr:uid="{00000000-0004-0000-0000-00007F010000}"/>
    <hyperlink ref="A1001" r:id="rId385" xr:uid="{00000000-0004-0000-0000-000080010000}"/>
    <hyperlink ref="A781" r:id="rId386" xr:uid="{00000000-0004-0000-0000-000081010000}"/>
    <hyperlink ref="A201" r:id="rId387" xr:uid="{00000000-0004-0000-0000-000082010000}"/>
    <hyperlink ref="A413" r:id="rId388" xr:uid="{00000000-0004-0000-0000-000083010000}"/>
    <hyperlink ref="A1002" r:id="rId389" xr:uid="{00000000-0004-0000-0000-000084010000}"/>
    <hyperlink ref="A663" r:id="rId390" xr:uid="{00000000-0004-0000-0000-000085010000}"/>
    <hyperlink ref="A535" r:id="rId391" xr:uid="{00000000-0004-0000-0000-000086010000}"/>
    <hyperlink ref="A536" r:id="rId392" xr:uid="{00000000-0004-0000-0000-000087010000}"/>
    <hyperlink ref="A1003" r:id="rId393" xr:uid="{00000000-0004-0000-0000-000088010000}"/>
    <hyperlink ref="A292" r:id="rId394" xr:uid="{00000000-0004-0000-0000-000089010000}"/>
    <hyperlink ref="A664" r:id="rId395" xr:uid="{00000000-0004-0000-0000-00008A010000}"/>
    <hyperlink ref="A415" r:id="rId396" xr:uid="{00000000-0004-0000-0000-00008B010000}"/>
    <hyperlink ref="A293" r:id="rId397" xr:uid="{00000000-0004-0000-0000-00008C010000}"/>
    <hyperlink ref="A417" r:id="rId398" xr:uid="{00000000-0004-0000-0000-00008D010000}"/>
    <hyperlink ref="A540" r:id="rId399" xr:uid="{00000000-0004-0000-0000-00008E010000}"/>
    <hyperlink ref="A418" r:id="rId400" xr:uid="{00000000-0004-0000-0000-00008F010000}"/>
    <hyperlink ref="A541" r:id="rId401" xr:uid="{00000000-0004-0000-0000-000090010000}"/>
    <hyperlink ref="A665" r:id="rId402" xr:uid="{00000000-0004-0000-0000-000091010000}"/>
    <hyperlink ref="A783" r:id="rId403" xr:uid="{00000000-0004-0000-0000-000092010000}"/>
    <hyperlink ref="A419" r:id="rId404" xr:uid="{00000000-0004-0000-0000-000093010000}"/>
    <hyperlink ref="A1004" r:id="rId405" xr:uid="{00000000-0004-0000-0000-000094010000}"/>
    <hyperlink ref="A542" r:id="rId406" xr:uid="{00000000-0004-0000-0000-000095010000}"/>
    <hyperlink ref="A420" r:id="rId407" xr:uid="{00000000-0004-0000-0000-000096010000}"/>
    <hyperlink ref="A294" r:id="rId408" xr:uid="{00000000-0004-0000-0000-000097010000}"/>
    <hyperlink ref="A543" r:id="rId409" xr:uid="{00000000-0004-0000-0000-000098010000}"/>
    <hyperlink ref="A667" r:id="rId410" xr:uid="{00000000-0004-0000-0000-000099010000}"/>
    <hyperlink ref="A295" r:id="rId411" xr:uid="{00000000-0004-0000-0000-00009A010000}"/>
    <hyperlink ref="A421" r:id="rId412" xr:uid="{00000000-0004-0000-0000-00009B010000}"/>
    <hyperlink ref="A897" r:id="rId413" xr:uid="{00000000-0004-0000-0000-00009C010000}"/>
    <hyperlink ref="A422" r:id="rId414" xr:uid="{00000000-0004-0000-0000-00009D010000}"/>
    <hyperlink ref="A544" r:id="rId415" xr:uid="{00000000-0004-0000-0000-00009E010000}"/>
    <hyperlink ref="A784" r:id="rId416" xr:uid="{00000000-0004-0000-0000-00009F010000}"/>
    <hyperlink ref="A423" r:id="rId417" xr:uid="{00000000-0004-0000-0000-0000A0010000}"/>
    <hyperlink ref="A668" r:id="rId418" xr:uid="{00000000-0004-0000-0000-0000A1010000}"/>
    <hyperlink ref="A669" r:id="rId419" xr:uid="{00000000-0004-0000-0000-0000A2010000}"/>
    <hyperlink ref="A127" r:id="rId420" xr:uid="{00000000-0004-0000-0000-0000A3010000}"/>
    <hyperlink ref="A786" r:id="rId421" xr:uid="{00000000-0004-0000-0000-0000A4010000}"/>
    <hyperlink ref="A545" r:id="rId422" xr:uid="{00000000-0004-0000-0000-0000A5010000}"/>
    <hyperlink ref="A546" r:id="rId423" xr:uid="{00000000-0004-0000-0000-0000A6010000}"/>
    <hyperlink ref="A548" r:id="rId424" xr:uid="{00000000-0004-0000-0000-0000A7010000}"/>
    <hyperlink ref="A899" r:id="rId425" xr:uid="{00000000-0004-0000-0000-0000A8010000}"/>
    <hyperlink ref="A549" r:id="rId426" xr:uid="{00000000-0004-0000-0000-0000A9010000}"/>
    <hyperlink ref="A670" r:id="rId427" xr:uid="{00000000-0004-0000-0000-0000AA010000}"/>
    <hyperlink ref="A550" r:id="rId428" xr:uid="{00000000-0004-0000-0000-0000AB010000}"/>
    <hyperlink ref="A787" r:id="rId429" xr:uid="{00000000-0004-0000-0000-0000AC010000}"/>
    <hyperlink ref="A551" r:id="rId430" xr:uid="{00000000-0004-0000-0000-0000AD010000}"/>
    <hyperlink ref="A671" r:id="rId431" xr:uid="{00000000-0004-0000-0000-0000AE010000}"/>
    <hyperlink ref="A900" r:id="rId432" xr:uid="{00000000-0004-0000-0000-0000AF010000}"/>
    <hyperlink ref="A672" r:id="rId433" xr:uid="{00000000-0004-0000-0000-0000B0010000}"/>
    <hyperlink ref="A788" r:id="rId434" xr:uid="{00000000-0004-0000-0000-0000B1010000}"/>
    <hyperlink ref="A901" r:id="rId435" xr:uid="{00000000-0004-0000-0000-0000B2010000}"/>
    <hyperlink ref="A1008" r:id="rId436" xr:uid="{00000000-0004-0000-0000-0000B3010000}"/>
    <hyperlink ref="A1009" r:id="rId437" xr:uid="{00000000-0004-0000-0000-0000B4010000}"/>
    <hyperlink ref="A789" r:id="rId438" xr:uid="{00000000-0004-0000-0000-0000B5010000}"/>
    <hyperlink ref="A673" r:id="rId439" xr:uid="{00000000-0004-0000-0000-0000B6010000}"/>
    <hyperlink ref="A790" r:id="rId440" xr:uid="{00000000-0004-0000-0000-0000B7010000}"/>
    <hyperlink ref="A902" r:id="rId441" xr:uid="{00000000-0004-0000-0000-0000B8010000}"/>
    <hyperlink ref="A791" r:id="rId442" xr:uid="{00000000-0004-0000-0000-0000B9010000}"/>
    <hyperlink ref="A552" r:id="rId443" xr:uid="{00000000-0004-0000-0000-0000BA010000}"/>
    <hyperlink ref="A674" r:id="rId444" xr:uid="{00000000-0004-0000-0000-0000BB010000}"/>
    <hyperlink ref="A675" r:id="rId445" xr:uid="{00000000-0004-0000-0000-0000BC010000}"/>
    <hyperlink ref="A1101" r:id="rId446" xr:uid="{00000000-0004-0000-0000-0000BD010000}"/>
    <hyperlink ref="A553" r:id="rId447" xr:uid="{00000000-0004-0000-0000-0000BE010000}"/>
    <hyperlink ref="A1011" r:id="rId448" xr:uid="{00000000-0004-0000-0000-0000BF010000}"/>
    <hyperlink ref="A424" r:id="rId449" xr:uid="{00000000-0004-0000-0000-0000C0010000}"/>
    <hyperlink ref="A677" r:id="rId450" xr:uid="{00000000-0004-0000-0000-0000C1010000}"/>
    <hyperlink ref="A903" r:id="rId451" xr:uid="{00000000-0004-0000-0000-0000C2010000}"/>
    <hyperlink ref="A678" r:id="rId452" xr:uid="{00000000-0004-0000-0000-0000C3010000}"/>
    <hyperlink ref="A904" r:id="rId453" xr:uid="{00000000-0004-0000-0000-0000C4010000}"/>
    <hyperlink ref="A792" r:id="rId454" xr:uid="{00000000-0004-0000-0000-0000C5010000}"/>
    <hyperlink ref="A905" r:id="rId455" xr:uid="{00000000-0004-0000-0000-0000C6010000}"/>
    <hyperlink ref="A555" r:id="rId456" xr:uid="{00000000-0004-0000-0000-0000C7010000}"/>
    <hyperlink ref="A556" r:id="rId457" xr:uid="{00000000-0004-0000-0000-0000C8010000}"/>
    <hyperlink ref="A557" r:id="rId458" xr:uid="{00000000-0004-0000-0000-0000C9010000}"/>
    <hyperlink ref="A1012" r:id="rId459" xr:uid="{00000000-0004-0000-0000-0000CA010000}"/>
    <hyperlink ref="A202" r:id="rId460" xr:uid="{00000000-0004-0000-0000-0000CB010000}"/>
    <hyperlink ref="A558" r:id="rId461" xr:uid="{00000000-0004-0000-0000-0000CC010000}"/>
    <hyperlink ref="A1013" r:id="rId462" xr:uid="{00000000-0004-0000-0000-0000CD010000}"/>
    <hyperlink ref="A793" r:id="rId463" xr:uid="{00000000-0004-0000-0000-0000CE010000}"/>
    <hyperlink ref="A906" r:id="rId464" xr:uid="{00000000-0004-0000-0000-0000CF010000}"/>
    <hyperlink ref="A1214" r:id="rId465" xr:uid="{00000000-0004-0000-0000-0000D0010000}"/>
    <hyperlink ref="A679" r:id="rId466" xr:uid="{00000000-0004-0000-0000-0000D1010000}"/>
    <hyperlink ref="A907" r:id="rId467" xr:uid="{00000000-0004-0000-0000-0000D2010000}"/>
    <hyperlink ref="A796" r:id="rId468" xr:uid="{00000000-0004-0000-0000-0000D3010000}"/>
    <hyperlink ref="A559" r:id="rId469" xr:uid="{00000000-0004-0000-0000-0000D4010000}"/>
    <hyperlink ref="A680" r:id="rId470" xr:uid="{00000000-0004-0000-0000-0000D5010000}"/>
    <hyperlink ref="A797" r:id="rId471" xr:uid="{00000000-0004-0000-0000-0000D6010000}"/>
    <hyperlink ref="A681" r:id="rId472" xr:uid="{00000000-0004-0000-0000-0000D7010000}"/>
    <hyperlink ref="A560" r:id="rId473" xr:uid="{00000000-0004-0000-0000-0000D8010000}"/>
    <hyperlink ref="A561" r:id="rId474" xr:uid="{00000000-0004-0000-0000-0000D9010000}"/>
    <hyperlink ref="A798" r:id="rId475" xr:uid="{00000000-0004-0000-0000-0000DA010000}"/>
    <hyperlink ref="A682" r:id="rId476" xr:uid="{00000000-0004-0000-0000-0000DB010000}"/>
    <hyperlink ref="A1016" r:id="rId477" xr:uid="{00000000-0004-0000-0000-0000DC010000}"/>
    <hyperlink ref="A683" r:id="rId478" xr:uid="{00000000-0004-0000-0000-0000DD010000}"/>
    <hyperlink ref="A909" r:id="rId479" xr:uid="{00000000-0004-0000-0000-0000DE010000}"/>
    <hyperlink ref="A1018" r:id="rId480" xr:uid="{00000000-0004-0000-0000-0000DF010000}"/>
    <hyperlink ref="A801" r:id="rId481" xr:uid="{00000000-0004-0000-0000-0000E0010000}"/>
    <hyperlink ref="A684" r:id="rId482" xr:uid="{00000000-0004-0000-0000-0000E1010000}"/>
    <hyperlink ref="A427" r:id="rId483" xr:uid="{00000000-0004-0000-0000-0000E2010000}"/>
    <hyperlink ref="A428" r:id="rId484" xr:uid="{00000000-0004-0000-0000-0000E3010000}"/>
    <hyperlink ref="A911" r:id="rId485" xr:uid="{00000000-0004-0000-0000-0000E4010000}"/>
    <hyperlink ref="A297" r:id="rId486" xr:uid="{00000000-0004-0000-0000-0000E5010000}"/>
    <hyperlink ref="A564" r:id="rId487" xr:uid="{00000000-0004-0000-0000-0000E6010000}"/>
    <hyperlink ref="A802" r:id="rId488" xr:uid="{00000000-0004-0000-0000-0000E7010000}"/>
    <hyperlink ref="A687" r:id="rId489" xr:uid="{00000000-0004-0000-0000-0000E8010000}"/>
    <hyperlink ref="A1021" r:id="rId490" xr:uid="{00000000-0004-0000-0000-0000E9010000}"/>
    <hyperlink ref="A912" r:id="rId491" xr:uid="{00000000-0004-0000-0000-0000EA010000}"/>
    <hyperlink ref="A565" r:id="rId492" xr:uid="{00000000-0004-0000-0000-0000EB010000}"/>
    <hyperlink ref="A803" r:id="rId493" xr:uid="{00000000-0004-0000-0000-0000EC010000}"/>
    <hyperlink ref="A804" r:id="rId494" xr:uid="{00000000-0004-0000-0000-0000ED010000}"/>
    <hyperlink ref="A429" r:id="rId495" xr:uid="{00000000-0004-0000-0000-0000EE010000}"/>
    <hyperlink ref="A1022" r:id="rId496" xr:uid="{00000000-0004-0000-0000-0000EF010000}"/>
    <hyperlink ref="A689" r:id="rId497" xr:uid="{00000000-0004-0000-0000-0000F0010000}"/>
    <hyperlink ref="A1106" r:id="rId498" xr:uid="{00000000-0004-0000-0000-0000F1010000}"/>
    <hyperlink ref="A566" r:id="rId499" xr:uid="{00000000-0004-0000-0000-0000F2010000}"/>
    <hyperlink ref="A1107" r:id="rId500" xr:uid="{00000000-0004-0000-0000-0000F3010000}"/>
    <hyperlink ref="A568" r:id="rId501" xr:uid="{00000000-0004-0000-0000-0000F4010000}"/>
    <hyperlink ref="A569" r:id="rId502" xr:uid="{00000000-0004-0000-0000-0000F5010000}"/>
    <hyperlink ref="A914" r:id="rId503" xr:uid="{00000000-0004-0000-0000-0000F6010000}"/>
    <hyperlink ref="A807" r:id="rId504" xr:uid="{00000000-0004-0000-0000-0000F7010000}"/>
    <hyperlink ref="A570" r:id="rId505" xr:uid="{00000000-0004-0000-0000-0000F8010000}"/>
    <hyperlink ref="A690" r:id="rId506" xr:uid="{00000000-0004-0000-0000-0000F9010000}"/>
    <hyperlink ref="A691" r:id="rId507" xr:uid="{00000000-0004-0000-0000-0000FA010000}"/>
    <hyperlink ref="A1024" r:id="rId508" xr:uid="{00000000-0004-0000-0000-0000FB010000}"/>
    <hyperlink ref="A1025" r:id="rId509" xr:uid="{00000000-0004-0000-0000-0000FC010000}"/>
    <hyperlink ref="A808" r:id="rId510" xr:uid="{00000000-0004-0000-0000-0000FD010000}"/>
    <hyperlink ref="A915" r:id="rId511" xr:uid="{00000000-0004-0000-0000-0000FE010000}"/>
    <hyperlink ref="A692" r:id="rId512" xr:uid="{00000000-0004-0000-0000-0000FF010000}"/>
    <hyperlink ref="A1112" r:id="rId513" xr:uid="{00000000-0004-0000-0000-000000020000}"/>
    <hyperlink ref="A1113" r:id="rId514" xr:uid="{00000000-0004-0000-0000-000001020000}"/>
    <hyperlink ref="A693" r:id="rId515" xr:uid="{00000000-0004-0000-0000-000002020000}"/>
    <hyperlink ref="A809" r:id="rId516" xr:uid="{00000000-0004-0000-0000-000003020000}"/>
    <hyperlink ref="A203" r:id="rId517" xr:uid="{00000000-0004-0000-0000-000004020000}"/>
    <hyperlink ref="A1216" r:id="rId518" xr:uid="{00000000-0004-0000-0000-000005020000}"/>
    <hyperlink ref="A810" r:id="rId519" xr:uid="{00000000-0004-0000-0000-000006020000}"/>
    <hyperlink ref="A430" r:id="rId520" xr:uid="{00000000-0004-0000-0000-000007020000}"/>
    <hyperlink ref="A916" r:id="rId521" xr:uid="{00000000-0004-0000-0000-000008020000}"/>
    <hyperlink ref="A1115" r:id="rId522" xr:uid="{00000000-0004-0000-0000-000009020000}"/>
    <hyperlink ref="A918" r:id="rId523" xr:uid="{00000000-0004-0000-0000-00000A020000}"/>
    <hyperlink ref="A571" r:id="rId524" xr:uid="{00000000-0004-0000-0000-00000B020000}"/>
    <hyperlink ref="A812" r:id="rId525" xr:uid="{00000000-0004-0000-0000-00000C020000}"/>
    <hyperlink ref="A1217" r:id="rId526" xr:uid="{00000000-0004-0000-0000-00000D020000}"/>
    <hyperlink ref="A572" r:id="rId527" xr:uid="{00000000-0004-0000-0000-00000E020000}"/>
    <hyperlink ref="A813" r:id="rId528" xr:uid="{00000000-0004-0000-0000-00000F020000}"/>
    <hyperlink ref="A1218" r:id="rId529" xr:uid="{00000000-0004-0000-0000-000010020000}"/>
    <hyperlink ref="A695" r:id="rId530" xr:uid="{00000000-0004-0000-0000-000011020000}"/>
    <hyperlink ref="A300" r:id="rId531" xr:uid="{00000000-0004-0000-0000-000012020000}"/>
    <hyperlink ref="A696" r:id="rId532" xr:uid="{00000000-0004-0000-0000-000013020000}"/>
    <hyperlink ref="A1116" r:id="rId533" xr:uid="{00000000-0004-0000-0000-000014020000}"/>
    <hyperlink ref="A816" r:id="rId534" xr:uid="{00000000-0004-0000-0000-000015020000}"/>
    <hyperlink ref="A1117" r:id="rId535" xr:uid="{00000000-0004-0000-0000-000016020000}"/>
    <hyperlink ref="A1118" r:id="rId536" xr:uid="{00000000-0004-0000-0000-000017020000}"/>
    <hyperlink ref="A575" r:id="rId537" xr:uid="{00000000-0004-0000-0000-000018020000}"/>
    <hyperlink ref="A576" r:id="rId538" xr:uid="{00000000-0004-0000-0000-000019020000}"/>
    <hyperlink ref="A577" r:id="rId539" xr:uid="{00000000-0004-0000-0000-00001A020000}"/>
    <hyperlink ref="A302" r:id="rId540" xr:uid="{00000000-0004-0000-0000-00001B020000}"/>
    <hyperlink ref="A698" r:id="rId541" xr:uid="{00000000-0004-0000-0000-00001C020000}"/>
    <hyperlink ref="A1122" r:id="rId542" xr:uid="{00000000-0004-0000-0000-00001D020000}"/>
    <hyperlink ref="A1029" r:id="rId543" xr:uid="{00000000-0004-0000-0000-00001E020000}"/>
    <hyperlink ref="A578" r:id="rId544" xr:uid="{00000000-0004-0000-0000-00001F020000}"/>
    <hyperlink ref="A1220" r:id="rId545" xr:uid="{00000000-0004-0000-0000-000020020000}"/>
    <hyperlink ref="A818" r:id="rId546" xr:uid="{00000000-0004-0000-0000-000021020000}"/>
    <hyperlink ref="A1123" r:id="rId547" xr:uid="{00000000-0004-0000-0000-000022020000}"/>
    <hyperlink ref="A1124" r:id="rId548" xr:uid="{00000000-0004-0000-0000-000023020000}"/>
    <hyperlink ref="A921" r:id="rId549" xr:uid="{00000000-0004-0000-0000-000024020000}"/>
    <hyperlink ref="A579" r:id="rId550" xr:uid="{00000000-0004-0000-0000-000025020000}"/>
    <hyperlink ref="A922" r:id="rId551" xr:uid="{00000000-0004-0000-0000-000026020000}"/>
    <hyperlink ref="A1299" r:id="rId552" xr:uid="{00000000-0004-0000-0000-000027020000}"/>
    <hyperlink ref="A699" r:id="rId553" xr:uid="{00000000-0004-0000-0000-000028020000}"/>
    <hyperlink ref="A700" r:id="rId554" xr:uid="{00000000-0004-0000-0000-000029020000}"/>
    <hyperlink ref="A580" r:id="rId555" xr:uid="{00000000-0004-0000-0000-00002A020000}"/>
    <hyperlink ref="A702" r:id="rId556" xr:uid="{00000000-0004-0000-0000-00002B020000}"/>
    <hyperlink ref="A581" r:id="rId557" xr:uid="{00000000-0004-0000-0000-00002C020000}"/>
    <hyperlink ref="A923" r:id="rId558" xr:uid="{00000000-0004-0000-0000-00002D020000}"/>
    <hyperlink ref="A924" r:id="rId559" xr:uid="{00000000-0004-0000-0000-00002E020000}"/>
    <hyperlink ref="A820" r:id="rId560" xr:uid="{00000000-0004-0000-0000-00002F020000}"/>
    <hyperlink ref="A821" r:id="rId561" xr:uid="{00000000-0004-0000-0000-000030020000}"/>
    <hyperlink ref="A1128" r:id="rId562" xr:uid="{00000000-0004-0000-0000-000031020000}"/>
    <hyperlink ref="A1223" r:id="rId563" xr:uid="{00000000-0004-0000-0000-000032020000}"/>
    <hyperlink ref="A703" r:id="rId564" xr:uid="{00000000-0004-0000-0000-000033020000}"/>
    <hyperlink ref="A925" r:id="rId565" xr:uid="{00000000-0004-0000-0000-000034020000}"/>
    <hyperlink ref="A1030" r:id="rId566" xr:uid="{00000000-0004-0000-0000-000035020000}"/>
    <hyperlink ref="A1129" r:id="rId567" xr:uid="{00000000-0004-0000-0000-000036020000}"/>
    <hyperlink ref="A431" r:id="rId568" xr:uid="{00000000-0004-0000-0000-000037020000}"/>
    <hyperlink ref="A926" r:id="rId569" xr:uid="{00000000-0004-0000-0000-000038020000}"/>
    <hyperlink ref="A1031" r:id="rId570" xr:uid="{00000000-0004-0000-0000-000039020000}"/>
    <hyperlink ref="A822" r:id="rId571" xr:uid="{00000000-0004-0000-0000-00003A020000}"/>
    <hyperlink ref="A1131" r:id="rId572" xr:uid="{00000000-0004-0000-0000-00003B020000}"/>
    <hyperlink ref="A928" r:id="rId573" xr:uid="{00000000-0004-0000-0000-00003C020000}"/>
    <hyperlink ref="A583" r:id="rId574" xr:uid="{00000000-0004-0000-0000-00003D020000}"/>
    <hyperlink ref="A823" r:id="rId575" xr:uid="{00000000-0004-0000-0000-00003E020000}"/>
    <hyperlink ref="A1032" r:id="rId576" xr:uid="{00000000-0004-0000-0000-00003F020000}"/>
    <hyperlink ref="A432" r:id="rId577" xr:uid="{00000000-0004-0000-0000-000040020000}"/>
    <hyperlink ref="A704" r:id="rId578" xr:uid="{00000000-0004-0000-0000-000041020000}"/>
    <hyperlink ref="A930" r:id="rId579" xr:uid="{00000000-0004-0000-0000-000042020000}"/>
    <hyperlink ref="A824" r:id="rId580" xr:uid="{00000000-0004-0000-0000-000043020000}"/>
    <hyperlink ref="A1034" r:id="rId581" xr:uid="{00000000-0004-0000-0000-000044020000}"/>
    <hyperlink ref="A584" r:id="rId582" xr:uid="{00000000-0004-0000-0000-000045020000}"/>
    <hyperlink ref="A935" r:id="rId583" xr:uid="{00000000-0004-0000-0000-000046020000}"/>
    <hyperlink ref="A826" r:id="rId584" xr:uid="{00000000-0004-0000-0000-000047020000}"/>
    <hyperlink ref="A828" r:id="rId585" xr:uid="{00000000-0004-0000-0000-000048020000}"/>
    <hyperlink ref="A585" r:id="rId586" xr:uid="{00000000-0004-0000-0000-000049020000}"/>
    <hyperlink ref="A937" r:id="rId587" xr:uid="{00000000-0004-0000-0000-00004A020000}"/>
    <hyperlink ref="A1228" r:id="rId588" xr:uid="{00000000-0004-0000-0000-00004B020000}"/>
    <hyperlink ref="A706" r:id="rId589" xr:uid="{00000000-0004-0000-0000-00004C020000}"/>
    <hyperlink ref="A1230" r:id="rId590" xr:uid="{00000000-0004-0000-0000-00004D020000}"/>
    <hyperlink ref="A1038" r:id="rId591" xr:uid="{00000000-0004-0000-0000-00004E020000}"/>
    <hyperlink ref="A1139" r:id="rId592" xr:uid="{00000000-0004-0000-0000-00004F020000}"/>
    <hyperlink ref="A1232" r:id="rId593" xr:uid="{00000000-0004-0000-0000-000050020000}"/>
    <hyperlink ref="A940" r:id="rId594" xr:uid="{00000000-0004-0000-0000-000051020000}"/>
    <hyperlink ref="A1140" r:id="rId595" xr:uid="{00000000-0004-0000-0000-000052020000}"/>
    <hyperlink ref="A1141" r:id="rId596" xr:uid="{00000000-0004-0000-0000-000053020000}"/>
    <hyperlink ref="A1142" r:id="rId597" xr:uid="{00000000-0004-0000-0000-000054020000}"/>
    <hyperlink ref="A707" r:id="rId598" xr:uid="{00000000-0004-0000-0000-000055020000}"/>
    <hyperlink ref="A830" r:id="rId599" xr:uid="{00000000-0004-0000-0000-000056020000}"/>
    <hyperlink ref="A941" r:id="rId600" xr:uid="{00000000-0004-0000-0000-000057020000}"/>
    <hyperlink ref="A831" r:id="rId601" xr:uid="{00000000-0004-0000-0000-000058020000}"/>
    <hyperlink ref="A942" r:id="rId602" xr:uid="{00000000-0004-0000-0000-000059020000}"/>
    <hyperlink ref="A1305" r:id="rId603" xr:uid="{00000000-0004-0000-0000-00005A020000}"/>
    <hyperlink ref="A709" r:id="rId604" xr:uid="{00000000-0004-0000-0000-00005B020000}"/>
    <hyperlink ref="A943" r:id="rId605" xr:uid="{00000000-0004-0000-0000-00005C020000}"/>
    <hyperlink ref="A587" r:id="rId606" xr:uid="{00000000-0004-0000-0000-00005D020000}"/>
    <hyperlink ref="A588" r:id="rId607" xr:uid="{00000000-0004-0000-0000-00005E020000}"/>
    <hyperlink ref="A589" r:id="rId608" xr:uid="{00000000-0004-0000-0000-00005F020000}"/>
    <hyperlink ref="A433" r:id="rId609" xr:uid="{00000000-0004-0000-0000-000060020000}"/>
    <hyperlink ref="A710" r:id="rId610" xr:uid="{00000000-0004-0000-0000-000061020000}"/>
    <hyperlink ref="A590" r:id="rId611" xr:uid="{00000000-0004-0000-0000-000062020000}"/>
    <hyperlink ref="A591" r:id="rId612" xr:uid="{00000000-0004-0000-0000-000063020000}"/>
    <hyperlink ref="A833" r:id="rId613" xr:uid="{00000000-0004-0000-0000-000064020000}"/>
    <hyperlink ref="A1143" r:id="rId614" xr:uid="{00000000-0004-0000-0000-000065020000}"/>
    <hyperlink ref="A944" r:id="rId615" xr:uid="{00000000-0004-0000-0000-000066020000}"/>
    <hyperlink ref="A945" r:id="rId616" xr:uid="{00000000-0004-0000-0000-000067020000}"/>
    <hyperlink ref="A946" r:id="rId617" xr:uid="{00000000-0004-0000-0000-000068020000}"/>
    <hyperlink ref="A947" r:id="rId618" xr:uid="{00000000-0004-0000-0000-000069020000}"/>
    <hyperlink ref="A711" r:id="rId619" xr:uid="{00000000-0004-0000-0000-00006A020000}"/>
    <hyperlink ref="A1039" r:id="rId620" xr:uid="{00000000-0004-0000-0000-00006B020000}"/>
    <hyperlink ref="A1144" r:id="rId621" xr:uid="{00000000-0004-0000-0000-00006C020000}"/>
    <hyperlink ref="A712" r:id="rId622" xr:uid="{00000000-0004-0000-0000-00006D020000}"/>
    <hyperlink ref="A713" r:id="rId623" xr:uid="{00000000-0004-0000-0000-00006E020000}"/>
    <hyperlink ref="A949" r:id="rId624" xr:uid="{00000000-0004-0000-0000-00006F020000}"/>
    <hyperlink ref="A1146" r:id="rId625" xr:uid="{00000000-0004-0000-0000-000070020000}"/>
    <hyperlink ref="A1147" r:id="rId626" xr:uid="{00000000-0004-0000-0000-000071020000}"/>
    <hyperlink ref="A1236" r:id="rId627" xr:uid="{00000000-0004-0000-0000-000072020000}"/>
    <hyperlink ref="A1238" r:id="rId628" xr:uid="{00000000-0004-0000-0000-000073020000}"/>
    <hyperlink ref="A1042" r:id="rId629" xr:uid="{00000000-0004-0000-0000-000074020000}"/>
    <hyperlink ref="A835" r:id="rId630" xr:uid="{00000000-0004-0000-0000-000075020000}"/>
    <hyperlink ref="A950" r:id="rId631" xr:uid="{00000000-0004-0000-0000-000076020000}"/>
    <hyperlink ref="A1045" r:id="rId632" xr:uid="{00000000-0004-0000-0000-000077020000}"/>
    <hyperlink ref="A592" r:id="rId633" xr:uid="{00000000-0004-0000-0000-000078020000}"/>
    <hyperlink ref="A1442" r:id="rId634" xr:uid="{00000000-0004-0000-0000-000079020000}"/>
    <hyperlink ref="A1151" r:id="rId635" xr:uid="{00000000-0004-0000-0000-00007A020000}"/>
    <hyperlink ref="A1046" r:id="rId636" xr:uid="{00000000-0004-0000-0000-00007B020000}"/>
    <hyperlink ref="A839" r:id="rId637" xr:uid="{00000000-0004-0000-0000-00007C020000}"/>
    <hyperlink ref="A841" r:id="rId638" xr:uid="{00000000-0004-0000-0000-00007D020000}"/>
    <hyperlink ref="A842" r:id="rId639" xr:uid="{00000000-0004-0000-0000-00007E020000}"/>
    <hyperlink ref="A714" r:id="rId640" xr:uid="{00000000-0004-0000-0000-00007F020000}"/>
    <hyperlink ref="A843" r:id="rId641" xr:uid="{00000000-0004-0000-0000-000080020000}"/>
    <hyperlink ref="A593" r:id="rId642" xr:uid="{00000000-0004-0000-0000-000081020000}"/>
    <hyperlink ref="A1156" r:id="rId643" xr:uid="{00000000-0004-0000-0000-000082020000}"/>
    <hyperlink ref="A954" r:id="rId644" xr:uid="{00000000-0004-0000-0000-000083020000}"/>
    <hyperlink ref="A715" r:id="rId645" xr:uid="{00000000-0004-0000-0000-000084020000}"/>
    <hyperlink ref="A1157" r:id="rId646" xr:uid="{00000000-0004-0000-0000-000085020000}"/>
    <hyperlink ref="A955" r:id="rId647" xr:uid="{00000000-0004-0000-0000-000086020000}"/>
    <hyperlink ref="A956" r:id="rId648" xr:uid="{00000000-0004-0000-0000-000087020000}"/>
    <hyperlink ref="A846" r:id="rId649" xr:uid="{00000000-0004-0000-0000-000088020000}"/>
    <hyperlink ref="A957" r:id="rId650" xr:uid="{00000000-0004-0000-0000-000089020000}"/>
    <hyperlink ref="A1049" r:id="rId651" xr:uid="{00000000-0004-0000-0000-00008A020000}"/>
    <hyperlink ref="A847" r:id="rId652" xr:uid="{00000000-0004-0000-0000-00008B020000}"/>
    <hyperlink ref="A958" r:id="rId653" xr:uid="{00000000-0004-0000-0000-00008C020000}"/>
    <hyperlink ref="A848" r:id="rId654" xr:uid="{00000000-0004-0000-0000-00008D020000}"/>
    <hyperlink ref="A1308" r:id="rId655" xr:uid="{00000000-0004-0000-0000-00008E020000}"/>
    <hyperlink ref="A849" r:id="rId656" xr:uid="{00000000-0004-0000-0000-00008F020000}"/>
    <hyperlink ref="A716" r:id="rId657" xr:uid="{00000000-0004-0000-0000-000090020000}"/>
    <hyperlink ref="A717" r:id="rId658" xr:uid="{00000000-0004-0000-0000-000091020000}"/>
    <hyperlink ref="A718" r:id="rId659" xr:uid="{00000000-0004-0000-0000-000092020000}"/>
    <hyperlink ref="A719" r:id="rId660" xr:uid="{00000000-0004-0000-0000-000093020000}"/>
    <hyperlink ref="A594" r:id="rId661" xr:uid="{00000000-0004-0000-0000-000094020000}"/>
    <hyperlink ref="A1051" r:id="rId662" xr:uid="{00000000-0004-0000-0000-000095020000}"/>
    <hyperlink ref="A1052" r:id="rId663" xr:uid="{00000000-0004-0000-0000-000096020000}"/>
    <hyperlink ref="A1309" r:id="rId664" xr:uid="{00000000-0004-0000-0000-000097020000}"/>
    <hyperlink ref="A850" r:id="rId665" xr:uid="{00000000-0004-0000-0000-000098020000}"/>
    <hyperlink ref="A1241" r:id="rId666" xr:uid="{00000000-0004-0000-0000-000099020000}"/>
    <hyperlink ref="A961" r:id="rId667" xr:uid="{00000000-0004-0000-0000-00009A020000}"/>
    <hyperlink ref="A1242" r:id="rId668" xr:uid="{00000000-0004-0000-0000-00009B020000}"/>
    <hyperlink ref="A1244" r:id="rId669" xr:uid="{00000000-0004-0000-0000-00009C020000}"/>
    <hyperlink ref="A595" r:id="rId670" xr:uid="{00000000-0004-0000-0000-00009D020000}"/>
    <hyperlink ref="A1056" r:id="rId671" xr:uid="{00000000-0004-0000-0000-00009E020000}"/>
    <hyperlink ref="A1057" r:id="rId672" xr:uid="{00000000-0004-0000-0000-00009F020000}"/>
    <hyperlink ref="A1245" r:id="rId673" xr:uid="{00000000-0004-0000-0000-0000A0020000}"/>
    <hyperlink ref="A1058" r:id="rId674" xr:uid="{00000000-0004-0000-0000-0000A1020000}"/>
    <hyperlink ref="A1059" r:id="rId675" xr:uid="{00000000-0004-0000-0000-0000A2020000}"/>
    <hyperlink ref="A720" r:id="rId676" xr:uid="{00000000-0004-0000-0000-0000A3020000}"/>
    <hyperlink ref="A1311" r:id="rId677" xr:uid="{00000000-0004-0000-0000-0000A4020000}"/>
    <hyperlink ref="A1374" r:id="rId678" xr:uid="{00000000-0004-0000-0000-0000A5020000}"/>
    <hyperlink ref="A1060" r:id="rId679" xr:uid="{00000000-0004-0000-0000-0000A6020000}"/>
    <hyperlink ref="A1061" r:id="rId680" xr:uid="{00000000-0004-0000-0000-0000A7020000}"/>
    <hyperlink ref="A1164" r:id="rId681" xr:uid="{00000000-0004-0000-0000-0000A8020000}"/>
    <hyperlink ref="A721" r:id="rId682" xr:uid="{00000000-0004-0000-0000-0000A9020000}"/>
    <hyperlink ref="A1166" r:id="rId683" xr:uid="{00000000-0004-0000-0000-0000AA020000}"/>
    <hyperlink ref="A962" r:id="rId684" xr:uid="{00000000-0004-0000-0000-0000AB020000}"/>
    <hyperlink ref="A1167" r:id="rId685" xr:uid="{00000000-0004-0000-0000-0000AC020000}"/>
    <hyperlink ref="A1168" r:id="rId686" xr:uid="{00000000-0004-0000-0000-0000AD020000}"/>
    <hyperlink ref="A596" r:id="rId687" xr:uid="{00000000-0004-0000-0000-0000AE020000}"/>
    <hyperlink ref="A1246" r:id="rId688" xr:uid="{00000000-0004-0000-0000-0000AF020000}"/>
    <hyperlink ref="A722" r:id="rId689" xr:uid="{00000000-0004-0000-0000-0000B0020000}"/>
    <hyperlink ref="A1062" r:id="rId690" xr:uid="{00000000-0004-0000-0000-0000B1020000}"/>
    <hyperlink ref="A1313" r:id="rId691" xr:uid="{00000000-0004-0000-0000-0000B2020000}"/>
    <hyperlink ref="A1314" r:id="rId692" xr:uid="{00000000-0004-0000-0000-0000B3020000}"/>
    <hyperlink ref="A1171" r:id="rId693" xr:uid="{00000000-0004-0000-0000-0000B4020000}"/>
    <hyperlink ref="A1064" r:id="rId694" xr:uid="{00000000-0004-0000-0000-0000B5020000}"/>
    <hyperlink ref="A963" r:id="rId695" xr:uid="{00000000-0004-0000-0000-0000B6020000}"/>
    <hyperlink ref="A853" r:id="rId696" xr:uid="{00000000-0004-0000-0000-0000B7020000}"/>
    <hyperlink ref="A1172" r:id="rId697" xr:uid="{00000000-0004-0000-0000-0000B8020000}"/>
    <hyperlink ref="A1315" r:id="rId698" xr:uid="{00000000-0004-0000-0000-0000B9020000}"/>
    <hyperlink ref="A964" r:id="rId699" xr:uid="{00000000-0004-0000-0000-0000BA020000}"/>
    <hyperlink ref="A1248" r:id="rId700" xr:uid="{00000000-0004-0000-0000-0000BB020000}"/>
    <hyperlink ref="A965" r:id="rId701" xr:uid="{00000000-0004-0000-0000-0000BC020000}"/>
    <hyperlink ref="A723" r:id="rId702" xr:uid="{00000000-0004-0000-0000-0000BD020000}"/>
    <hyperlink ref="A724" r:id="rId703" xr:uid="{00000000-0004-0000-0000-0000BE020000}"/>
    <hyperlink ref="A1493" r:id="rId704" xr:uid="{00000000-0004-0000-0000-0000BF020000}"/>
    <hyperlink ref="A1065" r:id="rId705" xr:uid="{00000000-0004-0000-0000-0000C0020000}"/>
    <hyperlink ref="A966" r:id="rId706" xr:uid="{00000000-0004-0000-0000-0000C1020000}"/>
    <hyperlink ref="A854" r:id="rId707" xr:uid="{00000000-0004-0000-0000-0000C2020000}"/>
    <hyperlink ref="A1066" r:id="rId708" xr:uid="{00000000-0004-0000-0000-0000C3020000}"/>
    <hyperlink ref="A856" r:id="rId709" xr:uid="{00000000-0004-0000-0000-0000C4020000}"/>
    <hyperlink ref="A967" r:id="rId710" xr:uid="{00000000-0004-0000-0000-0000C5020000}"/>
    <hyperlink ref="A1175" r:id="rId711" xr:uid="{00000000-0004-0000-0000-0000C6020000}"/>
    <hyperlink ref="A1251" r:id="rId712" xr:uid="{00000000-0004-0000-0000-0000C7020000}"/>
    <hyperlink ref="A857" r:id="rId713" xr:uid="{00000000-0004-0000-0000-0000C8020000}"/>
    <hyperlink ref="A858" r:id="rId714" xr:uid="{00000000-0004-0000-0000-0000C9020000}"/>
    <hyperlink ref="A1176" r:id="rId715" xr:uid="{00000000-0004-0000-0000-0000CA020000}"/>
    <hyperlink ref="A859" r:id="rId716" xr:uid="{00000000-0004-0000-0000-0000CB020000}"/>
    <hyperlink ref="A1068" r:id="rId717" xr:uid="{00000000-0004-0000-0000-0000CC020000}"/>
    <hyperlink ref="A860" r:id="rId718" xr:uid="{00000000-0004-0000-0000-0000CD020000}"/>
    <hyperlink ref="A727" r:id="rId719" xr:uid="{00000000-0004-0000-0000-0000CE020000}"/>
    <hyperlink ref="A861" r:id="rId720" xr:uid="{00000000-0004-0000-0000-0000CF020000}"/>
    <hyperlink ref="A1319" r:id="rId721" xr:uid="{00000000-0004-0000-0000-0000D0020000}"/>
    <hyperlink ref="A1177" r:id="rId722" xr:uid="{00000000-0004-0000-0000-0000D1020000}"/>
    <hyperlink ref="A1320" r:id="rId723" xr:uid="{00000000-0004-0000-0000-0000D2020000}"/>
    <hyperlink ref="A968" r:id="rId724" xr:uid="{00000000-0004-0000-0000-0000D3020000}"/>
    <hyperlink ref="A728" r:id="rId725" xr:uid="{00000000-0004-0000-0000-0000D4020000}"/>
    <hyperlink ref="A1259" r:id="rId726" xr:uid="{00000000-0004-0000-0000-0000D5020000}"/>
    <hyperlink ref="A1070" r:id="rId727" xr:uid="{00000000-0004-0000-0000-0000D6020000}"/>
    <hyperlink ref="A1179" r:id="rId728" xr:uid="{00000000-0004-0000-0000-0000D7020000}"/>
    <hyperlink ref="A1071" r:id="rId729" xr:uid="{00000000-0004-0000-0000-0000D8020000}"/>
    <hyperlink ref="A970" r:id="rId730" xr:uid="{00000000-0004-0000-0000-0000D9020000}"/>
    <hyperlink ref="A729" r:id="rId731" xr:uid="{00000000-0004-0000-0000-0000DA020000}"/>
    <hyperlink ref="A1072" r:id="rId732" xr:uid="{00000000-0004-0000-0000-0000DB020000}"/>
    <hyperlink ref="A1181" r:id="rId733" xr:uid="{00000000-0004-0000-0000-0000DC020000}"/>
    <hyperlink ref="A1182" r:id="rId734" xr:uid="{00000000-0004-0000-0000-0000DD020000}"/>
    <hyperlink ref="A1073" r:id="rId735" xr:uid="{00000000-0004-0000-0000-0000DE020000}"/>
    <hyperlink ref="A972" r:id="rId736" xr:uid="{00000000-0004-0000-0000-0000DF020000}"/>
    <hyperlink ref="A1261" r:id="rId737" xr:uid="{00000000-0004-0000-0000-0000E0020000}"/>
    <hyperlink ref="A973" r:id="rId738" xr:uid="{00000000-0004-0000-0000-0000E1020000}"/>
    <hyperlink ref="A1262" r:id="rId739" xr:uid="{00000000-0004-0000-0000-0000E2020000}"/>
    <hyperlink ref="A974" r:id="rId740" xr:uid="{00000000-0004-0000-0000-0000E3020000}"/>
    <hyperlink ref="A862" r:id="rId741" xr:uid="{00000000-0004-0000-0000-0000E4020000}"/>
    <hyperlink ref="A1384" r:id="rId742" xr:uid="{00000000-0004-0000-0000-0000E5020000}"/>
    <hyperlink ref="A1184" r:id="rId743" xr:uid="{00000000-0004-0000-0000-0000E6020000}"/>
    <hyperlink ref="A1385" r:id="rId744" xr:uid="{00000000-0004-0000-0000-0000E7020000}"/>
    <hyperlink ref="A1386" r:id="rId745" xr:uid="{00000000-0004-0000-0000-0000E8020000}"/>
    <hyperlink ref="A863" r:id="rId746" xr:uid="{00000000-0004-0000-0000-0000E9020000}"/>
    <hyperlink ref="A1074" r:id="rId747" xr:uid="{00000000-0004-0000-0000-0000EA020000}"/>
    <hyperlink ref="A1263" r:id="rId748" xr:uid="{00000000-0004-0000-0000-0000EB020000}"/>
    <hyperlink ref="A1324" r:id="rId749" xr:uid="{00000000-0004-0000-0000-0000EC020000}"/>
    <hyperlink ref="A1185" r:id="rId750" xr:uid="{00000000-0004-0000-0000-0000ED020000}"/>
    <hyperlink ref="A1075" r:id="rId751" xr:uid="{00000000-0004-0000-0000-0000EE020000}"/>
    <hyperlink ref="A975" r:id="rId752" xr:uid="{00000000-0004-0000-0000-0000EF020000}"/>
    <hyperlink ref="A976" r:id="rId753" xr:uid="{00000000-0004-0000-0000-0000F0020000}"/>
    <hyperlink ref="A1387" r:id="rId754" xr:uid="{00000000-0004-0000-0000-0000F1020000}"/>
    <hyperlink ref="A1448" r:id="rId755" xr:uid="{00000000-0004-0000-0000-0000F2020000}"/>
    <hyperlink ref="A1186" r:id="rId756" xr:uid="{00000000-0004-0000-0000-0000F3020000}"/>
    <hyperlink ref="A1264" r:id="rId757" xr:uid="{00000000-0004-0000-0000-0000F4020000}"/>
    <hyperlink ref="A1076" r:id="rId758" xr:uid="{00000000-0004-0000-0000-0000F5020000}"/>
    <hyperlink ref="A1189" r:id="rId759" xr:uid="{00000000-0004-0000-0000-0000F6020000}"/>
    <hyperlink ref="A1190" r:id="rId760" xr:uid="{00000000-0004-0000-0000-0000F7020000}"/>
    <hyperlink ref="A1193" r:id="rId761" xr:uid="{00000000-0004-0000-0000-0000F8020000}"/>
    <hyperlink ref="A1326" r:id="rId762" xr:uid="{00000000-0004-0000-0000-0000F9020000}"/>
    <hyperlink ref="A1077" r:id="rId763" xr:uid="{00000000-0004-0000-0000-0000FA020000}"/>
    <hyperlink ref="A1388" r:id="rId764" xr:uid="{00000000-0004-0000-0000-0000FB020000}"/>
    <hyperlink ref="A1078" r:id="rId765" xr:uid="{00000000-0004-0000-0000-0000FC020000}"/>
    <hyperlink ref="A1196" r:id="rId766" xr:uid="{00000000-0004-0000-0000-0000FD020000}"/>
    <hyperlink ref="A1197" r:id="rId767" xr:uid="{00000000-0004-0000-0000-0000FE020000}"/>
    <hyperlink ref="A1328" r:id="rId768" xr:uid="{00000000-0004-0000-0000-0000FF020000}"/>
    <hyperlink ref="A1266" r:id="rId769" xr:uid="{00000000-0004-0000-0000-000000030000}"/>
    <hyperlink ref="A1079" r:id="rId770" xr:uid="{00000000-0004-0000-0000-000001030000}"/>
    <hyperlink ref="A1450" r:id="rId771" xr:uid="{00000000-0004-0000-0000-000002030000}"/>
    <hyperlink ref="A1081" r:id="rId772" xr:uid="{00000000-0004-0000-0000-000003030000}"/>
    <hyperlink ref="A1200" r:id="rId773" xr:uid="{00000000-0004-0000-0000-000004030000}"/>
    <hyperlink ref="A977" r:id="rId774" xr:uid="{00000000-0004-0000-0000-000005030000}"/>
    <hyperlink ref="A1082" r:id="rId775" xr:uid="{00000000-0004-0000-0000-000006030000}"/>
    <hyperlink ref="A978" r:id="rId776" xr:uid="{00000000-0004-0000-0000-000007030000}"/>
    <hyperlink ref="A979" r:id="rId777" xr:uid="{00000000-0004-0000-0000-000008030000}"/>
    <hyperlink ref="A1329" r:id="rId778" xr:uid="{00000000-0004-0000-0000-000009030000}"/>
    <hyperlink ref="A1392" r:id="rId779" xr:uid="{00000000-0004-0000-0000-00000A030000}"/>
    <hyperlink ref="A1267" r:id="rId780" xr:uid="{00000000-0004-0000-0000-00000B030000}"/>
    <hyperlink ref="A1083" r:id="rId781" xr:uid="{00000000-0004-0000-0000-00000C030000}"/>
    <hyperlink ref="A1395" r:id="rId782" xr:uid="{00000000-0004-0000-0000-00000D030000}"/>
    <hyperlink ref="A1268" r:id="rId783" xr:uid="{00000000-0004-0000-0000-00000E030000}"/>
    <hyperlink ref="A1330" r:id="rId784" xr:uid="{00000000-0004-0000-0000-00000F030000}"/>
    <hyperlink ref="A1269" r:id="rId785" xr:uid="{00000000-0004-0000-0000-000010030000}"/>
    <hyperlink ref="A1201" r:id="rId786" xr:uid="{00000000-0004-0000-0000-000011030000}"/>
    <hyperlink ref="A1271" r:id="rId787" xr:uid="{00000000-0004-0000-0000-000012030000}"/>
    <hyperlink ref="A1084" r:id="rId788" xr:uid="{00000000-0004-0000-0000-000013030000}"/>
    <hyperlink ref="A1272" r:id="rId789" xr:uid="{00000000-0004-0000-0000-000014030000}"/>
    <hyperlink ref="A1085" r:id="rId790" xr:uid="{00000000-0004-0000-0000-000015030000}"/>
    <hyperlink ref="A1086" r:id="rId791" xr:uid="{00000000-0004-0000-0000-000016030000}"/>
    <hyperlink ref="A980" r:id="rId792" xr:uid="{00000000-0004-0000-0000-000017030000}"/>
    <hyperlink ref="A864" r:id="rId793" xr:uid="{00000000-0004-0000-0000-000018030000}"/>
    <hyperlink ref="A1087" r:id="rId794" xr:uid="{00000000-0004-0000-0000-000019030000}"/>
    <hyperlink ref="A1400" r:id="rId795" xr:uid="{00000000-0004-0000-0000-00001A030000}"/>
    <hyperlink ref="A1273" r:id="rId796" xr:uid="{00000000-0004-0000-0000-00001B030000}"/>
    <hyperlink ref="A1274" r:id="rId797" xr:uid="{00000000-0004-0000-0000-00001C030000}"/>
    <hyperlink ref="A981" r:id="rId798" xr:uid="{00000000-0004-0000-0000-00001D030000}"/>
    <hyperlink ref="A1088" r:id="rId799" xr:uid="{00000000-0004-0000-0000-00001E030000}"/>
    <hyperlink ref="A1202" r:id="rId800" xr:uid="{00000000-0004-0000-0000-00001F030000}"/>
    <hyperlink ref="A1203" r:id="rId801" xr:uid="{00000000-0004-0000-0000-000020030000}"/>
    <hyperlink ref="A1204" r:id="rId802" xr:uid="{00000000-0004-0000-0000-000021030000}"/>
    <hyperlink ref="A1089" r:id="rId803" xr:uid="{00000000-0004-0000-0000-000022030000}"/>
    <hyperlink ref="A1336" r:id="rId804" xr:uid="{00000000-0004-0000-0000-000023030000}"/>
    <hyperlink ref="A1460" r:id="rId805" xr:uid="{00000000-0004-0000-0000-000024030000}"/>
    <hyperlink ref="A1277" r:id="rId806" xr:uid="{00000000-0004-0000-0000-000025030000}"/>
    <hyperlink ref="A1205" r:id="rId807" xr:uid="{00000000-0004-0000-0000-000026030000}"/>
    <hyperlink ref="A1337" r:id="rId808" xr:uid="{00000000-0004-0000-0000-000027030000}"/>
    <hyperlink ref="A1405" r:id="rId809" xr:uid="{00000000-0004-0000-0000-000028030000}"/>
    <hyperlink ref="A1338" r:id="rId810" xr:uid="{00000000-0004-0000-0000-000029030000}"/>
    <hyperlink ref="A1554" r:id="rId811" xr:uid="{00000000-0004-0000-0000-00002A030000}"/>
    <hyperlink ref="A1406" r:id="rId812" xr:uid="{00000000-0004-0000-0000-00002B030000}"/>
    <hyperlink ref="A1507" r:id="rId813" xr:uid="{00000000-0004-0000-0000-00002C030000}"/>
    <hyperlink ref="A1339" r:id="rId814" xr:uid="{00000000-0004-0000-0000-00002D030000}"/>
    <hyperlink ref="A1340" r:id="rId815" xr:uid="{00000000-0004-0000-0000-00002E030000}"/>
    <hyperlink ref="A984" r:id="rId816" xr:uid="{00000000-0004-0000-0000-00002F030000}"/>
    <hyperlink ref="A1341" r:id="rId817" xr:uid="{00000000-0004-0000-0000-000030030000}"/>
    <hyperlink ref="A1342" r:id="rId818" xr:uid="{00000000-0004-0000-0000-000031030000}"/>
    <hyperlink ref="A1508" r:id="rId819" xr:uid="{00000000-0004-0000-0000-000032030000}"/>
    <hyperlink ref="A1090" r:id="rId820" xr:uid="{00000000-0004-0000-0000-000033030000}"/>
    <hyperlink ref="A1344" r:id="rId821" xr:uid="{00000000-0004-0000-0000-000034030000}"/>
    <hyperlink ref="A1410" r:id="rId822" xr:uid="{00000000-0004-0000-0000-000035030000}"/>
    <hyperlink ref="A1091" r:id="rId823" xr:uid="{00000000-0004-0000-0000-000036030000}"/>
    <hyperlink ref="A1462" r:id="rId824" xr:uid="{00000000-0004-0000-0000-000037030000}"/>
    <hyperlink ref="A1412" r:id="rId825" xr:uid="{00000000-0004-0000-0000-000038030000}"/>
    <hyperlink ref="A1207" r:id="rId826" xr:uid="{00000000-0004-0000-0000-000039030000}"/>
    <hyperlink ref="A1558" r:id="rId827" xr:uid="{00000000-0004-0000-0000-00003A030000}"/>
    <hyperlink ref="A1092" r:id="rId828" xr:uid="{00000000-0004-0000-0000-00003B030000}"/>
    <hyperlink ref="A1509" r:id="rId829" xr:uid="{00000000-0004-0000-0000-00003C030000}"/>
    <hyperlink ref="A1604" r:id="rId830" xr:uid="{00000000-0004-0000-0000-00003D030000}"/>
    <hyperlink ref="A1348" r:id="rId831" xr:uid="{00000000-0004-0000-0000-00003E030000}"/>
    <hyperlink ref="A1350" r:id="rId832" xr:uid="{00000000-0004-0000-0000-00003F030000}"/>
    <hyperlink ref="A1463" r:id="rId833" xr:uid="{00000000-0004-0000-0000-000040030000}"/>
    <hyperlink ref="A1418" r:id="rId834" xr:uid="{00000000-0004-0000-0000-000041030000}"/>
    <hyperlink ref="A1560" r:id="rId835" xr:uid="{00000000-0004-0000-0000-000042030000}"/>
    <hyperlink ref="A1353" r:id="rId836" xr:uid="{00000000-0004-0000-0000-000043030000}"/>
    <hyperlink ref="A1285" r:id="rId837" xr:uid="{00000000-0004-0000-0000-000044030000}"/>
    <hyperlink ref="A1208" r:id="rId838" xr:uid="{00000000-0004-0000-0000-000045030000}"/>
    <hyperlink ref="A1209" r:id="rId839" xr:uid="{00000000-0004-0000-0000-000046030000}"/>
    <hyperlink ref="A1287" r:id="rId840" xr:uid="{00000000-0004-0000-0000-000047030000}"/>
    <hyperlink ref="A1288" r:id="rId841" xr:uid="{00000000-0004-0000-0000-000048030000}"/>
    <hyperlink ref="A1419" r:id="rId842" xr:uid="{00000000-0004-0000-0000-000049030000}"/>
    <hyperlink ref="A1290" r:id="rId843" xr:uid="{00000000-0004-0000-0000-00004A030000}"/>
    <hyperlink ref="A1354" r:id="rId844" xr:uid="{00000000-0004-0000-0000-00004B030000}"/>
    <hyperlink ref="A1355" r:id="rId845" xr:uid="{00000000-0004-0000-0000-00004C030000}"/>
    <hyperlink ref="A1356" r:id="rId846" xr:uid="{00000000-0004-0000-0000-00004D030000}"/>
    <hyperlink ref="A1420" r:id="rId847" xr:uid="{00000000-0004-0000-0000-00004E030000}"/>
    <hyperlink ref="A1562" r:id="rId848" xr:uid="{00000000-0004-0000-0000-00004F030000}"/>
    <hyperlink ref="A1211" r:id="rId849" xr:uid="{00000000-0004-0000-0000-000050030000}"/>
    <hyperlink ref="A1465" r:id="rId850" xr:uid="{00000000-0004-0000-0000-000051030000}"/>
    <hyperlink ref="A1422" r:id="rId851" xr:uid="{00000000-0004-0000-0000-000052030000}"/>
    <hyperlink ref="A1423" r:id="rId852" xr:uid="{00000000-0004-0000-0000-000053030000}"/>
    <hyperlink ref="A1425" r:id="rId853" xr:uid="{00000000-0004-0000-0000-000054030000}"/>
    <hyperlink ref="A1212" r:id="rId854" xr:uid="{00000000-0004-0000-0000-000055030000}"/>
    <hyperlink ref="A1292" r:id="rId855" xr:uid="{00000000-0004-0000-0000-000056030000}"/>
    <hyperlink ref="A1609" r:id="rId856" xr:uid="{00000000-0004-0000-0000-000057030000}"/>
    <hyperlink ref="A1610" r:id="rId857" xr:uid="{00000000-0004-0000-0000-000058030000}"/>
    <hyperlink ref="A1293" r:id="rId858" xr:uid="{00000000-0004-0000-0000-000059030000}"/>
    <hyperlink ref="A1294" r:id="rId859" xr:uid="{00000000-0004-0000-0000-00005A030000}"/>
    <hyperlink ref="A1469" r:id="rId860" xr:uid="{00000000-0004-0000-0000-00005B030000}"/>
    <hyperlink ref="A1359" r:id="rId861" xr:uid="{00000000-0004-0000-0000-00005C030000}"/>
    <hyperlink ref="A1566" r:id="rId862" xr:uid="{00000000-0004-0000-0000-00005D030000}"/>
    <hyperlink ref="A1471" r:id="rId863" xr:uid="{00000000-0004-0000-0000-00005E030000}"/>
    <hyperlink ref="A1428" r:id="rId864" xr:uid="{00000000-0004-0000-0000-00005F030000}"/>
    <hyperlink ref="A1522" r:id="rId865" xr:uid="{00000000-0004-0000-0000-000060030000}"/>
    <hyperlink ref="A1430" r:id="rId866" xr:uid="{00000000-0004-0000-0000-000061030000}"/>
    <hyperlink ref="A1360" r:id="rId867" xr:uid="{00000000-0004-0000-0000-000062030000}"/>
    <hyperlink ref="A1474" r:id="rId868" xr:uid="{00000000-0004-0000-0000-000063030000}"/>
    <hyperlink ref="A1475" r:id="rId869" xr:uid="{00000000-0004-0000-0000-000064030000}"/>
    <hyperlink ref="A1431" r:id="rId870" xr:uid="{00000000-0004-0000-0000-000065030000}"/>
    <hyperlink ref="A1524" r:id="rId871" xr:uid="{00000000-0004-0000-0000-000066030000}"/>
    <hyperlink ref="A1476" r:id="rId872" xr:uid="{00000000-0004-0000-0000-000067030000}"/>
    <hyperlink ref="A1361" r:id="rId873" xr:uid="{00000000-0004-0000-0000-000068030000}"/>
    <hyperlink ref="A1432" r:id="rId874" xr:uid="{00000000-0004-0000-0000-000069030000}"/>
    <hyperlink ref="A1477" r:id="rId875" xr:uid="{00000000-0004-0000-0000-00006A030000}"/>
    <hyperlink ref="A1525" r:id="rId876" xr:uid="{00000000-0004-0000-0000-00006B030000}"/>
    <hyperlink ref="A1478" r:id="rId877" xr:uid="{00000000-0004-0000-0000-00006C030000}"/>
    <hyperlink ref="A1434" r:id="rId878" xr:uid="{00000000-0004-0000-0000-00006D030000}"/>
    <hyperlink ref="A1573" r:id="rId879" xr:uid="{00000000-0004-0000-0000-00006E030000}"/>
    <hyperlink ref="A1296" r:id="rId880" xr:uid="{00000000-0004-0000-0000-00006F030000}"/>
    <hyperlink ref="A1363" r:id="rId881" xr:uid="{00000000-0004-0000-0000-000070030000}"/>
    <hyperlink ref="A1659" r:id="rId882" xr:uid="{00000000-0004-0000-0000-000071030000}"/>
    <hyperlink ref="A1479" r:id="rId883" xr:uid="{00000000-0004-0000-0000-000072030000}"/>
    <hyperlink ref="A1528" r:id="rId884" xr:uid="{00000000-0004-0000-0000-000073030000}"/>
    <hyperlink ref="A1617" r:id="rId885" xr:uid="{00000000-0004-0000-0000-000074030000}"/>
    <hyperlink ref="A1618" r:id="rId886" xr:uid="{00000000-0004-0000-0000-000075030000}"/>
    <hyperlink ref="A1480" r:id="rId887" xr:uid="{00000000-0004-0000-0000-000076030000}"/>
    <hyperlink ref="A1435" r:id="rId888" xr:uid="{00000000-0004-0000-0000-000077030000}"/>
    <hyperlink ref="A1436" r:id="rId889" xr:uid="{00000000-0004-0000-0000-000078030000}"/>
    <hyperlink ref="A1481" r:id="rId890" xr:uid="{00000000-0004-0000-0000-000079030000}"/>
    <hyperlink ref="A1367" r:id="rId891" xr:uid="{00000000-0004-0000-0000-00007A030000}"/>
    <hyperlink ref="A1533" r:id="rId892" xr:uid="{00000000-0004-0000-0000-00007B030000}"/>
    <hyperlink ref="A1661" r:id="rId893" xr:uid="{00000000-0004-0000-0000-00007C030000}"/>
    <hyperlink ref="A1369" r:id="rId894" xr:uid="{00000000-0004-0000-0000-00007D030000}"/>
    <hyperlink ref="A1483" r:id="rId895" xr:uid="{00000000-0004-0000-0000-00007E030000}"/>
    <hyperlink ref="A1437" r:id="rId896" xr:uid="{00000000-0004-0000-0000-00007F030000}"/>
    <hyperlink ref="A1581" r:id="rId897" xr:uid="{00000000-0004-0000-0000-000080030000}"/>
    <hyperlink ref="A1438" r:id="rId898" xr:uid="{00000000-0004-0000-0000-000081030000}"/>
    <hyperlink ref="A1582" r:id="rId899" xr:uid="{00000000-0004-0000-0000-000082030000}"/>
    <hyperlink ref="A1663" r:id="rId900" xr:uid="{00000000-0004-0000-0000-000083030000}"/>
    <hyperlink ref="A1371" r:id="rId901" xr:uid="{00000000-0004-0000-0000-000084030000}"/>
    <hyperlink ref="A1487" r:id="rId902" xr:uid="{00000000-0004-0000-0000-000085030000}"/>
    <hyperlink ref="A1488" r:id="rId903" xr:uid="{00000000-0004-0000-0000-000086030000}"/>
    <hyperlink ref="A1539" r:id="rId904" xr:uid="{00000000-0004-0000-0000-000087030000}"/>
    <hyperlink ref="A1439" r:id="rId905" xr:uid="{00000000-0004-0000-0000-000088030000}"/>
    <hyperlink ref="A1489" r:id="rId906" xr:uid="{00000000-0004-0000-0000-000089030000}"/>
    <hyperlink ref="A1667" r:id="rId907" xr:uid="{00000000-0004-0000-0000-00008A030000}"/>
    <hyperlink ref="A1542" r:id="rId908" xr:uid="{00000000-0004-0000-0000-00008B030000}"/>
    <hyperlink ref="A1543" r:id="rId909" xr:uid="{00000000-0004-0000-0000-00008C030000}"/>
    <hyperlink ref="A1630" r:id="rId910" xr:uid="{00000000-0004-0000-0000-00008D030000}"/>
    <hyperlink ref="A1631" r:id="rId911" xr:uid="{00000000-0004-0000-0000-00008E030000}"/>
    <hyperlink ref="A1490" r:id="rId912" xr:uid="{00000000-0004-0000-0000-00008F030000}"/>
    <hyperlink ref="A1699" r:id="rId913" xr:uid="{00000000-0004-0000-0000-000090030000}"/>
    <hyperlink ref="A1591" r:id="rId914" xr:uid="{00000000-0004-0000-0000-000091030000}"/>
    <hyperlink ref="A1700" r:id="rId915" xr:uid="{00000000-0004-0000-0000-000092030000}"/>
    <hyperlink ref="A1669" r:id="rId916" xr:uid="{00000000-0004-0000-0000-000093030000}"/>
    <hyperlink ref="A1636" r:id="rId917" xr:uid="{00000000-0004-0000-0000-000094030000}"/>
    <hyperlink ref="A1672" r:id="rId918" xr:uid="{00000000-0004-0000-0000-000095030000}"/>
    <hyperlink ref="A1492" r:id="rId919" xr:uid="{00000000-0004-0000-0000-000096030000}"/>
    <hyperlink ref="A1596" r:id="rId920" xr:uid="{00000000-0004-0000-0000-000097030000}"/>
    <hyperlink ref="A1674" r:id="rId921" xr:uid="{00000000-0004-0000-0000-000098030000}"/>
    <hyperlink ref="A1643" r:id="rId922" xr:uid="{00000000-0004-0000-0000-000099030000}"/>
    <hyperlink ref="A1549" r:id="rId923" xr:uid="{00000000-0004-0000-0000-00009A030000}"/>
    <hyperlink ref="A1681" r:id="rId924" xr:uid="{00000000-0004-0000-0000-00009B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Charles-Alexis</dc:creator>
  <cp:lastModifiedBy>Charles-Alexis Lavoie</cp:lastModifiedBy>
  <dcterms:created xsi:type="dcterms:W3CDTF">2023-11-08T00:41:10Z</dcterms:created>
  <dcterms:modified xsi:type="dcterms:W3CDTF">2023-11-09T18:45:40Z</dcterms:modified>
</cp:coreProperties>
</file>