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firstSheet="1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V249" i="4" l="1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K1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7" i="7"/>
  <c r="E474" i="7"/>
  <c r="E469" i="7"/>
  <c r="E468" i="7"/>
  <c r="E470" i="7"/>
  <c r="E471" i="7"/>
  <c r="E475" i="7"/>
  <c r="E483" i="7"/>
  <c r="E484" i="7"/>
  <c r="E988" i="7"/>
  <c r="E32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70" i="7"/>
  <c r="F471" i="7"/>
  <c r="F475" i="7"/>
  <c r="F487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K1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D470" i="7"/>
  <c r="C470" i="7"/>
  <c r="I470" i="7"/>
  <c r="I469" i="7"/>
  <c r="I471" i="7"/>
  <c r="D474" i="7"/>
  <c r="F474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1" i="7"/>
  <c r="D450" i="7"/>
  <c r="D452" i="7"/>
  <c r="D453" i="7"/>
  <c r="D455" i="7"/>
  <c r="D460" i="7"/>
  <c r="D461" i="7"/>
  <c r="D459" i="7"/>
  <c r="D462" i="7"/>
  <c r="BW463" i="3"/>
  <c r="D463" i="7"/>
  <c r="D464" i="7"/>
  <c r="BW472" i="3"/>
  <c r="D472" i="7"/>
  <c r="D469" i="7"/>
  <c r="D471" i="7"/>
  <c r="D473" i="7"/>
  <c r="D478" i="7"/>
  <c r="D480" i="7"/>
  <c r="D482" i="7"/>
  <c r="D487" i="7"/>
  <c r="D489" i="7"/>
  <c r="BW490" i="3"/>
  <c r="D490" i="7"/>
  <c r="D491" i="7"/>
  <c r="D496" i="7"/>
  <c r="D498" i="7"/>
  <c r="D500" i="7"/>
  <c r="E1038" i="7"/>
  <c r="D456" i="7"/>
  <c r="D457" i="7"/>
  <c r="D483" i="7"/>
  <c r="D484" i="7"/>
  <c r="D465" i="7"/>
  <c r="D466" i="7"/>
  <c r="D492" i="7"/>
  <c r="D493" i="7"/>
  <c r="D475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C483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F340" i="7"/>
  <c r="F343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BY589" i="3"/>
  <c r="F589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BW354" i="3"/>
  <c r="D354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2" i="7"/>
  <c r="E343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2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77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C564" i="7"/>
  <c r="BV565" i="3"/>
  <c r="C565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BV589" i="3"/>
  <c r="C589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7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D32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31" i="7"/>
  <c r="F811" i="7"/>
  <c r="K811" i="7"/>
  <c r="E779" i="7"/>
  <c r="E31" i="7"/>
  <c r="E811" i="7"/>
  <c r="J811" i="7"/>
  <c r="E490" i="7"/>
  <c r="D31" i="7"/>
  <c r="D811" i="7"/>
  <c r="I811" i="7"/>
  <c r="C486" i="7"/>
  <c r="C779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893" i="3"/>
  <c r="BF894" i="3"/>
  <c r="BF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824" i="3"/>
  <c r="BF825" i="3"/>
  <c r="BF827" i="3"/>
  <c r="BF826" i="3"/>
  <c r="BF670" i="3"/>
  <c r="BF890" i="3"/>
  <c r="BF673" i="3"/>
  <c r="BF891" i="3"/>
  <c r="BF676" i="3"/>
  <c r="BF892" i="3"/>
  <c r="BF896" i="3"/>
  <c r="BF897" i="3"/>
  <c r="BF898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E344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<sst xmlns="http://schemas.openxmlformats.org/spreadsheetml/2006/main" count="4095" uniqueCount="823">
  <si>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</si>
  <si>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</si>
  <si>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</si>
  <si>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</si>
  <si>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</si>
  <si>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</si>
  <si>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</si>
  <si>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</si>
  <si>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</si>
  <si>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</si>
  <si>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</si>
  <si>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</si>
  <si>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</si>
  <si>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</si>
  <si>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</si>
  <si>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</si>
  <si>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</si>
  <si>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</si>
  <si>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</si>
  <si>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</si>
  <si>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</si>
  <si>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</si>
  <si>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</si>
  <si>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</si>
  <si>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</si>
  <si>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</si>
  <si>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</si>
  <si>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</si>
  <si>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</si>
  <si>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</si>
  <si>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</si>
  <si>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</si>
  <si>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</si>
  <si>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</si>
  <si>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</si>
  <si>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</si>
  <si>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</si>
  <si>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</si>
  <si>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</si>
  <si>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</si>
  <si>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</si>
  <si>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</si>
  <si>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</si>
  <si>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</si>
  <si>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</si>
  <si>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</si>
  <si>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</si>
  <si>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</si>
  <si>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</si>
  <si>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</si>
  <si>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</si>
  <si>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</si>
  <si>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</si>
  <si>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</si>
  <si>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</si>
  <si>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</si>
  <si>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</si>
  <si>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</si>
  <si>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</si>
  <si>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</si>
  <si>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</si>
  <si>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</si>
  <si>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</si>
  <si>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</si>
  <si>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</si>
  <si>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</si>
  <si>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</si>
  <si>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</si>
  <si>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</si>
  <si>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</si>
  <si>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</si>
  <si>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</si>
  <si>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</si>
  <si>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</si>
  <si>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</si>
  <si>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</si>
  <si>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</si>
  <si>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</si>
  <si>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</si>
  <si>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</si>
  <si>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</si>
  <si>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</si>
  <si>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</si>
  <si>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</si>
  <si>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</si>
  <si>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</si>
  <si>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</si>
  <si>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</si>
  <si>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</si>
  <si>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</si>
  <si>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</si>
  <si>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</si>
  <si>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</si>
  <si>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</si>
  <si>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</si>
  <si>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</si>
  <si>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</si>
  <si>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</si>
  <si>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</si>
  <si>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</si>
  <si>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</si>
  <si>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</si>
  <si>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</si>
  <si>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</si>
  <si>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</si>
  <si>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</si>
  <si>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</si>
  <si>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</si>
  <si>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</si>
  <si>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</si>
  <si>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</si>
  <si>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</si>
  <si>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</si>
  <si>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</si>
  <si>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</si>
  <si>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</si>
  <si>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</si>
  <si>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</si>
  <si>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</si>
  <si>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</si>
  <si>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</si>
  <si>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</si>
  <si>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</si>
  <si>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</si>
  <si>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</si>
  <si>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</si>
  <si>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</si>
  <si>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</si>
  <si>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</si>
  <si>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</si>
  <si>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</si>
  <si>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</si>
  <si>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</si>
  <si>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</si>
  <si>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</si>
  <si>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</si>
  <si>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</si>
  <si>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</si>
  <si>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</si>
  <si>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</si>
  <si>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</si>
  <si>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</si>
  <si>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</si>
  <si>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</si>
  <si>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</si>
  <si>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</si>
  <si>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</si>
  <si>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</si>
  <si>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</si>
  <si>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</si>
  <si>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</si>
  <si>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</si>
  <si>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</si>
  <si>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</si>
  <si>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</si>
  <si>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</si>
  <si>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</si>
  <si>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</si>
  <si>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</si>
  <si>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</si>
  <si>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</si>
  <si>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</si>
  <si>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</si>
  <si>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</si>
  <si>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</si>
  <si>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</si>
  <si>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</si>
  <si>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</si>
  <si>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</si>
  <si>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</si>
  <si>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</si>
  <si>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</si>
  <si>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</si>
  <si>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</si>
  <si>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</si>
  <si>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</si>
  <si>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</si>
  <si>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</si>
  <si>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</si>
  <si>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</si>
  <si>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</si>
  <si>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</si>
  <si>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</si>
  <si>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</si>
  <si>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</si>
  <si>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</si>
  <si>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</si>
  <si>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</si>
  <si>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</si>
  <si>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</si>
  <si>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</si>
  <si>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</si>
  <si>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</si>
  <si>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</si>
  <si>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</si>
  <si>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</si>
  <si>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</si>
  <si>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</si>
  <si>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</si>
  <si>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</si>
  <si>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</si>
  <si>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</si>
  <si>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</si>
  <si>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</si>
  <si>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</si>
  <si>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</si>
  <si>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</si>
  <si>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</si>
  <si>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</si>
  <si>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</si>
  <si>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</si>
  <si>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</si>
  <si>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</si>
  <si>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</si>
  <si>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</si>
  <si>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</si>
  <si>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</si>
  <si>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</si>
  <si>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</si>
  <si>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</si>
  <si>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</si>
  <si>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</si>
  <si>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</si>
  <si>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</si>
  <si>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</si>
  <si>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</si>
  <si>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</si>
  <si>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</si>
  <si>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</si>
  <si>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</si>
  <si>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</si>
  <si>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</si>
  <si>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</si>
  <si>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</si>
  <si>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</si>
  <si>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</si>
  <si>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</si>
  <si>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</si>
  <si>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</si>
  <si>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</si>
  <si>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</si>
  <si>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</si>
  <si>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</si>
  <si>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</si>
  <si>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</si>
  <si>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</si>
  <si>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</si>
  <si>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</si>
  <si>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</si>
  <si>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</si>
  <si>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</si>
  <si>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</si>
  <si>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</si>
  <si>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</si>
  <si>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</si>
  <si>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</si>
  <si>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</si>
  <si>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</si>
  <si>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</si>
  <si>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</si>
  <si>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</si>
  <si>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</si>
  <si>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</si>
  <si>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</si>
  <si>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</si>
  <si>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</si>
  <si>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</si>
  <si>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</si>
  <si>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</si>
  <si>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</si>
  <si>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</si>
  <si>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</si>
  <si>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</si>
  <si>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</si>
  <si>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</si>
  <si>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</si>
  <si>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</si>
  <si>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</si>
  <si>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</si>
  <si>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</si>
  <si>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</si>
  <si>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</si>
  <si>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</si>
  <si>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</si>
  <si>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</si>
  <si>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</si>
  <si>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</si>
  <si>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</si>
  <si>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</si>
  <si>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</si>
  <si>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</si>
  <si>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</si>
  <si>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</si>
  <si>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</si>
  <si>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</si>
  <si>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</si>
  <si>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</si>
  <si>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</si>
  <si>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</si>
  <si>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</si>
  <si>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</si>
  <si>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</si>
  <si>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</si>
  <si>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</si>
  <si>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</si>
  <si>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</si>
  <si>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</si>
  <si>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</si>
  <si>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</si>
  <si>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</si>
  <si>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</si>
  <si>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</si>
  <si>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</si>
  <si>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</si>
  <si>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</si>
  <si>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</si>
  <si>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</si>
  <si>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</si>
  <si>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</si>
  <si>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</si>
  <si>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</si>
  <si>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</si>
  <si>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</si>
  <si>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</si>
  <si>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</si>
  <si>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</si>
  <si>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</si>
  <si>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</si>
  <si>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</si>
  <si>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</si>
  <si>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</si>
  <si>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</si>
  <si>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</si>
  <si>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</si>
  <si>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</si>
  <si>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</si>
  <si>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</si>
  <si>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</si>
  <si>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</si>
  <si>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</si>
  <si>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</si>
  <si>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</si>
  <si>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</si>
  <si>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</si>
  <si>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</si>
  <si>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</si>
  <si>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</si>
  <si>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</si>
  <si>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</si>
  <si>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</si>
  <si>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</si>
  <si>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</si>
  <si>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</si>
  <si>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</si>
  <si>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</si>
  <si>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</si>
  <si>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</si>
  <si>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</si>
  <si>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</si>
  <si>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</si>
  <si>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</si>
  <si>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</si>
  <si>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</si>
  <si>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</si>
  <si>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</si>
  <si>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</si>
  <si>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</si>
  <si>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</si>
  <si>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</si>
  <si>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</si>
  <si>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</si>
  <si>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</si>
  <si>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</si>
  <si>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</si>
  <si>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</si>
  <si>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</si>
  <si>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</si>
  <si>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</si>
  <si>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</si>
  <si>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</si>
  <si>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</si>
  <si>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</si>
  <si>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</si>
  <si>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</si>
  <si>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</si>
  <si>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</si>
  <si>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</si>
  <si>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</si>
  <si>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</si>
  <si>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</si>
  <si>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</si>
  <si>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</si>
  <si>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</si>
  <si>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</si>
  <si>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</si>
  <si>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</si>
  <si>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</si>
  <si>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</si>
  <si>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</si>
  <si>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</si>
  <si>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</si>
  <si>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</si>
  <si>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</si>
  <si>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</si>
  <si>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</si>
  <si>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</si>
  <si>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</si>
  <si>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</si>
  <si>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</si>
  <si>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</si>
  <si>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</si>
  <si>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</si>
  <si>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</si>
  <si>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</si>
  <si>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</si>
  <si>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</si>
  <si>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</si>
  <si>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</si>
  <si>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</si>
  <si>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</si>
  <si>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</si>
  <si>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</si>
  <si>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</si>
  <si>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</si>
  <si>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</si>
  <si>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</si>
  <si>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</si>
  <si>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</si>
  <si>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</si>
  <si>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</si>
  <si>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</si>
  <si>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</si>
  <si>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</si>
  <si>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</si>
  <si>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</si>
  <si>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</si>
  <si>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</si>
  <si>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</si>
  <si>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</si>
  <si>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</si>
  <si>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</si>
  <si>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</si>
  <si>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</si>
  <si>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</si>
  <si>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</si>
  <si>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</si>
  <si>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</si>
  <si>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</si>
  <si>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</si>
  <si>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</si>
  <si>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</si>
  <si>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</si>
  <si>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</si>
  <si>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</si>
  <si>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</si>
  <si>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</si>
  <si>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</si>
  <si>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</si>
  <si>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</si>
  <si>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</si>
  <si>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</si>
  <si>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</si>
  <si>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</si>
  <si>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</si>
  <si>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</si>
  <si>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</si>
  <si>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</si>
  <si>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</si>
  <si>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</si>
  <si>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</si>
  <si>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</si>
  <si>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</si>
  <si>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</si>
  <si>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</si>
  <si>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</si>
  <si>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</si>
  <si>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</si>
  <si>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</si>
  <si>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</si>
  <si>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</si>
  <si>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</si>
  <si>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</si>
  <si>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</si>
  <si>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</si>
  <si>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</si>
  <si>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</si>
  <si>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</si>
  <si>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</si>
  <si>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</si>
  <si>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</si>
  <si>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</si>
  <si>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</si>
  <si>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</si>
  <si>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</si>
  <si>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</si>
  <si>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</si>
  <si>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</si>
  <si>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</si>
  <si>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</si>
  <si>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</si>
  <si>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</si>
  <si>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</si>
  <si>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</si>
  <si>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</si>
  <si>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</si>
  <si>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</si>
  <si>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</si>
  <si>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</si>
  <si>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</si>
  <si>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</si>
  <si>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</si>
  <si>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</si>
  <si>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</si>
  <si>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</si>
  <si>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</si>
  <si>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</si>
  <si>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</si>
  <si>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</si>
  <si>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</si>
  <si>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</si>
  <si>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</si>
  <si>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</si>
  <si>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</si>
  <si>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</si>
  <si>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</si>
  <si>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</si>
  <si>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</si>
  <si>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</si>
  <si>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</si>
  <si>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</si>
  <si>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</si>
  <si>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</si>
  <si>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</si>
  <si>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</si>
  <si>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</si>
  <si>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</si>
  <si>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</si>
  <si>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</si>
  <si>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</si>
  <si>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</si>
  <si>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</si>
  <si>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</si>
  <si>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</si>
  <si>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</si>
  <si>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</si>
  <si>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</si>
  <si>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</si>
  <si>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</si>
  <si>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</si>
  <si>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</si>
  <si>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</si>
  <si>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</si>
  <si>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</si>
  <si>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</si>
  <si>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</si>
  <si>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</si>
  <si>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</si>
  <si>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</si>
  <si>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</si>
  <si>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</si>
  <si>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</si>
  <si>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</si>
  <si>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</si>
  <si>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</si>
  <si>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</si>
  <si>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</si>
  <si>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</si>
  <si>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</si>
  <si>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</si>
  <si>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</si>
  <si>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</si>
  <si>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</si>
  <si>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</si>
  <si>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</si>
  <si>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</si>
  <si>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</si>
  <si>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</si>
  <si>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</si>
  <si>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</si>
  <si>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</si>
  <si>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</si>
  <si>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</si>
  <si>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</si>
  <si>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</si>
  <si>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</si>
  <si>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</si>
  <si>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</si>
  <si>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</si>
  <si>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</si>
  <si>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</si>
  <si>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</si>
  <si>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</si>
  <si>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</si>
  <si>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</si>
  <si>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</si>
  <si>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</si>
  <si>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</si>
  <si>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</si>
  <si>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</si>
  <si>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</si>
  <si>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</si>
  <si>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</si>
  <si>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</si>
  <si>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</si>
  <si>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</si>
  <si>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</si>
  <si>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</si>
  <si>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</si>
  <si>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</si>
  <si>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</si>
  <si>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</si>
  <si>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</si>
  <si>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</si>
  <si>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</si>
  <si>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</si>
  <si>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</si>
  <si>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</si>
  <si>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</si>
  <si>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</si>
  <si>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</si>
  <si>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</si>
  <si>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</si>
  <si>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</si>
  <si>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</si>
  <si>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</si>
  <si>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</si>
  <si>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</si>
  <si>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</si>
  <si>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</si>
  <si>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</si>
  <si>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</si>
  <si>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</si>
  <si>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</si>
  <si>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</si>
  <si>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</si>
  <si>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</si>
  <si>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</si>
  <si>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</si>
  <si>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</si>
  <si>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</si>
  <si>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</si>
  <si>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</si>
  <si>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</si>
  <si>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</si>
  <si>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</si>
  <si>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</si>
  <si>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</si>
  <si>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</si>
  <si>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</si>
  <si>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</si>
  <si>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</si>
  <si>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</si>
  <si>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</si>
  <si>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</si>
  <si>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</si>
  <si>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</si>
  <si>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</si>
  <si>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</si>
  <si>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</si>
  <si>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</si>
  <si>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</si>
  <si>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</si>
  <si>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</si>
  <si>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</si>
  <si>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</si>
  <si>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</si>
  <si>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</si>
  <si>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</si>
  <si>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</si>
  <si>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</si>
  <si>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</si>
  <si>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</si>
  <si>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</si>
  <si>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</si>
  <si>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</si>
  <si>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</si>
  <si>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</si>
  <si>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</si>
  <si>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</si>
  <si>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</si>
  <si>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</si>
  <si>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</si>
  <si>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</si>
  <si>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</si>
  <si>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</si>
  <si>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</si>
  <si>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</si>
  <si>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</si>
  <si>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</si>
  <si>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</si>
  <si>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</si>
  <si>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</si>
  <si>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</si>
  <si>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</si>
  <si>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</si>
  <si>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</si>
  <si>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</si>
  <si>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</si>
  <si>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</si>
  <si>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</si>
  <si>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</si>
  <si>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</si>
  <si>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</si>
  <si>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</si>
  <si>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</si>
  <si>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</si>
  <si>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</si>
  <si>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</si>
  <si>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</si>
  <si>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</si>
  <si>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</si>
  <si>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</si>
  <si>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</si>
  <si>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</si>
  <si>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</si>
  <si>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</si>
  <si>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</si>
  <si>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</si>
  <si>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</si>
  <si>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</si>
  <si>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</si>
  <si>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</si>
  <si>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</si>
  <si>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</si>
  <si>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</si>
  <si>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</si>
  <si>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</si>
  <si>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</si>
  <si>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</si>
  <si>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</si>
  <si>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</si>
  <si>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</si>
  <si>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</si>
  <si>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</si>
  <si>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</si>
  <si>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</si>
  <si>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</si>
  <si>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</si>
  <si>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</si>
  <si>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</si>
  <si>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</si>
  <si>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</si>
  <si>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</si>
  <si>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</si>
  <si>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</si>
  <si>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</si>
  <si>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</si>
  <si>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</si>
  <si>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</si>
  <si>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</si>
  <si>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</si>
  <si>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</si>
  <si>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</si>
  <si>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</si>
  <si>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</si>
  <si>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</si>
  <si>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</si>
  <si>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</si>
  <si>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</si>
  <si>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</si>
  <si>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</si>
  <si>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</si>
  <si>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</si>
  <si>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</si>
  <si>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</si>
  <si>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</si>
  <si>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</si>
  <si>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</si>
  <si>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</si>
  <si>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</si>
  <si>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</si>
  <si>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</si>
  <si>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</si>
  <si>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</si>
  <si>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</si>
  <si>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</si>
  <si>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</si>
  <si>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</si>
  <si>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</si>
  <si>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</si>
  <si>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</si>
  <si>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</si>
  <si>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</si>
  <si>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</si>
  <si>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</si>
  <si>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</si>
  <si>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</si>
  <si>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</si>
  <si>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</si>
  <si>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</si>
  <si>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</si>
  <si>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</si>
  <si>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</si>
  <si>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</si>
  <si>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</si>
  <si>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airtime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</si>
  <si>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</si>
  <si>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</si>
  <si>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</si>
  <si>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</si>
  <si>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</si>
  <si>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</si>
  <si>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</si>
  <si>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</si>
  <si>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</si>
  <si>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</si>
  <si>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</si>
  <si>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</si>
  <si>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</si>
  <si>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</si>
  <si>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</si>
  <si>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</si>
  <si>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</si>
  <si>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</si>
  <si>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</si>
  <si>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</si>
  <si>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</si>
  <si>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</si>
  <si>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</si>
  <si>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</si>
  <si>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</si>
  <si>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m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</si>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</sst>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1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15055096"/>
        <c:axId val="1915370648"/>
      </c:lineChart>
      <c:catAx>
        <c:axId val="2015055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15370648"/>
        <c:crosses val="autoZero"/>
        <c:auto val="1"/>
        <c:lblAlgn val="ctr"/>
        <c:lblOffset val="100"/>
        <c:noMultiLvlLbl val="1"/>
      </c:catAx>
      <c:valAx>
        <c:axId val="19153706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50550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69023816"/>
        <c:axId val="1839962696"/>
      </c:lineChart>
      <c:catAx>
        <c:axId val="1869023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39962696"/>
        <c:crosses val="autoZero"/>
        <c:auto val="1"/>
        <c:lblAlgn val="ctr"/>
        <c:lblOffset val="100"/>
        <c:noMultiLvlLbl val="1"/>
      </c:catAx>
      <c:valAx>
        <c:axId val="18399626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6902381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13937640"/>
        <c:axId val="1868944520"/>
      </c:barChart>
      <c:catAx>
        <c:axId val="201393764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68944520"/>
        <c:crosses val="autoZero"/>
        <c:auto val="1"/>
        <c:lblAlgn val="ctr"/>
        <c:lblOffset val="100"/>
        <c:noMultiLvlLbl val="1"/>
      </c:catAx>
      <c:valAx>
        <c:axId val="18689445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39376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0.0591457191780822</c:v>
                </c:pt>
                <c:pt idx="2">
                  <c:v>0.0552026712328767</c:v>
                </c:pt>
                <c:pt idx="3">
                  <c:v>0.454239123287671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0.0593074636778746</c:v>
                </c:pt>
                <c:pt idx="1">
                  <c:v>0.022099202988792</c:v>
                </c:pt>
                <c:pt idx="2">
                  <c:v>0.0240348692403487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0.619655057409713</c:v>
                </c:pt>
                <c:pt idx="2">
                  <c:v>0.583700821917808</c:v>
                </c:pt>
                <c:pt idx="3">
                  <c:v>0.676603564632628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0.296004604109589</c:v>
                </c:pt>
                <c:pt idx="2">
                  <c:v>0.42771098505604</c:v>
                </c:pt>
                <c:pt idx="3">
                  <c:v>0.171141159272727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0.0595238095238095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1890136"/>
        <c:axId val="2021893512"/>
      </c:barChart>
      <c:catAx>
        <c:axId val="202189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3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1893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1890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027272"/>
        <c:axId val="2023270904"/>
      </c:barChart>
      <c:catAx>
        <c:axId val="2023027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3270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3270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30272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120800.0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87600.0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91600.0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-162536.8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6417368"/>
        <c:axId val="-1981131784"/>
      </c:barChart>
      <c:catAx>
        <c:axId val="197641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1317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11317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7641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6000.0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626824"/>
        <c:axId val="2023619800"/>
      </c:barChart>
      <c:catAx>
        <c:axId val="1986626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361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361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626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6840.0</c:v>
                </c:pt>
                <c:pt idx="1">
                  <c:v>9612.0</c:v>
                </c:pt>
                <c:pt idx="2">
                  <c:v>7920.0</c:v>
                </c:pt>
                <c:pt idx="3">
                  <c:v>8390.0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12756.0</c:v>
                </c:pt>
                <c:pt idx="3">
                  <c:v>8836.799999999999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20.0</c:v>
                </c:pt>
                <c:pt idx="2">
                  <c:v>300.0</c:v>
                </c:pt>
                <c:pt idx="3">
                  <c:v>9900.0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800.0</c:v>
                </c:pt>
                <c:pt idx="2">
                  <c:v>480.0</c:v>
                </c:pt>
                <c:pt idx="3">
                  <c:v>120800.0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1800.0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1440.0</c:v>
                </c:pt>
                <c:pt idx="2">
                  <c:v>0.0</c:v>
                </c:pt>
                <c:pt idx="3">
                  <c:v>25000.0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78.0</c:v>
                </c:pt>
                <c:pt idx="1">
                  <c:v>1260.0</c:v>
                </c:pt>
                <c:pt idx="2">
                  <c:v>9600.0</c:v>
                </c:pt>
                <c:pt idx="3">
                  <c:v>87600.0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5348.0</c:v>
                </c:pt>
                <c:pt idx="2">
                  <c:v>0.0</c:v>
                </c:pt>
                <c:pt idx="3">
                  <c:v>91600.0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11340.0</c:v>
                </c:pt>
                <c:pt idx="1">
                  <c:v>4016.0</c:v>
                </c:pt>
                <c:pt idx="2">
                  <c:v>62084.0</c:v>
                </c:pt>
                <c:pt idx="3">
                  <c:v>-162536.8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8539496"/>
        <c:axId val="2022483400"/>
      </c:barChart>
      <c:catAx>
        <c:axId val="183853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2248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2248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3853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60" zoomScaleNormal="60" zoomScalePageLayoutView="6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790</v>
      </c>
      <c r="D4" s="67" t="s">
        <v>796</v>
      </c>
      <c r="E4" s="67" t="s">
        <v>796</v>
      </c>
      <c r="F4" s="68" t="s">
        <v>796</v>
      </c>
      <c r="G4" s="67" t="s">
        <v>800</v>
      </c>
      <c r="H4" s="67" t="s">
        <v>790</v>
      </c>
      <c r="I4" s="67" t="s">
        <v>796</v>
      </c>
      <c r="J4" s="67" t="s">
        <v>790</v>
      </c>
      <c r="K4" s="67" t="s">
        <v>796</v>
      </c>
      <c r="L4" s="67" t="s">
        <v>806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797</v>
      </c>
      <c r="E5" s="81" t="s">
        <v>798</v>
      </c>
      <c r="F5" s="81" t="s">
        <v>799</v>
      </c>
      <c r="G5" s="81" t="s">
        <v>801</v>
      </c>
      <c r="H5" s="81" t="s">
        <v>804</v>
      </c>
      <c r="I5" s="81" t="s">
        <v>802</v>
      </c>
      <c r="J5" s="81" t="s">
        <v>803</v>
      </c>
      <c r="K5" s="81" t="s">
        <v>805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8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731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665</v>
      </c>
      <c r="O320" s="781" t="s">
        <v>666</v>
      </c>
      <c r="P320" s="781" t="s">
        <v>667</v>
      </c>
      <c r="Q320" s="782" t="s">
        <v>668</v>
      </c>
      <c r="R320" s="781" t="s">
        <v>669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670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671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672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673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674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675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626" activePane="bottomRight" state="frozen"/>
      <selection pane="topRight" activeCell="AU1" sqref="AU1"/>
      <selection pane="bottomLeft" activeCell="A419" sqref="A419"/>
      <selection pane="bottomRight" activeCell="BX640" sqref="BX640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704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786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822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'Poor'</v>
      </c>
      <c r="CE5" s="818"/>
      <c r="CF5" s="829" t="str">
        <f>IF(UPPER($CG$4)=UPPER($BZ$4),$BV$4,IF(UPPER($CG$4)=UPPER($CA$4),$BW$4,IF(UPPER($CG$4)=UPPER($CB$4),$BX$4,$BY$4)))</f>
        <v>'Poor'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0.46871858259550492</v>
      </c>
      <c r="BG10" s="865">
        <f t="shared" si="7"/>
        <v>1.2675645623910337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1.003064720847088</v>
      </c>
      <c r="BW10" s="865">
        <f>SUM(BW11:BW19)</f>
        <v>1.056428393209986</v>
      </c>
      <c r="BX10" s="865">
        <f>SUM(BX11:BX19)</f>
        <v>1.1700144268121526</v>
      </c>
      <c r="BY10" s="865">
        <f>SUM(BY11:BY19)</f>
        <v>1.3114341273922787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0.17981106360694224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0.48012811158156909</v>
      </c>
      <c r="CM10" s="871">
        <f t="shared" si="12"/>
        <v>0.55362856368143276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70">
        <f t="shared" si="13"/>
        <v>0.72319965472632397</v>
      </c>
      <c r="CP10" s="870">
        <f t="shared" si="13"/>
        <v>0.7504043872976337</v>
      </c>
      <c r="CQ10" s="869">
        <f t="shared" si="13"/>
        <v>0.77303834759532719</v>
      </c>
      <c r="CR10" s="1487">
        <f t="shared" si="13"/>
        <v>0.95830106419083205</v>
      </c>
      <c r="CS10" s="1487">
        <f t="shared" si="13"/>
        <v>0.97623638853788086</v>
      </c>
      <c r="CT10" s="872">
        <f t="shared" si="13"/>
        <v>1.0171842883314552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0.46871858259550492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1.2675645623910337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682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5.9145719178082187E-2</v>
      </c>
      <c r="BX11" s="880">
        <f>SUM(BX832:BX835,BX838:BX841,BX844)</f>
        <v>5.5202671232876706E-2</v>
      </c>
      <c r="BY11" s="880">
        <f>SUM(BY832:BY835,BY838:BY841,BY844)</f>
        <v>0.45423912328767113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1.8926630136986301E-2</v>
      </c>
      <c r="CR11" s="1487">
        <f t="shared" si="13"/>
        <v>2.9572859589041094E-2</v>
      </c>
      <c r="CS11" s="1487">
        <f t="shared" si="13"/>
        <v>3.379755381604696E-2</v>
      </c>
      <c r="CT11" s="872">
        <f t="shared" si="13"/>
        <v>0.11829143835616435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683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0</v>
      </c>
      <c r="BG12" s="880">
        <f t="shared" si="23"/>
        <v>0.1614078891656289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5.930746367787465E-2</v>
      </c>
      <c r="BW12" s="880">
        <f>SUM(BW830:BW831,BW836:BW837,BW842:BW843,BW845:BW849)</f>
        <v>2.2099202988792029E-2</v>
      </c>
      <c r="BX12" s="880">
        <f>SUM(BX830:BX831,BX836:BX837,BX842:BX843,BX845:BX849)</f>
        <v>2.4034869240348693E-2</v>
      </c>
      <c r="BY12" s="880">
        <f>SUM(BY830:BY831,BY836:BY837,BY842:BY843,BY845:BY849)</f>
        <v>0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1.0726771274387708E-2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4.7169933063511839E-2</v>
      </c>
      <c r="CR12" s="1487">
        <f t="shared" si="13"/>
        <v>5.3534207970112088E-2</v>
      </c>
      <c r="CS12" s="1487">
        <f t="shared" si="13"/>
        <v>7.0993484255470557E-2</v>
      </c>
      <c r="CT12" s="872">
        <f t="shared" si="13"/>
        <v>0.10275821917808219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0</v>
      </c>
      <c r="DJ12" s="874">
        <f t="shared" si="15"/>
        <v>0.16090156911581566</v>
      </c>
      <c r="DK12" s="873">
        <f t="shared" si="15"/>
        <v>0.1614078891656289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0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684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0.61965505740971338</v>
      </c>
      <c r="BX16" s="880">
        <f t="shared" si="45"/>
        <v>0.58370082191780814</v>
      </c>
      <c r="BY16" s="880">
        <f t="shared" si="45"/>
        <v>0.67660356463262761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0.28311735990037362</v>
      </c>
      <c r="CM16" s="871">
        <f t="shared" si="12"/>
        <v>0.35389669987546701</v>
      </c>
      <c r="CN16" s="870">
        <f t="shared" si="13"/>
        <v>0.37742938580323787</v>
      </c>
      <c r="CO16" s="870">
        <f t="shared" si="13"/>
        <v>0.38322422166874226</v>
      </c>
      <c r="CP16" s="870">
        <f t="shared" si="13"/>
        <v>0.47316575342465739</v>
      </c>
      <c r="CQ16" s="869">
        <f t="shared" si="13"/>
        <v>0.48012811158156909</v>
      </c>
      <c r="CR16" s="1487">
        <f t="shared" si="13"/>
        <v>0.49628048704856786</v>
      </c>
      <c r="CS16" s="1487">
        <f t="shared" si="13"/>
        <v>0.57097941220423398</v>
      </c>
      <c r="CT16" s="872">
        <f t="shared" si="13"/>
        <v>0.70794087998576771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663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0.29600460410958906</v>
      </c>
      <c r="BX17" s="880">
        <f t="shared" si="51"/>
        <v>0.42771098505603988</v>
      </c>
      <c r="BY17" s="880">
        <f t="shared" si="51"/>
        <v>0.17114115927272727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6.1463654154065114E-2</v>
      </c>
      <c r="CN17" s="870">
        <f t="shared" si="13"/>
        <v>0.10281227043586551</v>
      </c>
      <c r="CO17" s="870">
        <f t="shared" si="13"/>
        <v>0.14997985722291407</v>
      </c>
      <c r="CP17" s="870">
        <f t="shared" si="13"/>
        <v>0.17942497509339972</v>
      </c>
      <c r="CQ17" s="869">
        <f t="shared" si="13"/>
        <v>0.21981700245952679</v>
      </c>
      <c r="CR17" s="1487">
        <f t="shared" si="13"/>
        <v>0.24100460211706104</v>
      </c>
      <c r="CS17" s="1487">
        <f t="shared" si="13"/>
        <v>0.24360379800747195</v>
      </c>
      <c r="CT17" s="872">
        <f t="shared" si="13"/>
        <v>0.34297295809464506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5.9523809523809521E-2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7.9365079365079375E-2</v>
      </c>
      <c r="CP18" s="870">
        <f t="shared" si="13"/>
        <v>9.5238095238095233E-2</v>
      </c>
      <c r="CQ18" s="869">
        <f t="shared" si="13"/>
        <v>0.1020408163265306</v>
      </c>
      <c r="CR18" s="1487">
        <f t="shared" si="13"/>
        <v>0.11904761904761904</v>
      </c>
      <c r="CS18" s="1487">
        <f t="shared" si="13"/>
        <v>0.11904761904761904</v>
      </c>
      <c r="CT18" s="872">
        <f t="shared" si="13"/>
        <v>0.14880952380952381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25140</v>
      </c>
      <c r="BW20" s="882">
        <f>SUM(BW21:BW30)</f>
        <v>32760</v>
      </c>
      <c r="BX20" s="882">
        <f>SUM(BX21:BX30)</f>
        <v>98820</v>
      </c>
      <c r="BY20" s="882">
        <f>SUM(BY21:BY30)</f>
        <v>220350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7">
        <f t="shared" si="69"/>
        <v>24000</v>
      </c>
      <c r="CP20" s="887">
        <f t="shared" si="69"/>
        <v>28200</v>
      </c>
      <c r="CQ20" s="886">
        <f t="shared" si="69"/>
        <v>34200</v>
      </c>
      <c r="CR20" s="1488">
        <f t="shared" si="69"/>
        <v>35500</v>
      </c>
      <c r="CS20" s="1488">
        <f t="shared" si="69"/>
        <v>43200</v>
      </c>
      <c r="CT20" s="889">
        <f t="shared" si="69"/>
        <v>48240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0</v>
      </c>
      <c r="BW24" s="895">
        <f>SUM(BW965:BW968)</f>
        <v>3600</v>
      </c>
      <c r="BX24" s="895">
        <f>SUM(BX965:BX968)</f>
        <v>6000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3600</v>
      </c>
      <c r="CP24" s="887">
        <f t="shared" si="69"/>
        <v>3600</v>
      </c>
      <c r="CQ24" s="886">
        <f t="shared" si="69"/>
        <v>8400</v>
      </c>
      <c r="CR24" s="1488">
        <f t="shared" si="69"/>
        <v>9600</v>
      </c>
      <c r="CS24" s="1488">
        <f t="shared" si="69"/>
        <v>9600</v>
      </c>
      <c r="CT24" s="889">
        <f t="shared" si="69"/>
        <v>21600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24000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4800</v>
      </c>
      <c r="CS27" s="1488">
        <f t="shared" si="69"/>
        <v>7200</v>
      </c>
      <c r="CT27" s="889">
        <f t="shared" si="69"/>
        <v>12000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10800</v>
      </c>
      <c r="CP28" s="887">
        <f t="shared" si="69"/>
        <v>12600</v>
      </c>
      <c r="CQ28" s="886">
        <f t="shared" si="69"/>
        <v>18600</v>
      </c>
      <c r="CR28" s="1488">
        <f t="shared" si="69"/>
        <v>26640</v>
      </c>
      <c r="CS28" s="1488">
        <f t="shared" si="69"/>
        <v>27100</v>
      </c>
      <c r="CT28" s="889">
        <f t="shared" si="69"/>
        <v>34800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12656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23396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345418.8</v>
      </c>
      <c r="BG31" s="882">
        <f t="shared" si="127"/>
        <v>75203.600000000006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13800</v>
      </c>
      <c r="BW31" s="882">
        <f>SUM(BW32:BW41)</f>
        <v>28744</v>
      </c>
      <c r="BX31" s="882">
        <f>SUM(BX32:BX41)</f>
        <v>36736</v>
      </c>
      <c r="BY31" s="882">
        <f>SUM(BY32:BY41)</f>
        <v>382886.8</v>
      </c>
      <c r="BZ31" s="884">
        <f t="shared" si="112"/>
        <v>3704.8666666666668</v>
      </c>
      <c r="CA31" s="884">
        <f t="shared" si="113"/>
        <v>6759.7</v>
      </c>
      <c r="CB31" s="884">
        <f t="shared" si="114"/>
        <v>5638.666666666667</v>
      </c>
      <c r="CC31" s="884">
        <f t="shared" si="115"/>
        <v>14783.306666666669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2565</v>
      </c>
      <c r="CM31" s="888">
        <f t="shared" si="116"/>
        <v>6093.5</v>
      </c>
      <c r="CN31" s="887">
        <f t="shared" si="117"/>
        <v>11319</v>
      </c>
      <c r="CO31" s="887">
        <f t="shared" si="117"/>
        <v>12656</v>
      </c>
      <c r="CP31" s="887">
        <f t="shared" si="117"/>
        <v>12704</v>
      </c>
      <c r="CQ31" s="886">
        <f t="shared" si="117"/>
        <v>14353</v>
      </c>
      <c r="CR31" s="1488">
        <f t="shared" si="117"/>
        <v>16225</v>
      </c>
      <c r="CS31" s="1488">
        <f t="shared" si="117"/>
        <v>25480</v>
      </c>
      <c r="CT31" s="889">
        <f t="shared" si="117"/>
        <v>28160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75203.600000000006</v>
      </c>
      <c r="DJ31" s="891">
        <f t="shared" si="119"/>
        <v>88358</v>
      </c>
      <c r="DK31" s="890">
        <f t="shared" si="119"/>
        <v>345418.8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13800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19977.599999999999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6840</v>
      </c>
      <c r="BW32" s="900">
        <f t="shared" si="132"/>
        <v>9612</v>
      </c>
      <c r="BX32" s="900">
        <f t="shared" si="132"/>
        <v>7920</v>
      </c>
      <c r="BY32" s="900">
        <f t="shared" si="132"/>
        <v>8390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2036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1200</v>
      </c>
      <c r="CM32" s="888">
        <f t="shared" si="116"/>
        <v>1680</v>
      </c>
      <c r="CN32" s="887">
        <f t="shared" si="117"/>
        <v>2760</v>
      </c>
      <c r="CO32" s="887">
        <f t="shared" si="117"/>
        <v>3120</v>
      </c>
      <c r="CP32" s="887">
        <f t="shared" si="117"/>
        <v>6024</v>
      </c>
      <c r="CQ32" s="886">
        <f t="shared" si="117"/>
        <v>6700</v>
      </c>
      <c r="CR32" s="1488">
        <f t="shared" si="117"/>
        <v>8520</v>
      </c>
      <c r="CS32" s="1488">
        <f t="shared" si="117"/>
        <v>8580</v>
      </c>
      <c r="CT32" s="889">
        <f t="shared" si="117"/>
        <v>8640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12780</v>
      </c>
      <c r="DK32" s="890">
        <f t="shared" si="119"/>
        <v>19977.599999999999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12756</v>
      </c>
      <c r="BY33" s="900">
        <f t="shared" si="137"/>
        <v>8836.7999999999993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600</v>
      </c>
      <c r="CM33" s="888">
        <f t="shared" si="116"/>
        <v>973.5</v>
      </c>
      <c r="CN33" s="887">
        <f t="shared" si="117"/>
        <v>1260</v>
      </c>
      <c r="CO33" s="887">
        <f t="shared" si="117"/>
        <v>1365</v>
      </c>
      <c r="CP33" s="887">
        <f t="shared" si="117"/>
        <v>2889</v>
      </c>
      <c r="CQ33" s="886">
        <f t="shared" si="117"/>
        <v>6140</v>
      </c>
      <c r="CR33" s="1488">
        <f t="shared" si="117"/>
        <v>6511</v>
      </c>
      <c r="CS33" s="1488">
        <f t="shared" si="117"/>
        <v>8592</v>
      </c>
      <c r="CT33" s="889">
        <f t="shared" si="117"/>
        <v>10548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192</v>
      </c>
      <c r="CN34" s="887">
        <f t="shared" si="117"/>
        <v>588</v>
      </c>
      <c r="CO34" s="887">
        <f t="shared" si="117"/>
        <v>945</v>
      </c>
      <c r="CP34" s="887">
        <f t="shared" si="117"/>
        <v>1620</v>
      </c>
      <c r="CQ34" s="886">
        <f t="shared" si="117"/>
        <v>1620</v>
      </c>
      <c r="CR34" s="1488">
        <f t="shared" si="117"/>
        <v>2160</v>
      </c>
      <c r="CS34" s="1488">
        <f t="shared" si="117"/>
        <v>2352</v>
      </c>
      <c r="CT34" s="889">
        <f t="shared" si="117"/>
        <v>2940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720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0</v>
      </c>
      <c r="BW36" s="900">
        <f t="shared" si="142"/>
        <v>20</v>
      </c>
      <c r="BX36" s="900">
        <f t="shared" si="142"/>
        <v>300</v>
      </c>
      <c r="BY36" s="900">
        <f t="shared" si="142"/>
        <v>9900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20</v>
      </c>
      <c r="CT36" s="889">
        <f t="shared" si="117"/>
        <v>500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0</v>
      </c>
      <c r="BW37" s="900">
        <f t="shared" si="142"/>
        <v>800</v>
      </c>
      <c r="BX37" s="900">
        <f t="shared" si="142"/>
        <v>480</v>
      </c>
      <c r="BY37" s="900">
        <f t="shared" si="142"/>
        <v>120800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386</v>
      </c>
      <c r="CR37" s="1488">
        <f t="shared" si="117"/>
        <v>510</v>
      </c>
      <c r="CS37" s="1488">
        <f t="shared" si="117"/>
        <v>800</v>
      </c>
      <c r="CT37" s="889">
        <f t="shared" si="117"/>
        <v>2000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0</v>
      </c>
      <c r="BW38" s="900">
        <f t="shared" si="142"/>
        <v>1000</v>
      </c>
      <c r="BX38" s="900">
        <f t="shared" si="142"/>
        <v>1800</v>
      </c>
      <c r="BY38" s="900">
        <f t="shared" si="142"/>
        <v>25000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3000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2400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3240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0</v>
      </c>
      <c r="AB39" s="900">
        <f t="shared" si="160"/>
        <v>1680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0</v>
      </c>
      <c r="BW39" s="900">
        <f t="shared" si="142"/>
        <v>1440</v>
      </c>
      <c r="BX39" s="900">
        <f t="shared" si="142"/>
        <v>0</v>
      </c>
      <c r="BY39" s="900">
        <f t="shared" si="142"/>
        <v>25000</v>
      </c>
      <c r="BZ39" s="884">
        <f t="shared" si="112"/>
        <v>160</v>
      </c>
      <c r="CA39" s="884">
        <f t="shared" si="113"/>
        <v>433.6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0</v>
      </c>
      <c r="CP39" s="887">
        <f t="shared" si="117"/>
        <v>1440</v>
      </c>
      <c r="CQ39" s="886">
        <f t="shared" si="117"/>
        <v>1584</v>
      </c>
      <c r="CR39" s="1488">
        <f t="shared" si="117"/>
        <v>1680</v>
      </c>
      <c r="CS39" s="1488">
        <f t="shared" si="117"/>
        <v>1800</v>
      </c>
      <c r="CT39" s="889">
        <f t="shared" si="117"/>
        <v>3060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785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78</v>
      </c>
      <c r="BW40" s="900">
        <f t="shared" si="142"/>
        <v>1260</v>
      </c>
      <c r="BX40" s="900">
        <f t="shared" si="142"/>
        <v>9600</v>
      </c>
      <c r="BY40" s="900">
        <f t="shared" si="142"/>
        <v>87600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0</v>
      </c>
      <c r="CS40" s="1488">
        <f t="shared" si="117"/>
        <v>0</v>
      </c>
      <c r="CT40" s="889">
        <f t="shared" si="117"/>
        <v>600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660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720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444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4144</v>
      </c>
      <c r="AB41" s="902">
        <f t="shared" si="168"/>
        <v>1548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85600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5348</v>
      </c>
      <c r="BX41" s="900">
        <f t="shared" si="142"/>
        <v>0</v>
      </c>
      <c r="BY41" s="900">
        <f t="shared" si="142"/>
        <v>91600</v>
      </c>
      <c r="BZ41" s="884">
        <f t="shared" si="112"/>
        <v>44</v>
      </c>
      <c r="CA41" s="884">
        <f t="shared" si="113"/>
        <v>519.4666666666667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444</v>
      </c>
      <c r="CO41" s="887">
        <f t="shared" si="117"/>
        <v>1000</v>
      </c>
      <c r="CP41" s="887">
        <f t="shared" si="117"/>
        <v>1000</v>
      </c>
      <c r="CQ41" s="886">
        <f t="shared" si="117"/>
        <v>1548</v>
      </c>
      <c r="CR41" s="1488">
        <f t="shared" si="117"/>
        <v>1800</v>
      </c>
      <c r="CS41" s="1488">
        <f t="shared" si="117"/>
        <v>2000</v>
      </c>
      <c r="CT41" s="889">
        <f t="shared" si="117"/>
        <v>4144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85600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0.34328358208955223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4.5690238770469307E-2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0.27207637231503579</v>
      </c>
      <c r="BW42" s="880">
        <f>IF(BW20=0,"",BW32/BW20)</f>
        <v>0.29340659340659342</v>
      </c>
      <c r="BX42" s="880">
        <f>IF(BX20=0,"",BX32/BX20)</f>
        <v>8.0145719489981782E-2</v>
      </c>
      <c r="BY42" s="880">
        <f>IF(BY20=0,"",BY32/BY20)</f>
        <v>3.8075788518266394E-2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0.1386292968627455</v>
      </c>
      <c r="CC42" s="867">
        <f t="shared" si="115"/>
        <v>3.9028321047535453E-2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>
        <f t="shared" si="116"/>
        <v>4.7323943661971832E-2</v>
      </c>
      <c r="CJ42" s="887">
        <f t="shared" si="116"/>
        <v>0.12777777777777777</v>
      </c>
      <c r="CK42" s="888">
        <f t="shared" si="116"/>
        <v>0.17786069651741293</v>
      </c>
      <c r="CL42" s="888">
        <f t="shared" si="116"/>
        <v>0.195906432748538</v>
      </c>
      <c r="CM42" s="888">
        <f t="shared" si="116"/>
        <v>0.19722222222222222</v>
      </c>
      <c r="CN42" s="887">
        <f t="shared" si="117"/>
        <v>0.21361702127659574</v>
      </c>
      <c r="CO42" s="887">
        <f t="shared" si="117"/>
        <v>0.36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4.5690238770469307E-2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11344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16804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165931.20000000001</v>
      </c>
      <c r="BG43" s="905">
        <f t="shared" si="178"/>
        <v>362036.4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11340</v>
      </c>
      <c r="BW43" s="905">
        <f>BW20-BW31</f>
        <v>4016</v>
      </c>
      <c r="BX43" s="905">
        <f>BX20-BX31</f>
        <v>62084</v>
      </c>
      <c r="BY43" s="905">
        <f>BY20-BY31</f>
        <v>-162536.79999999999</v>
      </c>
      <c r="BZ43" s="884">
        <f t="shared" si="112"/>
        <v>5944.1973333333326</v>
      </c>
      <c r="CA43" s="884">
        <f t="shared" si="113"/>
        <v>6022.0666666666666</v>
      </c>
      <c r="CB43" s="884">
        <f t="shared" si="114"/>
        <v>5547.9840000000004</v>
      </c>
      <c r="CC43" s="884">
        <f t="shared" si="115"/>
        <v>41297.840000000004</v>
      </c>
      <c r="CD43" s="885">
        <f t="shared" si="116"/>
        <v>-14353</v>
      </c>
      <c r="CE43" s="1488">
        <f t="shared" si="116"/>
        <v>-2565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10281</v>
      </c>
      <c r="CO43" s="887">
        <f t="shared" si="117"/>
        <v>11344</v>
      </c>
      <c r="CP43" s="887">
        <f t="shared" si="117"/>
        <v>15496</v>
      </c>
      <c r="CQ43" s="886">
        <f t="shared" si="117"/>
        <v>17720</v>
      </c>
      <c r="CR43" s="1488">
        <f t="shared" si="117"/>
        <v>17975</v>
      </c>
      <c r="CS43" s="1488">
        <f t="shared" si="117"/>
        <v>20080</v>
      </c>
      <c r="CT43" s="889">
        <f t="shared" si="117"/>
        <v>29406.5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165931.20000000001</v>
      </c>
      <c r="DJ43" s="891">
        <f t="shared" si="119"/>
        <v>362036.4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8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733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734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0</v>
      </c>
      <c r="CT93" s="851">
        <f t="shared" si="236"/>
        <v>0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733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0</v>
      </c>
      <c r="DW96" s="962">
        <f>BY804</f>
        <v>25000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0</v>
      </c>
      <c r="DW97" s="962">
        <f>DW96*SUM(DW95)</f>
        <v>2250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2250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734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735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736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735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736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737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>
        <f t="shared" si="420"/>
        <v>0</v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0</v>
      </c>
      <c r="CP180" s="870">
        <f t="shared" si="421"/>
        <v>0</v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738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0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>
        <f t="shared" si="420"/>
        <v>0</v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0</v>
      </c>
      <c r="CP183" s="870">
        <f t="shared" si="421"/>
        <v>0</v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739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740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741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742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0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 t="str">
        <f t="shared" si="445"/>
        <v/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 t="str">
        <f t="shared" si="445"/>
        <v/>
      </c>
      <c r="CM201" s="871" t="str">
        <f t="shared" si="445"/>
        <v/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743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744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0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 t="str">
        <f t="shared" si="472"/>
        <v/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745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746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 t="str">
        <f t="shared" si="472"/>
        <v/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747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748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749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750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751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 t="str">
        <f t="shared" si="516"/>
        <v/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 t="str">
        <f t="shared" si="516"/>
        <v/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 t="str">
        <f t="shared" si="516"/>
        <v/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 t="str">
        <f t="shared" si="516"/>
        <v/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 t="str">
        <f t="shared" si="516"/>
        <v/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 t="str">
        <f t="shared" si="516"/>
        <v/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640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>
        <f t="shared" si="516"/>
        <v>25</v>
      </c>
      <c r="CL237" s="850">
        <f t="shared" si="516"/>
        <v>50</v>
      </c>
      <c r="CM237" s="850">
        <f t="shared" si="516"/>
        <v>50</v>
      </c>
      <c r="CN237" s="849">
        <f t="shared" si="517"/>
        <v>150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0</v>
      </c>
      <c r="CM242" s="850">
        <f t="shared" si="540"/>
        <v>5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5.9145719178082187E-2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0.45423912328767113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>
        <f t="shared" si="540"/>
        <v>1.8926630136986301E-2</v>
      </c>
      <c r="CL243" s="871">
        <f t="shared" si="540"/>
        <v>2.9572859589041094E-2</v>
      </c>
      <c r="CM243" s="871">
        <f t="shared" si="540"/>
        <v>3.379755381604696E-2</v>
      </c>
      <c r="CN243" s="870">
        <f t="shared" si="541"/>
        <v>0.11829143835616435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752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753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753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754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>
        <f t="shared" si="580"/>
        <v>5</v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>
        <f t="shared" si="600"/>
        <v>0.25</v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>
        <f t="shared" si="600"/>
        <v>4.2102627646326274E-3</v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755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>
        <v>80</v>
      </c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>
        <f>IF(BV272="","",(BV272-BV274-BV277)*BV273/BV$46/365/$G$1)</f>
        <v>3.9278405977584072E-2</v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756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757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758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759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760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761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/>
      <c r="BG340" s="1069"/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/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 t="str">
        <f t="shared" si="755"/>
        <v/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>
        <f t="shared" si="757"/>
        <v>1</v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 t="str">
        <f t="shared" si="758"/>
        <v/>
      </c>
      <c r="DC340" s="893">
        <f t="shared" si="758"/>
        <v>8</v>
      </c>
      <c r="DD340" s="893" t="str">
        <f t="shared" si="758"/>
        <v/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1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811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/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50</v>
      </c>
      <c r="CM342" s="850">
        <f t="shared" si="780"/>
        <v>50</v>
      </c>
      <c r="CN342" s="849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 t="str">
        <f t="shared" si="791"/>
        <v/>
      </c>
      <c r="BG343" s="989" t="str">
        <f t="shared" si="791"/>
        <v/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 t="str">
        <f>IF(BY340="","",BY340*BY342)</f>
        <v/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 t="str">
        <f t="shared" si="779"/>
        <v/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50</v>
      </c>
      <c r="CM343" s="850">
        <f t="shared" si="780"/>
        <v>50</v>
      </c>
      <c r="CN343" s="849">
        <f t="shared" si="781"/>
        <v>50</v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 t="str">
        <f t="shared" si="782"/>
        <v/>
      </c>
      <c r="DC343" s="893">
        <f t="shared" si="782"/>
        <v>480</v>
      </c>
      <c r="DD343" s="893" t="str">
        <f t="shared" si="782"/>
        <v/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1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T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53">
        <v>5790</v>
      </c>
      <c r="BW344" s="1053">
        <v>5790</v>
      </c>
      <c r="BX344" s="1053">
        <v>5790</v>
      </c>
      <c r="BY344" s="1053"/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/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 t="str">
        <f t="shared" si="780"/>
        <v/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/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 t="str">
        <f t="shared" si="780"/>
        <v/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 t="str">
        <f>IF(BY345="","",BY345*BY346)</f>
        <v/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 t="str">
        <f t="shared" si="780"/>
        <v/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>
        <v>5</v>
      </c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5</v>
      </c>
      <c r="CM348" s="850" t="str">
        <f t="shared" si="780"/>
        <v/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 t="str">
        <f t="shared" si="803"/>
        <v/>
      </c>
      <c r="BG349" s="992" t="str">
        <f t="shared" si="803"/>
        <v/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2.0029057700290578E-2</v>
      </c>
      <c r="BW349" s="992">
        <f>IF(BW343="","",(BW343-BW345-BW348)*BW344/BW$46/365/$G$1)</f>
        <v>1.0139710460772104E-2</v>
      </c>
      <c r="BX349" s="992">
        <f>IF(BX343="","",(BX343-BX345-BX348)*BX344/BX$46/365/$G$1)</f>
        <v>2.4034869240348693E-2</v>
      </c>
      <c r="BY349" s="992" t="str">
        <f>IF(BY343="","",(BY343-BY345-BY348)*BY344/BY$46/365/$G$1)</f>
        <v/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 t="str">
        <f t="shared" si="779"/>
        <v/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3.0188757160647575E-2</v>
      </c>
      <c r="CL349" s="871">
        <f t="shared" si="780"/>
        <v>4.7169933063511839E-2</v>
      </c>
      <c r="CM349" s="871">
        <f t="shared" si="780"/>
        <v>5.390849492972781E-2</v>
      </c>
      <c r="CN349" s="870">
        <f t="shared" si="781"/>
        <v>6.2893244084682443E-2</v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 t="str">
        <f t="shared" si="782"/>
        <v/>
      </c>
      <c r="DC349" s="876">
        <f t="shared" si="782"/>
        <v>0.12938038783134673</v>
      </c>
      <c r="DD349" s="876" t="str">
        <f t="shared" si="782"/>
        <v/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1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762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>
        <f t="shared" si="780"/>
        <v>1</v>
      </c>
      <c r="CL350" s="850">
        <f t="shared" si="780"/>
        <v>1</v>
      </c>
      <c r="CM350" s="850">
        <f t="shared" si="780"/>
        <v>1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811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814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>
        <f t="shared" si="808"/>
        <v>25</v>
      </c>
      <c r="CL352" s="850">
        <f t="shared" si="808"/>
        <v>25</v>
      </c>
      <c r="CM352" s="850">
        <f t="shared" si="808"/>
        <v>50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>
        <f t="shared" si="808"/>
        <v>25</v>
      </c>
      <c r="CL353" s="850">
        <f t="shared" si="808"/>
        <v>25</v>
      </c>
      <c r="CM353" s="850">
        <f t="shared" si="808"/>
        <v>50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>
        <v>5</v>
      </c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5</v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1.1959492528019925E-2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>
        <f t="shared" si="808"/>
        <v>1.7084989325742747E-2</v>
      </c>
      <c r="CL359" s="871">
        <f t="shared" si="808"/>
        <v>1.9135188044831882E-2</v>
      </c>
      <c r="CM359" s="871">
        <f t="shared" si="808"/>
        <v>3.9864975093399743E-2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815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816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810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809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817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818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819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820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763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763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764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764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686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25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25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300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300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600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0.17694834993773351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0.28311735990037362</v>
      </c>
      <c r="CJ455" s="870">
        <f t="shared" si="1003"/>
        <v>0.31457484433374844</v>
      </c>
      <c r="CK455" s="871">
        <f t="shared" si="1003"/>
        <v>0.35389669987546701</v>
      </c>
      <c r="CL455" s="871">
        <f t="shared" si="1003"/>
        <v>0.35389669987546701</v>
      </c>
      <c r="CM455" s="871">
        <f t="shared" si="1003"/>
        <v>0.35389669987546701</v>
      </c>
      <c r="CN455" s="870">
        <f t="shared" si="1004"/>
        <v>0.35389669987546701</v>
      </c>
      <c r="CO455" s="870">
        <f t="shared" si="1004"/>
        <v>0.64712539405799685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480</v>
      </c>
      <c r="BW456" s="1002">
        <v>350</v>
      </c>
      <c r="BX456" s="1002">
        <v>480</v>
      </c>
      <c r="BY456" s="1002">
        <v>450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140</v>
      </c>
      <c r="CJ456" s="849">
        <f t="shared" si="1003"/>
        <v>260</v>
      </c>
      <c r="CK456" s="850">
        <f t="shared" si="1003"/>
        <v>300</v>
      </c>
      <c r="CL456" s="850">
        <f t="shared" si="1003"/>
        <v>350</v>
      </c>
      <c r="CM456" s="850">
        <f t="shared" si="1003"/>
        <v>500</v>
      </c>
      <c r="CN456" s="849">
        <f t="shared" si="1004"/>
        <v>500</v>
      </c>
      <c r="CO456" s="849">
        <f t="shared" si="1004"/>
        <v>650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5760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4050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1680</v>
      </c>
      <c r="CJ457" s="849">
        <f t="shared" si="1003"/>
        <v>3120</v>
      </c>
      <c r="CK457" s="850">
        <f t="shared" si="1003"/>
        <v>3600</v>
      </c>
      <c r="CL457" s="850">
        <f t="shared" si="1003"/>
        <v>4200</v>
      </c>
      <c r="CM457" s="850">
        <f t="shared" si="1003"/>
        <v>6000</v>
      </c>
      <c r="CN457" s="849">
        <f t="shared" si="1004"/>
        <v>6000</v>
      </c>
      <c r="CO457" s="849">
        <f t="shared" si="1004"/>
        <v>7800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687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>
        <v>50</v>
      </c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>
        <f t="shared" si="1027"/>
        <v>50</v>
      </c>
      <c r="CM459" s="850">
        <f t="shared" si="1027"/>
        <v>50</v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>
        <v>1</v>
      </c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>
        <f t="shared" si="1027"/>
        <v>1</v>
      </c>
      <c r="CM460" s="850">
        <f t="shared" si="1027"/>
        <v>1</v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>
        <v>12</v>
      </c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>
        <f t="shared" si="1027"/>
        <v>12</v>
      </c>
      <c r="CM461" s="850">
        <f t="shared" si="1027"/>
        <v>12</v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>
        <f>IF(BW460="","",BW459*BW460*BW461)</f>
        <v>600</v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>
        <f t="shared" si="1027"/>
        <v>600</v>
      </c>
      <c r="CM462" s="850">
        <f t="shared" si="1027"/>
        <v>600</v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>
        <f>IF(BW462="","",BW462*BW463/BW$46/365/$G$1)</f>
        <v>0.3548743150684931</v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>
        <f t="shared" si="1027"/>
        <v>0.47316575342465739</v>
      </c>
      <c r="CM464" s="871">
        <f t="shared" si="1027"/>
        <v>0.47316575342465739</v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>
        <v>230</v>
      </c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>
        <f t="shared" si="1027"/>
        <v>230</v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>
        <f>IF(BW465="","",BW460*BW465*BW461)</f>
        <v>2760</v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>
        <f t="shared" si="1027"/>
        <v>2760</v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708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/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/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/>
      <c r="BX470" s="1005">
        <v>12</v>
      </c>
      <c r="BY470" s="1005">
        <v>10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 t="str">
        <f>IF(BW469="","",BW468*BW469*BW470)</f>
        <v/>
      </c>
      <c r="BX471" s="989">
        <f>IF(BX469="","",BX468*BX469*BX470)</f>
        <v>120</v>
      </c>
      <c r="BY471" s="1249">
        <f>IF(BY469="","",BY468*BY469*BY470)</f>
        <v>100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 t="str">
        <f t="shared" ref="BW473" si="1136">IF(BW471="","",BW471*BW472/BW$46/365/$G$1)</f>
        <v/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9.2286874221668744E-2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6.9215155666251554E-2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70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90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/>
      <c r="BX474" s="1002">
        <v>12</v>
      </c>
      <c r="BY474" s="1002">
        <v>11</v>
      </c>
      <c r="BZ474" s="950" t="str">
        <f t="shared" si="988"/>
        <v/>
      </c>
      <c r="CA474" s="950" t="str">
        <f t="shared" si="989"/>
        <v/>
      </c>
      <c r="CB474" s="950">
        <f t="shared" si="990"/>
        <v>10.5</v>
      </c>
      <c r="CC474" s="1059">
        <f t="shared" si="991"/>
        <v>11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10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11</v>
      </c>
      <c r="DD474" s="893">
        <f t="shared" si="1057"/>
        <v>90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 t="str">
        <f>IF(BW474="","",BW471*BW474)</f>
        <v/>
      </c>
      <c r="BX475" s="1249">
        <f>IF(BX474="","",BX471*BX474)</f>
        <v>1440</v>
      </c>
      <c r="BY475" s="1249">
        <f>IF(BY474="","",BY471*BY474)</f>
        <v>1100</v>
      </c>
      <c r="BZ475" s="950" t="str">
        <f t="shared" si="988"/>
        <v/>
      </c>
      <c r="CA475" s="950" t="str">
        <f t="shared" si="989"/>
        <v/>
      </c>
      <c r="CB475" s="950">
        <f t="shared" si="990"/>
        <v>1080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1200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709</v>
      </c>
      <c r="B476" s="961" t="s">
        <v>712</v>
      </c>
      <c r="C476" s="961" t="s">
        <v>712</v>
      </c>
      <c r="D476" s="961" t="s">
        <v>712</v>
      </c>
      <c r="E476" s="961" t="s">
        <v>712</v>
      </c>
      <c r="F476" s="961" t="s">
        <v>712</v>
      </c>
      <c r="G476" s="961" t="s">
        <v>712</v>
      </c>
      <c r="H476" s="961" t="s">
        <v>712</v>
      </c>
      <c r="I476" s="961" t="s">
        <v>712</v>
      </c>
      <c r="J476" s="961" t="s">
        <v>712</v>
      </c>
      <c r="K476" s="961" t="s">
        <v>712</v>
      </c>
      <c r="L476" s="961" t="s">
        <v>712</v>
      </c>
      <c r="M476" s="961" t="s">
        <v>712</v>
      </c>
      <c r="N476" s="961" t="s">
        <v>712</v>
      </c>
      <c r="O476" s="961" t="s">
        <v>712</v>
      </c>
      <c r="P476" s="961" t="s">
        <v>712</v>
      </c>
      <c r="Q476" s="961" t="s">
        <v>712</v>
      </c>
      <c r="R476" s="961" t="s">
        <v>712</v>
      </c>
      <c r="S476" s="958"/>
      <c r="T476" s="961" t="s">
        <v>712</v>
      </c>
      <c r="U476" s="961" t="s">
        <v>712</v>
      </c>
      <c r="V476" s="961" t="s">
        <v>712</v>
      </c>
      <c r="W476" s="961" t="s">
        <v>712</v>
      </c>
      <c r="X476" s="961" t="s">
        <v>712</v>
      </c>
      <c r="Y476" s="961" t="s">
        <v>712</v>
      </c>
      <c r="Z476" s="961" t="s">
        <v>712</v>
      </c>
      <c r="AA476" s="961" t="s">
        <v>712</v>
      </c>
      <c r="AB476" s="961" t="s">
        <v>712</v>
      </c>
      <c r="AC476" s="961" t="s">
        <v>712</v>
      </c>
      <c r="AD476" s="961" t="s">
        <v>712</v>
      </c>
      <c r="AE476" s="961" t="s">
        <v>712</v>
      </c>
      <c r="AF476" s="961" t="s">
        <v>712</v>
      </c>
      <c r="AG476" s="961" t="s">
        <v>712</v>
      </c>
      <c r="AH476" s="961" t="s">
        <v>712</v>
      </c>
      <c r="AI476" s="961" t="s">
        <v>712</v>
      </c>
      <c r="AJ476" s="961" t="s">
        <v>712</v>
      </c>
      <c r="AK476" s="958"/>
      <c r="AL476" s="961" t="s">
        <v>712</v>
      </c>
      <c r="AM476" s="961" t="s">
        <v>712</v>
      </c>
      <c r="AN476" s="961" t="s">
        <v>712</v>
      </c>
      <c r="AO476" s="961" t="s">
        <v>712</v>
      </c>
      <c r="AP476" s="961" t="s">
        <v>712</v>
      </c>
      <c r="AQ476" s="961" t="s">
        <v>712</v>
      </c>
      <c r="AR476" s="961" t="s">
        <v>712</v>
      </c>
      <c r="AS476" s="961" t="s">
        <v>712</v>
      </c>
      <c r="AT476" s="961" t="s">
        <v>712</v>
      </c>
      <c r="AU476" s="961" t="s">
        <v>712</v>
      </c>
      <c r="AV476" s="961" t="s">
        <v>712</v>
      </c>
      <c r="AW476" s="961" t="s">
        <v>712</v>
      </c>
      <c r="AX476" s="961" t="s">
        <v>712</v>
      </c>
      <c r="AY476" s="961" t="s">
        <v>712</v>
      </c>
      <c r="AZ476" s="961" t="s">
        <v>712</v>
      </c>
      <c r="BA476" s="961" t="s">
        <v>712</v>
      </c>
      <c r="BB476" s="961" t="s">
        <v>712</v>
      </c>
      <c r="BC476" s="958"/>
      <c r="BD476" s="961" t="s">
        <v>712</v>
      </c>
      <c r="BE476" s="961" t="s">
        <v>712</v>
      </c>
      <c r="BF476" s="961" t="s">
        <v>712</v>
      </c>
      <c r="BG476" s="961" t="s">
        <v>712</v>
      </c>
      <c r="BH476" s="961" t="s">
        <v>712</v>
      </c>
      <c r="BI476" s="961" t="s">
        <v>712</v>
      </c>
      <c r="BJ476" s="961" t="s">
        <v>712</v>
      </c>
      <c r="BK476" s="961" t="s">
        <v>712</v>
      </c>
      <c r="BL476" s="961" t="s">
        <v>712</v>
      </c>
      <c r="BM476" s="961" t="s">
        <v>712</v>
      </c>
      <c r="BN476" s="961" t="s">
        <v>712</v>
      </c>
      <c r="BO476" s="961" t="s">
        <v>712</v>
      </c>
      <c r="BP476" s="961" t="s">
        <v>712</v>
      </c>
      <c r="BQ476" s="961" t="s">
        <v>712</v>
      </c>
      <c r="BR476" s="961" t="s">
        <v>712</v>
      </c>
      <c r="BS476" s="961" t="s">
        <v>712</v>
      </c>
      <c r="BT476" s="961" t="s">
        <v>712</v>
      </c>
      <c r="BU476" s="958"/>
      <c r="BV476" s="961" t="s">
        <v>712</v>
      </c>
      <c r="BW476" s="961" t="s">
        <v>712</v>
      </c>
      <c r="BX476" s="961" t="s">
        <v>712</v>
      </c>
      <c r="BY476" s="961" t="s">
        <v>712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1.4663760896637609E-2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1.4663760896637609E-2</v>
      </c>
      <c r="CM482" s="871">
        <f t="shared" si="1147"/>
        <v>2.9327521793275219E-2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30</v>
      </c>
      <c r="BW483" s="1002">
        <v>45</v>
      </c>
      <c r="BX483" s="1002">
        <v>60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>
        <f t="shared" si="1147"/>
        <v>65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360</v>
      </c>
      <c r="BW484" s="989">
        <f>IF(BW483="","",BW478*BW483*BW479)</f>
        <v>540</v>
      </c>
      <c r="BX484" s="989">
        <f>IF(BX483="","",BX478*BX483*BX479)</f>
        <v>720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>
        <f t="shared" si="1147"/>
        <v>780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710</v>
      </c>
      <c r="B485" s="1005" t="s">
        <v>711</v>
      </c>
      <c r="C485" s="1005" t="s">
        <v>711</v>
      </c>
      <c r="D485" s="1005" t="s">
        <v>711</v>
      </c>
      <c r="E485" s="1005" t="s">
        <v>711</v>
      </c>
      <c r="F485" s="1005" t="s">
        <v>711</v>
      </c>
      <c r="G485" s="1005" t="s">
        <v>711</v>
      </c>
      <c r="H485" s="1005" t="s">
        <v>711</v>
      </c>
      <c r="I485" s="1005" t="s">
        <v>711</v>
      </c>
      <c r="J485" s="1005" t="s">
        <v>711</v>
      </c>
      <c r="K485" s="1005" t="s">
        <v>711</v>
      </c>
      <c r="L485" s="1005" t="s">
        <v>711</v>
      </c>
      <c r="M485" s="1005" t="s">
        <v>711</v>
      </c>
      <c r="N485" s="1005" t="s">
        <v>711</v>
      </c>
      <c r="O485" s="1005" t="s">
        <v>711</v>
      </c>
      <c r="P485" s="1005" t="s">
        <v>711</v>
      </c>
      <c r="Q485" s="1005" t="s">
        <v>711</v>
      </c>
      <c r="R485" s="1005" t="s">
        <v>711</v>
      </c>
      <c r="S485" s="1003"/>
      <c r="T485" s="1005" t="s">
        <v>711</v>
      </c>
      <c r="U485" s="1005" t="s">
        <v>711</v>
      </c>
      <c r="V485" s="1005" t="s">
        <v>711</v>
      </c>
      <c r="W485" s="1005" t="s">
        <v>711</v>
      </c>
      <c r="X485" s="1005" t="s">
        <v>711</v>
      </c>
      <c r="Y485" s="1005" t="s">
        <v>711</v>
      </c>
      <c r="Z485" s="1005" t="s">
        <v>711</v>
      </c>
      <c r="AA485" s="1005" t="s">
        <v>711</v>
      </c>
      <c r="AB485" s="1005" t="s">
        <v>711</v>
      </c>
      <c r="AC485" s="1005" t="s">
        <v>711</v>
      </c>
      <c r="AD485" s="1005" t="s">
        <v>711</v>
      </c>
      <c r="AE485" s="1005" t="s">
        <v>711</v>
      </c>
      <c r="AF485" s="1005" t="s">
        <v>711</v>
      </c>
      <c r="AG485" s="1005" t="s">
        <v>711</v>
      </c>
      <c r="AH485" s="1005" t="s">
        <v>711</v>
      </c>
      <c r="AI485" s="1005" t="s">
        <v>711</v>
      </c>
      <c r="AJ485" s="1005" t="s">
        <v>711</v>
      </c>
      <c r="AK485" s="1003"/>
      <c r="AL485" s="1005" t="s">
        <v>711</v>
      </c>
      <c r="AM485" s="1005" t="s">
        <v>711</v>
      </c>
      <c r="AN485" s="1005" t="s">
        <v>711</v>
      </c>
      <c r="AO485" s="1005" t="s">
        <v>711</v>
      </c>
      <c r="AP485" s="1005" t="s">
        <v>711</v>
      </c>
      <c r="AQ485" s="1005" t="s">
        <v>711</v>
      </c>
      <c r="AR485" s="1005" t="s">
        <v>711</v>
      </c>
      <c r="AS485" s="1005" t="s">
        <v>711</v>
      </c>
      <c r="AT485" s="1005" t="s">
        <v>711</v>
      </c>
      <c r="AU485" s="1005" t="s">
        <v>711</v>
      </c>
      <c r="AV485" s="1005" t="s">
        <v>711</v>
      </c>
      <c r="AW485" s="1005" t="s">
        <v>711</v>
      </c>
      <c r="AX485" s="1005" t="s">
        <v>711</v>
      </c>
      <c r="AY485" s="1005" t="s">
        <v>711</v>
      </c>
      <c r="AZ485" s="1005" t="s">
        <v>711</v>
      </c>
      <c r="BA485" s="1005" t="s">
        <v>711</v>
      </c>
      <c r="BB485" s="1005" t="s">
        <v>711</v>
      </c>
      <c r="BC485" s="1003"/>
      <c r="BD485" s="1005" t="s">
        <v>711</v>
      </c>
      <c r="BE485" s="1005" t="s">
        <v>711</v>
      </c>
      <c r="BF485" s="1005" t="s">
        <v>711</v>
      </c>
      <c r="BG485" s="1005" t="s">
        <v>711</v>
      </c>
      <c r="BH485" s="1005" t="s">
        <v>711</v>
      </c>
      <c r="BI485" s="1005" t="s">
        <v>711</v>
      </c>
      <c r="BJ485" s="1005" t="s">
        <v>711</v>
      </c>
      <c r="BK485" s="1005" t="s">
        <v>711</v>
      </c>
      <c r="BL485" s="1005" t="s">
        <v>711</v>
      </c>
      <c r="BM485" s="1005" t="s">
        <v>711</v>
      </c>
      <c r="BN485" s="1005" t="s">
        <v>711</v>
      </c>
      <c r="BO485" s="1005" t="s">
        <v>711</v>
      </c>
      <c r="BP485" s="1005" t="s">
        <v>711</v>
      </c>
      <c r="BQ485" s="1005" t="s">
        <v>711</v>
      </c>
      <c r="BR485" s="1005" t="s">
        <v>711</v>
      </c>
      <c r="BS485" s="1005" t="s">
        <v>711</v>
      </c>
      <c r="BT485" s="1005" t="s">
        <v>711</v>
      </c>
      <c r="BU485" s="1003"/>
      <c r="BV485" s="1005" t="s">
        <v>711</v>
      </c>
      <c r="BW485" s="1005" t="s">
        <v>711</v>
      </c>
      <c r="BX485" s="1005" t="s">
        <v>711</v>
      </c>
      <c r="BY485" s="1005" t="s">
        <v>711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30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>
        <f t="shared" si="1171"/>
        <v>4</v>
      </c>
      <c r="CL487" s="850">
        <f t="shared" si="1171"/>
        <v>16</v>
      </c>
      <c r="CM487" s="850">
        <f t="shared" si="1171"/>
        <v>22</v>
      </c>
      <c r="CN487" s="849">
        <f t="shared" si="1172"/>
        <v>56</v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>
        <f t="shared" si="1171"/>
        <v>8</v>
      </c>
      <c r="CL488" s="850">
        <f t="shared" si="1171"/>
        <v>12</v>
      </c>
      <c r="CM488" s="850">
        <f t="shared" si="1171"/>
        <v>12</v>
      </c>
      <c r="CN488" s="849">
        <f t="shared" si="1172"/>
        <v>12</v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252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>
        <f t="shared" si="1171"/>
        <v>22.4</v>
      </c>
      <c r="CL489" s="850">
        <f t="shared" si="1171"/>
        <v>134.39999999999998</v>
      </c>
      <c r="CM489" s="850">
        <f t="shared" si="1171"/>
        <v>184.79999999999998</v>
      </c>
      <c r="CN489" s="849">
        <f t="shared" si="1172"/>
        <v>470.4</v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7.3168631506849297E-2</v>
      </c>
      <c r="BX491" s="992" t="str">
        <f>IF(BX489="","",BX489*BX490/BX$46/365/$G$1)</f>
        <v/>
      </c>
      <c r="BY491" s="992">
        <f>IF(BY489="","",BY489*BY490/BY$46/365/$G$1)</f>
        <v>0.1596406505603985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>
        <f t="shared" si="1171"/>
        <v>8.8689250311332502E-3</v>
      </c>
      <c r="CL491" s="871">
        <f t="shared" si="1171"/>
        <v>6.0815485927770849E-2</v>
      </c>
      <c r="CM491" s="871">
        <f t="shared" si="1171"/>
        <v>7.3168631506849297E-2</v>
      </c>
      <c r="CN491" s="870">
        <f t="shared" si="1172"/>
        <v>0.16555326724782066</v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>
        <f t="shared" si="1171"/>
        <v>5</v>
      </c>
      <c r="CL492" s="850">
        <f t="shared" si="1171"/>
        <v>5</v>
      </c>
      <c r="CM492" s="850">
        <f t="shared" si="1171"/>
        <v>7.5</v>
      </c>
      <c r="CN492" s="849">
        <f t="shared" si="1172"/>
        <v>9.5</v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3240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>
        <f t="shared" si="1171"/>
        <v>160</v>
      </c>
      <c r="CL493" s="850">
        <f t="shared" si="1171"/>
        <v>1320</v>
      </c>
      <c r="CM493" s="850">
        <f t="shared" si="1171"/>
        <v>1824</v>
      </c>
      <c r="CN493" s="849">
        <f t="shared" si="1172"/>
        <v>5040</v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784</v>
      </c>
      <c r="B494" s="1005" t="s">
        <v>711</v>
      </c>
      <c r="C494" s="1005" t="s">
        <v>711</v>
      </c>
      <c r="D494" s="1005" t="s">
        <v>711</v>
      </c>
      <c r="E494" s="1005" t="s">
        <v>711</v>
      </c>
      <c r="F494" s="1005" t="s">
        <v>711</v>
      </c>
      <c r="G494" s="1005" t="s">
        <v>711</v>
      </c>
      <c r="H494" s="1005" t="s">
        <v>711</v>
      </c>
      <c r="I494" s="1005" t="s">
        <v>711</v>
      </c>
      <c r="J494" s="1005" t="s">
        <v>711</v>
      </c>
      <c r="K494" s="1005" t="s">
        <v>711</v>
      </c>
      <c r="L494" s="1005" t="s">
        <v>711</v>
      </c>
      <c r="M494" s="1005" t="s">
        <v>711</v>
      </c>
      <c r="N494" s="1005" t="s">
        <v>711</v>
      </c>
      <c r="O494" s="1005" t="s">
        <v>711</v>
      </c>
      <c r="P494" s="1005" t="s">
        <v>711</v>
      </c>
      <c r="Q494" s="1005" t="s">
        <v>711</v>
      </c>
      <c r="R494" s="1005" t="s">
        <v>711</v>
      </c>
      <c r="S494" s="1073"/>
      <c r="T494" s="1005" t="s">
        <v>711</v>
      </c>
      <c r="U494" s="1005" t="s">
        <v>711</v>
      </c>
      <c r="V494" s="1005" t="s">
        <v>711</v>
      </c>
      <c r="W494" s="1005" t="s">
        <v>711</v>
      </c>
      <c r="X494" s="1005" t="s">
        <v>711</v>
      </c>
      <c r="Y494" s="1005" t="s">
        <v>711</v>
      </c>
      <c r="Z494" s="1005" t="s">
        <v>711</v>
      </c>
      <c r="AA494" s="1005" t="s">
        <v>711</v>
      </c>
      <c r="AB494" s="1005" t="s">
        <v>711</v>
      </c>
      <c r="AC494" s="1005" t="s">
        <v>711</v>
      </c>
      <c r="AD494" s="1005" t="s">
        <v>711</v>
      </c>
      <c r="AE494" s="1005" t="s">
        <v>711</v>
      </c>
      <c r="AF494" s="1005" t="s">
        <v>711</v>
      </c>
      <c r="AG494" s="1005" t="s">
        <v>711</v>
      </c>
      <c r="AH494" s="1005" t="s">
        <v>711</v>
      </c>
      <c r="AI494" s="1005" t="s">
        <v>711</v>
      </c>
      <c r="AJ494" s="1005" t="s">
        <v>711</v>
      </c>
      <c r="AK494" s="1073"/>
      <c r="AL494" s="1005" t="s">
        <v>711</v>
      </c>
      <c r="AM494" s="1005" t="s">
        <v>711</v>
      </c>
      <c r="AN494" s="1005" t="s">
        <v>711</v>
      </c>
      <c r="AO494" s="1005" t="s">
        <v>711</v>
      </c>
      <c r="AP494" s="1005" t="s">
        <v>711</v>
      </c>
      <c r="AQ494" s="1005" t="s">
        <v>711</v>
      </c>
      <c r="AR494" s="1005" t="s">
        <v>711</v>
      </c>
      <c r="AS494" s="1005" t="s">
        <v>711</v>
      </c>
      <c r="AT494" s="1005" t="s">
        <v>711</v>
      </c>
      <c r="AU494" s="1005" t="s">
        <v>711</v>
      </c>
      <c r="AV494" s="1005" t="s">
        <v>711</v>
      </c>
      <c r="AW494" s="1005" t="s">
        <v>711</v>
      </c>
      <c r="AX494" s="1005" t="s">
        <v>711</v>
      </c>
      <c r="AY494" s="1005" t="s">
        <v>711</v>
      </c>
      <c r="AZ494" s="1005" t="s">
        <v>711</v>
      </c>
      <c r="BA494" s="1005" t="s">
        <v>711</v>
      </c>
      <c r="BB494" s="1005" t="s">
        <v>711</v>
      </c>
      <c r="BC494" s="1073"/>
      <c r="BD494" s="1005" t="s">
        <v>711</v>
      </c>
      <c r="BE494" s="1005" t="s">
        <v>711</v>
      </c>
      <c r="BF494" s="1005" t="s">
        <v>711</v>
      </c>
      <c r="BG494" s="1005" t="s">
        <v>711</v>
      </c>
      <c r="BH494" s="1005" t="s">
        <v>711</v>
      </c>
      <c r="BI494" s="1005" t="s">
        <v>711</v>
      </c>
      <c r="BJ494" s="1005" t="s">
        <v>711</v>
      </c>
      <c r="BK494" s="1005" t="s">
        <v>711</v>
      </c>
      <c r="BL494" s="1005" t="s">
        <v>711</v>
      </c>
      <c r="BM494" s="1005" t="s">
        <v>711</v>
      </c>
      <c r="BN494" s="1005" t="s">
        <v>711</v>
      </c>
      <c r="BO494" s="1005" t="s">
        <v>711</v>
      </c>
      <c r="BP494" s="1005" t="s">
        <v>711</v>
      </c>
      <c r="BQ494" s="1005" t="s">
        <v>711</v>
      </c>
      <c r="BR494" s="1005" t="s">
        <v>711</v>
      </c>
      <c r="BS494" s="1005" t="s">
        <v>711</v>
      </c>
      <c r="BT494" s="1005" t="s">
        <v>711</v>
      </c>
      <c r="BU494" s="988"/>
      <c r="BV494" s="1005" t="s">
        <v>711</v>
      </c>
      <c r="BW494" s="1005" t="s">
        <v>711</v>
      </c>
      <c r="BX494" s="1005" t="s">
        <v>711</v>
      </c>
      <c r="BY494" s="1005" t="s">
        <v>711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>
        <f t="shared" si="1256"/>
        <v>20</v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>
        <f t="shared" si="1256"/>
        <v>12</v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>
        <f t="shared" si="1256"/>
        <v>168</v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>
        <f t="shared" si="1256"/>
        <v>9.7813658779576595E-2</v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>
        <f t="shared" si="1256"/>
        <v>5</v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>
        <f t="shared" si="1256"/>
        <v>1200</v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713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 t="str">
        <f t="shared" si="1256"/>
        <v/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 t="str">
        <f t="shared" si="1289"/>
        <v/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 t="str">
        <f t="shared" si="1289"/>
        <v/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714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>
        <f t="shared" si="1289"/>
        <v>2</v>
      </c>
      <c r="CJ509" s="849">
        <f t="shared" si="1289"/>
        <v>5</v>
      </c>
      <c r="CK509" s="850">
        <f t="shared" si="1289"/>
        <v>12.5</v>
      </c>
      <c r="CL509" s="850">
        <f t="shared" si="1289"/>
        <v>12.5</v>
      </c>
      <c r="CM509" s="850">
        <f t="shared" si="1289"/>
        <v>12.5</v>
      </c>
      <c r="CN509" s="849">
        <f t="shared" si="1290"/>
        <v>12.5</v>
      </c>
      <c r="CO509" s="849">
        <f t="shared" si="1290"/>
        <v>12.5</v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>
        <f t="shared" si="1289"/>
        <v>12</v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0.1029428798256538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>
        <f t="shared" si="1289"/>
        <v>1.5837366127023661E-2</v>
      </c>
      <c r="CJ512" s="870">
        <f t="shared" si="1289"/>
        <v>6.3349464508094644E-2</v>
      </c>
      <c r="CK512" s="871">
        <f t="shared" si="1289"/>
        <v>9.8983538293897888E-2</v>
      </c>
      <c r="CL512" s="871">
        <f t="shared" si="1289"/>
        <v>9.8983538293897888E-2</v>
      </c>
      <c r="CM512" s="871">
        <f t="shared" si="1289"/>
        <v>9.8983538293897888E-2</v>
      </c>
      <c r="CN512" s="870">
        <f t="shared" si="1290"/>
        <v>0.1319780510585305</v>
      </c>
      <c r="CO512" s="870">
        <f t="shared" si="1290"/>
        <v>0.1319780510585305</v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>
        <f t="shared" si="1289"/>
        <v>6.4</v>
      </c>
      <c r="CJ513" s="849">
        <f t="shared" si="1289"/>
        <v>7.5</v>
      </c>
      <c r="CK513" s="850">
        <f t="shared" si="1289"/>
        <v>7.5</v>
      </c>
      <c r="CL513" s="850">
        <f t="shared" si="1289"/>
        <v>8</v>
      </c>
      <c r="CM513" s="850">
        <f t="shared" si="1289"/>
        <v>11.2</v>
      </c>
      <c r="CN513" s="849">
        <f t="shared" si="1290"/>
        <v>11.5</v>
      </c>
      <c r="CO513" s="849">
        <f t="shared" si="1290"/>
        <v>12</v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>
        <f t="shared" si="1289"/>
        <v>276</v>
      </c>
      <c r="CJ514" s="849">
        <f t="shared" si="1289"/>
        <v>480</v>
      </c>
      <c r="CK514" s="850">
        <f t="shared" si="1289"/>
        <v>960</v>
      </c>
      <c r="CL514" s="850">
        <f t="shared" si="1289"/>
        <v>1125</v>
      </c>
      <c r="CM514" s="850">
        <f t="shared" si="1289"/>
        <v>1125</v>
      </c>
      <c r="CN514" s="849">
        <f t="shared" si="1290"/>
        <v>1680</v>
      </c>
      <c r="CO514" s="849">
        <f t="shared" si="1290"/>
        <v>1800</v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765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>
        <f t="shared" si="1318"/>
        <v>0.75</v>
      </c>
      <c r="CJ515" s="849">
        <f t="shared" si="1318"/>
        <v>2</v>
      </c>
      <c r="CK515" s="850">
        <f t="shared" si="1318"/>
        <v>2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>
        <f t="shared" si="1319"/>
        <v>5</v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>
        <f t="shared" si="1318"/>
        <v>12</v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>
        <f t="shared" si="1319"/>
        <v>12</v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8.7985367372353671E-2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>
        <f t="shared" si="1318"/>
        <v>2.1116488169364882E-2</v>
      </c>
      <c r="CJ518" s="870">
        <f t="shared" si="1318"/>
        <v>3.5194146948941463E-2</v>
      </c>
      <c r="CK518" s="871">
        <f t="shared" si="1318"/>
        <v>4.0221882227361679E-2</v>
      </c>
      <c r="CL518" s="871">
        <f t="shared" si="1318"/>
        <v>4.6925529265255284E-2</v>
      </c>
      <c r="CM518" s="871">
        <f t="shared" si="1318"/>
        <v>4.6925529265255284E-2</v>
      </c>
      <c r="CN518" s="870">
        <f t="shared" si="1319"/>
        <v>8.7985367372353671E-2</v>
      </c>
      <c r="CO518" s="870">
        <f t="shared" si="1319"/>
        <v>8.7985367372353671E-2</v>
      </c>
      <c r="CP518" s="870">
        <f t="shared" si="1319"/>
        <v>8.7985367372353671E-2</v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>
        <f t="shared" si="1318"/>
        <v>12.5</v>
      </c>
      <c r="CJ519" s="849">
        <f t="shared" si="1318"/>
        <v>13</v>
      </c>
      <c r="CK519" s="850">
        <f t="shared" si="1318"/>
        <v>13.5</v>
      </c>
      <c r="CL519" s="850">
        <f t="shared" si="1318"/>
        <v>17.5</v>
      </c>
      <c r="CM519" s="850">
        <f t="shared" si="1318"/>
        <v>20</v>
      </c>
      <c r="CN519" s="849">
        <f t="shared" si="1319"/>
        <v>24</v>
      </c>
      <c r="CO519" s="849">
        <f t="shared" si="1319"/>
        <v>30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>
        <f t="shared" si="1318"/>
        <v>157.5</v>
      </c>
      <c r="CJ520" s="849">
        <f t="shared" si="1318"/>
        <v>300</v>
      </c>
      <c r="CK520" s="850">
        <f t="shared" si="1318"/>
        <v>324</v>
      </c>
      <c r="CL520" s="850">
        <f t="shared" si="1318"/>
        <v>720</v>
      </c>
      <c r="CM520" s="850">
        <f t="shared" si="1318"/>
        <v>780</v>
      </c>
      <c r="CN520" s="849">
        <f t="shared" si="1319"/>
        <v>1200</v>
      </c>
      <c r="CO520" s="849">
        <f t="shared" si="1319"/>
        <v>1440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766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715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716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>
        <f t="shared" si="1488"/>
        <v>20</v>
      </c>
      <c r="CL534" s="850">
        <f t="shared" si="1488"/>
        <v>48</v>
      </c>
      <c r="CM534" s="850">
        <f t="shared" si="1488"/>
        <v>60</v>
      </c>
      <c r="CN534" s="849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1.1379440846824407E-2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>
        <f t="shared" si="1488"/>
        <v>4.7414336861768373E-3</v>
      </c>
      <c r="CL536" s="871">
        <f t="shared" si="1488"/>
        <v>1.1379440846824407E-2</v>
      </c>
      <c r="CM536" s="871">
        <f t="shared" si="1488"/>
        <v>1.422430105853051E-2</v>
      </c>
      <c r="CN536" s="870">
        <f t="shared" si="1489"/>
        <v>2.8448602117061021E-2</v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>
        <f t="shared" si="1488"/>
        <v>13</v>
      </c>
      <c r="CL537" s="850">
        <f t="shared" si="1488"/>
        <v>24</v>
      </c>
      <c r="CM537" s="850">
        <f t="shared" si="1488"/>
        <v>30</v>
      </c>
      <c r="CN537" s="849">
        <f t="shared" si="1489"/>
        <v>112</v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>
        <f t="shared" si="1488"/>
        <v>1152</v>
      </c>
      <c r="CL538" s="850">
        <f t="shared" si="1488"/>
        <v>1560</v>
      </c>
      <c r="CM538" s="850">
        <f t="shared" si="1488"/>
        <v>1800</v>
      </c>
      <c r="CN538" s="849">
        <f t="shared" si="1489"/>
        <v>2240</v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717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/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/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 t="str">
        <f>IF(BY539="","",BY539*BY540*BY541/BY$46/365/$G$1)</f>
        <v/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100</v>
      </c>
      <c r="BY543" s="1005"/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6000</v>
      </c>
      <c r="BY544" s="989" t="str">
        <f>IF(BY543="","",BY539*BY540*BY543)</f>
        <v/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718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719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724</v>
      </c>
      <c r="C552" s="1005" t="s">
        <v>724</v>
      </c>
      <c r="D552" s="1005"/>
      <c r="E552" s="1005"/>
      <c r="F552" s="1005" t="s">
        <v>724</v>
      </c>
      <c r="G552" s="1005" t="s">
        <v>724</v>
      </c>
      <c r="H552" s="1005" t="s">
        <v>724</v>
      </c>
      <c r="I552" s="1005" t="s">
        <v>724</v>
      </c>
      <c r="J552" s="1005" t="s">
        <v>724</v>
      </c>
      <c r="K552" s="1005" t="s">
        <v>724</v>
      </c>
      <c r="L552" s="1005" t="s">
        <v>724</v>
      </c>
      <c r="M552" s="1005" t="s">
        <v>724</v>
      </c>
      <c r="N552" s="1005" t="s">
        <v>724</v>
      </c>
      <c r="O552" s="1005" t="s">
        <v>724</v>
      </c>
      <c r="P552" s="1005" t="s">
        <v>724</v>
      </c>
      <c r="Q552" s="1005" t="s">
        <v>724</v>
      </c>
      <c r="R552" s="1005" t="s">
        <v>724</v>
      </c>
      <c r="S552" s="1073"/>
      <c r="T552" s="1005" t="s">
        <v>724</v>
      </c>
      <c r="U552" s="1005" t="s">
        <v>724</v>
      </c>
      <c r="V552" s="1005" t="s">
        <v>724</v>
      </c>
      <c r="W552" s="1005" t="s">
        <v>724</v>
      </c>
      <c r="X552" s="1005" t="s">
        <v>724</v>
      </c>
      <c r="Y552" s="1005" t="s">
        <v>724</v>
      </c>
      <c r="Z552" s="1005" t="s">
        <v>724</v>
      </c>
      <c r="AA552" s="1005" t="s">
        <v>724</v>
      </c>
      <c r="AB552" s="1005" t="s">
        <v>724</v>
      </c>
      <c r="AC552" s="1005" t="s">
        <v>724</v>
      </c>
      <c r="AD552" s="1005" t="s">
        <v>724</v>
      </c>
      <c r="AE552" s="1005" t="s">
        <v>724</v>
      </c>
      <c r="AF552" s="1005" t="s">
        <v>724</v>
      </c>
      <c r="AG552" s="1005" t="s">
        <v>724</v>
      </c>
      <c r="AH552" s="1005" t="s">
        <v>724</v>
      </c>
      <c r="AI552" s="1005" t="s">
        <v>724</v>
      </c>
      <c r="AJ552" s="1005" t="s">
        <v>724</v>
      </c>
      <c r="AK552" s="1073"/>
      <c r="AL552" s="1005" t="s">
        <v>724</v>
      </c>
      <c r="AM552" s="1005" t="s">
        <v>724</v>
      </c>
      <c r="AN552" s="1005" t="s">
        <v>724</v>
      </c>
      <c r="AO552" s="1005" t="s">
        <v>724</v>
      </c>
      <c r="AP552" s="1005" t="s">
        <v>724</v>
      </c>
      <c r="AQ552" s="1005" t="s">
        <v>724</v>
      </c>
      <c r="AR552" s="1005" t="s">
        <v>724</v>
      </c>
      <c r="AS552" s="1005" t="s">
        <v>724</v>
      </c>
      <c r="AT552" s="1005"/>
      <c r="AU552" s="1005" t="s">
        <v>724</v>
      </c>
      <c r="AV552" s="1005" t="s">
        <v>724</v>
      </c>
      <c r="AW552" s="1005" t="s">
        <v>724</v>
      </c>
      <c r="AX552" s="1005" t="s">
        <v>724</v>
      </c>
      <c r="AY552" s="1005" t="s">
        <v>724</v>
      </c>
      <c r="AZ552" s="1005" t="s">
        <v>724</v>
      </c>
      <c r="BA552" s="1005" t="s">
        <v>724</v>
      </c>
      <c r="BB552" s="1005" t="s">
        <v>724</v>
      </c>
      <c r="BC552" s="1073"/>
      <c r="BD552" s="1005" t="s">
        <v>724</v>
      </c>
      <c r="BE552" s="1005" t="s">
        <v>724</v>
      </c>
      <c r="BF552" s="1005" t="s">
        <v>724</v>
      </c>
      <c r="BG552" s="1005" t="s">
        <v>724</v>
      </c>
      <c r="BH552" s="1005" t="s">
        <v>724</v>
      </c>
      <c r="BI552" s="1005" t="s">
        <v>724</v>
      </c>
      <c r="BJ552" s="1005" t="s">
        <v>724</v>
      </c>
      <c r="BK552" s="1005" t="s">
        <v>724</v>
      </c>
      <c r="BL552" s="1005" t="s">
        <v>724</v>
      </c>
      <c r="BM552" s="1005" t="s">
        <v>724</v>
      </c>
      <c r="BN552" s="1005" t="s">
        <v>724</v>
      </c>
      <c r="BO552" s="1005" t="s">
        <v>724</v>
      </c>
      <c r="BP552" s="1005" t="s">
        <v>724</v>
      </c>
      <c r="BQ552" s="1005" t="s">
        <v>724</v>
      </c>
      <c r="BR552" s="1005" t="s">
        <v>724</v>
      </c>
      <c r="BS552" s="1005" t="s">
        <v>724</v>
      </c>
      <c r="BT552" s="1005" t="s">
        <v>724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720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>
        <f t="shared" si="1938"/>
        <v>12</v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3.9104607721046077E-4</v>
      </c>
      <c r="CM560" s="871">
        <f t="shared" si="1938"/>
        <v>5.2139476961394766E-4</v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>
        <f t="shared" si="1938"/>
        <v>20</v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240</v>
      </c>
      <c r="CM562" s="850">
        <f t="shared" si="1938"/>
        <v>240</v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721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9.3851058530510585E-4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9.3851058530510585E-4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12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144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722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723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2</v>
      </c>
      <c r="CN575" s="854">
        <f t="shared" si="2237"/>
        <v>4</v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>
        <f t="shared" si="2237"/>
        <v>12</v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1.7988119551681195E-3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4.4970298879202987E-4</v>
      </c>
      <c r="CL578" s="871">
        <f t="shared" si="2236"/>
        <v>4.4970298879202987E-4</v>
      </c>
      <c r="CM578" s="871">
        <f t="shared" si="2236"/>
        <v>8.9940597758405975E-4</v>
      </c>
      <c r="CN578" s="870">
        <f t="shared" si="2237"/>
        <v>1.7988119551681195E-3</v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725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10</v>
      </c>
      <c r="CL579" s="855">
        <f t="shared" si="2236"/>
        <v>20</v>
      </c>
      <c r="CM579" s="855">
        <f t="shared" si="2236"/>
        <v>40</v>
      </c>
      <c r="CN579" s="854">
        <f t="shared" si="2237"/>
        <v>40</v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240</v>
      </c>
      <c r="CL580" s="855">
        <f t="shared" si="2534"/>
        <v>480</v>
      </c>
      <c r="CM580" s="855">
        <f t="shared" si="2534"/>
        <v>480</v>
      </c>
      <c r="CN580" s="854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726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/>
      <c r="BW582" s="1005"/>
      <c r="BX582" s="1005"/>
      <c r="BY582" s="1005"/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727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>
        <f t="shared" si="2534"/>
        <v>0.1</v>
      </c>
      <c r="CK587" s="855">
        <f t="shared" si="2534"/>
        <v>0.25</v>
      </c>
      <c r="CL587" s="855">
        <f t="shared" si="2534"/>
        <v>0.5</v>
      </c>
      <c r="CM587" s="855">
        <f t="shared" si="2534"/>
        <v>0.5</v>
      </c>
      <c r="CN587" s="854">
        <f t="shared" si="2535"/>
        <v>1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>
        <f t="shared" si="2534"/>
        <v>12</v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6.4952753424657537E-3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>
        <f t="shared" si="2534"/>
        <v>6.4952753424657537E-3</v>
      </c>
      <c r="CK590" s="871">
        <f t="shared" si="2534"/>
        <v>6.4952753424657537E-3</v>
      </c>
      <c r="CL590" s="871">
        <f t="shared" si="2534"/>
        <v>6.4952753424657537E-3</v>
      </c>
      <c r="CM590" s="871">
        <f t="shared" si="2534"/>
        <v>8.6603671232876722E-3</v>
      </c>
      <c r="CN590" s="870">
        <f t="shared" si="2535"/>
        <v>1.0392440547945204E-2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>
        <f t="shared" si="2534"/>
        <v>2.5</v>
      </c>
      <c r="CK591" s="855">
        <f t="shared" si="2534"/>
        <v>13</v>
      </c>
      <c r="CL591" s="855">
        <f t="shared" si="2534"/>
        <v>15</v>
      </c>
      <c r="CM591" s="855">
        <f t="shared" si="2534"/>
        <v>45</v>
      </c>
      <c r="CN591" s="854">
        <f t="shared" si="2535"/>
        <v>120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>
        <f t="shared" si="2534"/>
        <v>30</v>
      </c>
      <c r="CK592" s="855">
        <f t="shared" si="2534"/>
        <v>156</v>
      </c>
      <c r="CL592" s="855">
        <f t="shared" si="2534"/>
        <v>180</v>
      </c>
      <c r="CM592" s="855">
        <f t="shared" si="2534"/>
        <v>540</v>
      </c>
      <c r="CN592" s="854">
        <f t="shared" si="2535"/>
        <v>1440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767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728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729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>
        <f t="shared" si="2941"/>
        <v>1</v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>
        <f t="shared" si="2941"/>
        <v>8.9125918430884177E-4</v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>
        <f t="shared" si="2941"/>
        <v>25</v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>
        <f t="shared" si="2941"/>
        <v>25</v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730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8.4464318181818182E-2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7.9538772104607736E-3</v>
      </c>
      <c r="CO640" s="870">
        <f t="shared" si="3079"/>
        <v>2.1241771926703436E-2</v>
      </c>
      <c r="CP640" s="870">
        <f t="shared" si="3079"/>
        <v>3.314115504358655E-2</v>
      </c>
      <c r="CQ640" s="869">
        <f t="shared" si="3079"/>
        <v>3.9361692403486928E-2</v>
      </c>
      <c r="CR640" s="1487">
        <f t="shared" si="3079"/>
        <v>5.6039850560398508E-2</v>
      </c>
      <c r="CS640" s="1487">
        <f t="shared" si="3079"/>
        <v>6.5074529887920299E-2</v>
      </c>
      <c r="CT640" s="872">
        <f t="shared" si="3079"/>
        <v>0.12016076899128268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180</v>
      </c>
      <c r="CO642" s="849">
        <f t="shared" si="3081"/>
        <v>780</v>
      </c>
      <c r="CP642" s="849">
        <f t="shared" si="3081"/>
        <v>900</v>
      </c>
      <c r="CQ642" s="848">
        <f t="shared" si="3081"/>
        <v>1860</v>
      </c>
      <c r="CR642" s="1486">
        <f t="shared" si="3081"/>
        <v>2472</v>
      </c>
      <c r="CS642" s="1486">
        <f t="shared" si="3081"/>
        <v>3000</v>
      </c>
      <c r="CT642" s="851">
        <f t="shared" si="3081"/>
        <v>3336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768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769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770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771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772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2</v>
      </c>
      <c r="CK666" s="850">
        <f t="shared" si="3123"/>
        <v>2</v>
      </c>
      <c r="CL666" s="850">
        <f t="shared" si="3123"/>
        <v>3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9">
        <f t="shared" si="3124"/>
        <v>5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5.9523809523809521E-2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7.9365079365079375E-2</v>
      </c>
      <c r="CK667" s="871">
        <f t="shared" si="3123"/>
        <v>9.5238095238095233E-2</v>
      </c>
      <c r="CL667" s="871">
        <f t="shared" si="3123"/>
        <v>0.1020408163265306</v>
      </c>
      <c r="CM667" s="871">
        <f t="shared" si="3123"/>
        <v>0.11904761904761904</v>
      </c>
      <c r="CN667" s="870">
        <f t="shared" si="3124"/>
        <v>0.11904761904761904</v>
      </c>
      <c r="CO667" s="870">
        <f t="shared" si="3124"/>
        <v>0.14880952380952381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773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774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775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776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777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778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779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780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8400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9600</v>
      </c>
      <c r="CT714" s="851">
        <f t="shared" si="3220"/>
        <v>21600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6000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3600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>
        <f t="shared" si="3247"/>
        <v>1</v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>
        <f t="shared" si="3247"/>
        <v>1</v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>
        <f t="shared" si="3247"/>
        <v>12</v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>
        <f t="shared" si="3247"/>
        <v>2000</v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>
        <f t="shared" si="3247"/>
        <v>24000</v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10800</v>
      </c>
      <c r="CP743" s="849">
        <f t="shared" si="3263"/>
        <v>12600</v>
      </c>
      <c r="CQ743" s="848">
        <f t="shared" si="3263"/>
        <v>18600</v>
      </c>
      <c r="CR743" s="1486">
        <f t="shared" si="3263"/>
        <v>26640</v>
      </c>
      <c r="CS743" s="1486">
        <f t="shared" si="3263"/>
        <v>27100</v>
      </c>
      <c r="CT743" s="851">
        <f t="shared" si="3263"/>
        <v>34800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4800</v>
      </c>
      <c r="CS760" s="1486">
        <f t="shared" si="3282"/>
        <v>7200</v>
      </c>
      <c r="CT760" s="851">
        <f t="shared" si="3282"/>
        <v>12000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312</v>
      </c>
      <c r="CM772" s="850">
        <f t="shared" si="3303"/>
        <v>420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60</v>
      </c>
      <c r="CK773" s="850">
        <f t="shared" si="3303"/>
        <v>60</v>
      </c>
      <c r="CL773" s="850">
        <f t="shared" si="3303"/>
        <v>120</v>
      </c>
      <c r="CM773" s="850">
        <f t="shared" si="3303"/>
        <v>144</v>
      </c>
      <c r="CN773" s="849">
        <f t="shared" si="3304"/>
        <v>180</v>
      </c>
      <c r="CO773" s="849">
        <f t="shared" si="3304"/>
        <v>180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192</v>
      </c>
      <c r="CJ774" s="849">
        <f t="shared" si="3303"/>
        <v>420</v>
      </c>
      <c r="CK774" s="850">
        <f t="shared" si="3303"/>
        <v>420</v>
      </c>
      <c r="CL774" s="850">
        <f t="shared" si="3303"/>
        <v>420</v>
      </c>
      <c r="CM774" s="850">
        <f t="shared" si="3303"/>
        <v>480</v>
      </c>
      <c r="CN774" s="849">
        <f t="shared" si="3304"/>
        <v>540</v>
      </c>
      <c r="CO774" s="849">
        <f t="shared" si="3304"/>
        <v>552</v>
      </c>
      <c r="CP774" s="849">
        <f t="shared" si="3304"/>
        <v>588</v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>
        <f t="shared" si="3303"/>
        <v>500</v>
      </c>
      <c r="CK775" s="850">
        <f t="shared" si="3303"/>
        <v>1200</v>
      </c>
      <c r="CL775" s="850">
        <f t="shared" si="3303"/>
        <v>1200</v>
      </c>
      <c r="CM775" s="850">
        <f t="shared" si="3303"/>
        <v>1200</v>
      </c>
      <c r="CN775" s="849">
        <f t="shared" si="3304"/>
        <v>1800</v>
      </c>
      <c r="CO775" s="849">
        <f t="shared" si="3304"/>
        <v>2400</v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25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781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500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0.12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720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480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 t="str">
        <f t="shared" si="3311"/>
        <v/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782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>
        <f t="shared" si="3327"/>
        <v>300</v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/>
      <c r="BW792" s="1136">
        <v>20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20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/>
      <c r="BY795" s="957">
        <v>1000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783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/>
      <c r="BW799" s="1136">
        <v>800</v>
      </c>
      <c r="BX799" s="1136">
        <v>480</v>
      </c>
      <c r="BY799" s="1136">
        <v>80000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386</v>
      </c>
      <c r="CL799" s="850">
        <f t="shared" si="3339"/>
        <v>510</v>
      </c>
      <c r="CM799" s="850">
        <f t="shared" si="3339"/>
        <v>800</v>
      </c>
      <c r="CN799" s="849">
        <f t="shared" si="3340"/>
        <v>2000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732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/>
      <c r="BY800" s="957">
        <v>40800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/>
      <c r="BW801" s="957">
        <v>1000</v>
      </c>
      <c r="BX801" s="957">
        <v>1800</v>
      </c>
      <c r="BY801" s="957">
        <v>25000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3000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/>
      <c r="C802" s="957"/>
      <c r="D802" s="957"/>
      <c r="E802" s="957"/>
      <c r="F802" s="957"/>
      <c r="G802" s="957"/>
      <c r="H802" s="957"/>
      <c r="I802" s="957"/>
      <c r="J802" s="957"/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/>
      <c r="AB802" s="957"/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/>
      <c r="BW802" s="957">
        <v>660</v>
      </c>
      <c r="BX802" s="957"/>
      <c r="BY802" s="957">
        <v>3600</v>
      </c>
      <c r="BZ802" s="950" t="str">
        <f>IF(DL802&lt;3,"",(SUM(B802:R802)-MIN(B802:R802)-MAX(B802:R802))/(DL802-2))</f>
        <v/>
      </c>
      <c r="CA802" s="950" t="str">
        <f>IF(DM802&lt;3,"",(SUM(T802:AJ802)-MIN(T802:AJ802)-MAX(T802:AJ802))/(DM802-2))</f>
        <v/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 t="str">
        <f t="shared" si="3339"/>
        <v/>
      </c>
      <c r="CL802" s="850">
        <f t="shared" si="3339"/>
        <v>144</v>
      </c>
      <c r="CM802" s="850">
        <f t="shared" si="3339"/>
        <v>660</v>
      </c>
      <c r="CN802" s="849" t="str">
        <f t="shared" si="3340"/>
        <v/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0</v>
      </c>
      <c r="DM802" s="805">
        <f t="shared" ref="DM802:DM810" si="3344">COUNT(T802:AJ802)</f>
        <v>2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78</v>
      </c>
      <c r="BW803" s="957">
        <v>600</v>
      </c>
      <c r="BX803" s="957">
        <v>9600</v>
      </c>
      <c r="BY803" s="957">
        <v>84000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 t="str">
        <f t="shared" si="3339"/>
        <v/>
      </c>
      <c r="CL803" s="850">
        <f t="shared" si="3339"/>
        <v>600</v>
      </c>
      <c r="CM803" s="850" t="str">
        <f t="shared" si="3339"/>
        <v/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/>
      <c r="BW804" s="957">
        <v>1440</v>
      </c>
      <c r="BX804" s="957"/>
      <c r="BY804" s="957">
        <v>25000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>
        <f t="shared" si="3339"/>
        <v>1440</v>
      </c>
      <c r="CK804" s="850">
        <f t="shared" si="3339"/>
        <v>1440</v>
      </c>
      <c r="CL804" s="850">
        <f t="shared" si="3339"/>
        <v>1680</v>
      </c>
      <c r="CM804" s="850">
        <f t="shared" si="3339"/>
        <v>1800</v>
      </c>
      <c r="CN804" s="849">
        <f t="shared" si="3340"/>
        <v>2400</v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/>
      <c r="BY805" s="957">
        <v>20000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300</v>
      </c>
      <c r="CL805" s="850">
        <f t="shared" si="3339"/>
        <v>1000</v>
      </c>
      <c r="CM805" s="850">
        <f t="shared" si="3339"/>
        <v>1000</v>
      </c>
      <c r="CN805" s="849">
        <f t="shared" si="3340"/>
        <v>1200</v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702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703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795</v>
      </c>
      <c r="B809" s="957">
        <v>660</v>
      </c>
      <c r="C809" s="957"/>
      <c r="D809" s="957"/>
      <c r="E809" s="957"/>
      <c r="F809" s="957"/>
      <c r="G809" s="957"/>
      <c r="H809" s="957"/>
      <c r="I809" s="957"/>
      <c r="J809" s="957">
        <v>720</v>
      </c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>
        <v>144</v>
      </c>
      <c r="V809" s="957"/>
      <c r="W809" s="957"/>
      <c r="X809" s="957"/>
      <c r="Y809" s="957"/>
      <c r="Z809" s="957"/>
      <c r="AA809" s="957">
        <v>144</v>
      </c>
      <c r="AB809" s="957">
        <v>348</v>
      </c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>
        <v>3600</v>
      </c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>
        <v>348</v>
      </c>
      <c r="BX809" s="957"/>
      <c r="BY809" s="957">
        <v>3600</v>
      </c>
      <c r="BZ809" s="950" t="str">
        <f t="shared" si="3347"/>
        <v/>
      </c>
      <c r="CA809" s="950">
        <f t="shared" si="3348"/>
        <v>144</v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>
        <f t="shared" si="3351"/>
        <v>144</v>
      </c>
      <c r="CL809" s="850">
        <f t="shared" si="3351"/>
        <v>144</v>
      </c>
      <c r="CM809" s="850">
        <f t="shared" si="3351"/>
        <v>348</v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>
        <f t="shared" si="3353"/>
        <v>3600</v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2</v>
      </c>
      <c r="DM809" s="805">
        <f t="shared" si="3344"/>
        <v>3</v>
      </c>
      <c r="DN809" s="805">
        <f t="shared" si="3345"/>
        <v>0</v>
      </c>
      <c r="DO809" s="805">
        <f t="shared" si="3346"/>
        <v>1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794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4000</v>
      </c>
      <c r="BX810" s="957"/>
      <c r="BY810" s="957">
        <v>68000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>
        <f t="shared" si="3351"/>
        <v>1800</v>
      </c>
      <c r="CL810" s="850">
        <f t="shared" si="3351"/>
        <v>2000</v>
      </c>
      <c r="CM810" s="850">
        <f t="shared" si="3351"/>
        <v>4000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11340</v>
      </c>
      <c r="BW811" s="1179">
        <f>BW20-BW31</f>
        <v>4016</v>
      </c>
      <c r="BX811" s="1179">
        <f>BX20-BX31</f>
        <v>62084</v>
      </c>
      <c r="BY811" s="1179">
        <f>BY20-BY31</f>
        <v>-162536.79999999999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4016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327570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1128</v>
      </c>
      <c r="BW812" s="1183">
        <f>SUM(BW772:BW776,BW781:BW785,BW790:BW810)</f>
        <v>12088</v>
      </c>
      <c r="BX812" s="1183">
        <f>SUM(BX772:BX776,BX781:BX785,BX790:BX810)</f>
        <v>16600</v>
      </c>
      <c r="BY812" s="1183">
        <f>SUM(BY772:BY776,BY781:BY785,BY790:BY810)</f>
        <v>366476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2262.7333333333331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3440</v>
      </c>
      <c r="CN812" s="849">
        <f t="shared" si="3359"/>
        <v>3565</v>
      </c>
      <c r="CO812" s="849">
        <f t="shared" si="3359"/>
        <v>4016</v>
      </c>
      <c r="CP812" s="849">
        <f t="shared" si="3359"/>
        <v>4866</v>
      </c>
      <c r="CQ812" s="848">
        <f t="shared" si="3359"/>
        <v>5600</v>
      </c>
      <c r="CR812" s="1486">
        <f t="shared" si="3359"/>
        <v>5670</v>
      </c>
      <c r="CS812" s="1486">
        <f t="shared" si="3359"/>
        <v>6784</v>
      </c>
      <c r="CT812" s="851">
        <f t="shared" si="3359"/>
        <v>11588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327570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0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5.9145719178082187E-2</v>
      </c>
      <c r="BX832" s="1195">
        <f>SUM(BX243)</f>
        <v>5.5202671232876706E-2</v>
      </c>
      <c r="BY832" s="1195">
        <f>SUM(BY243)</f>
        <v>0.45423912328767113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1.8926630136986301E-2</v>
      </c>
      <c r="CR832" s="1487">
        <f t="shared" si="3422"/>
        <v>2.9572859589041094E-2</v>
      </c>
      <c r="CS832" s="1487">
        <f t="shared" si="3422"/>
        <v>3.379755381604696E-2</v>
      </c>
      <c r="CT832" s="872">
        <f t="shared" si="3422"/>
        <v>0.11829143835616435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4.2102627646326274E-3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3.9278405977584072E-2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0</v>
      </c>
      <c r="BG845" s="1195">
        <f t="shared" si="3492"/>
        <v>0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2.0029057700290578E-2</v>
      </c>
      <c r="BW845" s="1195">
        <f>SUM(BW349)</f>
        <v>1.0139710460772104E-2</v>
      </c>
      <c r="BX845" s="1195">
        <f>SUM(BX349)</f>
        <v>2.4034869240348693E-2</v>
      </c>
      <c r="BY845" s="1195">
        <f>SUM(BY349)</f>
        <v>0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0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3.0188757160647575E-2</v>
      </c>
      <c r="CR845" s="1487">
        <f t="shared" si="3470"/>
        <v>4.7169933063511839E-2</v>
      </c>
      <c r="CS845" s="1487">
        <f t="shared" si="3470"/>
        <v>5.390849492972781E-2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0</v>
      </c>
      <c r="DJ845" s="874">
        <f t="shared" si="3472"/>
        <v>0</v>
      </c>
      <c r="DK845" s="873">
        <f t="shared" si="3472"/>
        <v>0.12938038783134673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1.1959492528019925E-2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1.7084989325742747E-2</v>
      </c>
      <c r="CS846" s="1487">
        <f t="shared" si="3470"/>
        <v>1.9135188044831882E-2</v>
      </c>
      <c r="CT846" s="872">
        <f t="shared" si="3470"/>
        <v>3.9864975093399743E-2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0.17694834993773351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0.3548743150684931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0</v>
      </c>
      <c r="BX861" s="1195">
        <f t="shared" si="3567"/>
        <v>9.2286874221668744E-2</v>
      </c>
      <c r="BY861" s="1195">
        <f t="shared" si="3567"/>
        <v>9.2286874221668744E-2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1.4663760896637609E-2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7.3168631506849297E-2</v>
      </c>
      <c r="BX863" s="1195">
        <f t="shared" si="3577"/>
        <v>0</v>
      </c>
      <c r="BY863" s="1195">
        <f t="shared" si="3577"/>
        <v>0.1596406505603985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0.1029428798256538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8.7985367372353671E-2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1.1379440846824407E-2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0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9.3851058530510585E-4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1.7988119551681195E-3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6.4952753424657537E-3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8.4464318181818182E-2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5.9523809523809521E-2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7.9365079365079375E-2</v>
      </c>
      <c r="CP889" s="870">
        <f t="shared" si="3716"/>
        <v>9.5238095238095233E-2</v>
      </c>
      <c r="CQ889" s="869">
        <f t="shared" si="3716"/>
        <v>0.1020408163265306</v>
      </c>
      <c r="CR889" s="1487">
        <f t="shared" si="3716"/>
        <v>0.11904761904761904</v>
      </c>
      <c r="CS889" s="1487">
        <f t="shared" si="3716"/>
        <v>0.11904761904761904</v>
      </c>
      <c r="CT889" s="872">
        <f t="shared" si="3716"/>
        <v>0.14880952380952381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0.46871858259550492</v>
      </c>
      <c r="BG900" s="1195">
        <f>SUM(BG820:BG899)</f>
        <v>1.2675645623910334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1.003064720847088</v>
      </c>
      <c r="BW900" s="1195">
        <f>SUM(BW820:BW899)</f>
        <v>1.056428393209986</v>
      </c>
      <c r="BX900" s="1195">
        <f>SUM(BX820:BX899)</f>
        <v>1.1700144268121524</v>
      </c>
      <c r="BY900" s="1195">
        <f>SUM(BY820:BY899)</f>
        <v>1.3114341273922789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8400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9600</v>
      </c>
      <c r="CT966" s="851">
        <f t="shared" si="4045"/>
        <v>21600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6000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3600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24000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0</v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4800</v>
      </c>
      <c r="CS975" s="1486">
        <f t="shared" si="4084"/>
        <v>7200</v>
      </c>
      <c r="CT975" s="851">
        <f t="shared" si="4084"/>
        <v>12000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10800</v>
      </c>
      <c r="CP977" s="849">
        <f t="shared" si="4090"/>
        <v>12600</v>
      </c>
      <c r="CQ977" s="848">
        <f t="shared" si="4090"/>
        <v>18600</v>
      </c>
      <c r="CR977" s="1486">
        <f t="shared" si="4090"/>
        <v>26640</v>
      </c>
      <c r="CS977" s="1486">
        <f t="shared" si="4090"/>
        <v>27100</v>
      </c>
      <c r="CT977" s="851">
        <f t="shared" si="4090"/>
        <v>34800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25140</v>
      </c>
      <c r="BW985" s="1183">
        <f>SUM(BW904:BW984)</f>
        <v>32760</v>
      </c>
      <c r="BX985" s="1183">
        <f>SUM(BX904:BX984)</f>
        <v>98820</v>
      </c>
      <c r="BY985" s="1183">
        <f>SUM(BY904:BY984)</f>
        <v>220350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21600</v>
      </c>
      <c r="CO985" s="849">
        <f t="shared" si="4118"/>
        <v>24000</v>
      </c>
      <c r="CP985" s="849">
        <f t="shared" si="4118"/>
        <v>28200</v>
      </c>
      <c r="CQ985" s="848">
        <f t="shared" si="4118"/>
        <v>34200</v>
      </c>
      <c r="CR985" s="1486">
        <f t="shared" si="4118"/>
        <v>35500</v>
      </c>
      <c r="CS985" s="1486">
        <f t="shared" si="4118"/>
        <v>43200</v>
      </c>
      <c r="CT985" s="851">
        <f t="shared" si="4118"/>
        <v>48240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13800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19977.599999999999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6840</v>
      </c>
      <c r="BW988" s="1183">
        <f t="shared" ref="BW988:BY988" si="4125">SUM(BW457,BW466,BW475,BW484,BW493,BW502)</f>
        <v>9612</v>
      </c>
      <c r="BX988" s="1183">
        <f t="shared" si="4125"/>
        <v>7920</v>
      </c>
      <c r="BY988" s="1183">
        <f t="shared" si="4125"/>
        <v>8390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2036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13800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12780</v>
      </c>
      <c r="DK988" s="1210">
        <f t="shared" si="4133"/>
        <v>19977.599999999999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692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10776</v>
      </c>
      <c r="BY989" s="1183">
        <f t="shared" si="4143"/>
        <v>8836.7999999999993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693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694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0</v>
      </c>
      <c r="BW994" s="1183">
        <f t="shared" si="4168"/>
        <v>20</v>
      </c>
      <c r="BX994" s="1183">
        <f t="shared" si="4168"/>
        <v>300</v>
      </c>
      <c r="BY994" s="1183">
        <f t="shared" si="4168"/>
        <v>9900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0</v>
      </c>
      <c r="BW995" s="1183">
        <f t="shared" si="4173"/>
        <v>800</v>
      </c>
      <c r="BX995" s="1183">
        <f t="shared" si="4173"/>
        <v>480</v>
      </c>
      <c r="BY995" s="1183">
        <f t="shared" si="4173"/>
        <v>120800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0</v>
      </c>
      <c r="BW996" s="1183">
        <f t="shared" si="4178"/>
        <v>1000</v>
      </c>
      <c r="BX996" s="1183">
        <f t="shared" si="4178"/>
        <v>1800</v>
      </c>
      <c r="BY996" s="1183">
        <f t="shared" si="4178"/>
        <v>25000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0</v>
      </c>
      <c r="BW997" s="1183">
        <f t="shared" ref="BW997:BY997" si="4184">SUM(BW804)</f>
        <v>1440</v>
      </c>
      <c r="BX997" s="1183">
        <f t="shared" si="4184"/>
        <v>0</v>
      </c>
      <c r="BY997" s="1183">
        <f t="shared" si="4184"/>
        <v>25000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785</v>
      </c>
      <c r="B998" s="1183">
        <f>SUM(B802,B803)</f>
        <v>75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800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0</v>
      </c>
      <c r="AB998" s="1183">
        <f t="shared" si="4187"/>
        <v>600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78</v>
      </c>
      <c r="BW998" s="1183">
        <f t="shared" ref="BW998:BY998" si="4190">SUM(BW802,BW803)</f>
        <v>1260</v>
      </c>
      <c r="BX998" s="1183">
        <f t="shared" si="4190"/>
        <v>9600</v>
      </c>
      <c r="BY998" s="1183">
        <f t="shared" si="4190"/>
        <v>87600</v>
      </c>
      <c r="BZ998" s="950">
        <f t="shared" si="4126"/>
        <v>22.866666666666667</v>
      </c>
      <c r="CA998" s="950">
        <f t="shared" si="4127"/>
        <v>49.6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660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720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444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4144</v>
      </c>
      <c r="AB999" s="1183">
        <f t="shared" si="4193"/>
        <v>1548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85600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5348</v>
      </c>
      <c r="BX999" s="1183">
        <f t="shared" si="4196"/>
        <v>0</v>
      </c>
      <c r="BY999" s="1183">
        <f t="shared" si="4196"/>
        <v>91600</v>
      </c>
      <c r="BZ999" s="950">
        <f t="shared" si="4126"/>
        <v>44</v>
      </c>
      <c r="CA999" s="950">
        <f t="shared" si="4127"/>
        <v>519.4666666666667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85600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695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696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11344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16804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165931.20000000001</v>
      </c>
      <c r="BG1002" s="1183">
        <f t="shared" si="4210"/>
        <v>362036.4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11340</v>
      </c>
      <c r="BW1002" s="1183">
        <f t="shared" si="4211"/>
        <v>4016</v>
      </c>
      <c r="BX1002" s="1183">
        <f t="shared" si="4211"/>
        <v>62084</v>
      </c>
      <c r="BY1002" s="1183">
        <f t="shared" si="4211"/>
        <v>-162536.79999999999</v>
      </c>
      <c r="BZ1002" s="950">
        <f t="shared" si="4126"/>
        <v>5944.1973333333326</v>
      </c>
      <c r="CA1002" s="950">
        <f t="shared" si="4127"/>
        <v>6022.0666666666666</v>
      </c>
      <c r="CB1002" s="950">
        <f t="shared" si="4128"/>
        <v>5547.9840000000004</v>
      </c>
      <c r="CC1002" s="950">
        <f t="shared" si="4129"/>
        <v>41297.840000000004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16804</v>
      </c>
      <c r="CR1002" s="1486">
        <f t="shared" si="4131"/>
        <v>17768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165931.20000000001</v>
      </c>
      <c r="DJ1002" s="1035">
        <f t="shared" si="4133"/>
        <v>362036.4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25140</v>
      </c>
      <c r="BW1004" s="1183">
        <f>SUM(BW988:BW1003)</f>
        <v>32760</v>
      </c>
      <c r="BX1004" s="1183">
        <f>SUM(BX988:BX1003)</f>
        <v>98820</v>
      </c>
      <c r="BY1004" s="1183">
        <f>SUM(BY988:BY1003)</f>
        <v>220350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0</v>
      </c>
      <c r="BW1012" s="1220">
        <f>SUM(BW965:BW967)</f>
        <v>3600</v>
      </c>
      <c r="BX1012" s="1220">
        <f>SUM(BX965:BX967)</f>
        <v>6000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0</v>
      </c>
      <c r="BW1013" s="1220">
        <f>BW1011*BW1012*100</f>
        <v>93600</v>
      </c>
      <c r="BX1013" s="1220">
        <f>BX1011*BX1012*100</f>
        <v>120000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213600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0</v>
      </c>
      <c r="BY1015" s="1220">
        <f>BY795</f>
        <v>1000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0</v>
      </c>
      <c r="BY1016" s="1220">
        <f>BY1011*BY1015*100</f>
        <v>9000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9000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5.9145719178082187E-2</v>
      </c>
      <c r="BX1020" s="959">
        <f>BX11</f>
        <v>5.5202671232876706E-2</v>
      </c>
      <c r="BY1020" s="959">
        <f>BY11</f>
        <v>0.45423912328767113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667567.68312090565</v>
      </c>
      <c r="BW1022" s="1220">
        <f>365*$G$1/BW454*BW456*BW46</f>
        <v>593393.49610747164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0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5.9145719178082187E-2</v>
      </c>
      <c r="BX1024" s="1225">
        <f>IF(BX1023="",BX1020,BX1020+BX1023)</f>
        <v>6.5179187724604154E-2</v>
      </c>
      <c r="BY1024" s="1225">
        <f>IF(BY1023="",BY1020,BY1020+BY1023)</f>
        <v>0.45423912328767113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7.8860958904109588E-2</v>
      </c>
      <c r="BX1025" s="1225">
        <f>BX1024*BX46/6</f>
        <v>6.5179187724604154E-2</v>
      </c>
      <c r="BY1025" s="1225">
        <f>BY1024*BY46/6</f>
        <v>0.37853260273972594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2.6286986301369866</v>
      </c>
      <c r="BX1026" s="1225">
        <f>IF(OR(BX48=0,BX48=""),"",BX1025/SUM(BX48))</f>
        <v>0.13035837544920831</v>
      </c>
      <c r="BY1026" s="1225">
        <f>IF(OR(BY48=0,BY48=""),"",BY1025/SUM(BY48))</f>
        <v>9.4633150684931486E-2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2.6286986301369866</v>
      </c>
      <c r="BX1030" s="1227">
        <f>IF(OR(BX1029="",BX1029=0),"",BX1025/BX1029)</f>
        <v>0.13035837544920831</v>
      </c>
      <c r="BY1030" s="1227">
        <f>IF(OR(BY1029="",BY1029=0),"",BY1025/BY1029)</f>
        <v>9.4633150684931486E-2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70" zoomScaleNormal="70" zoomScalePageLayoutView="70" workbookViewId="0">
      <pane xSplit="1" ySplit="6" topLeftCell="AP230" activePane="bottomRight" state="frozen"/>
      <selection pane="topRight" activeCell="AK1" sqref="AK1"/>
      <selection pane="bottomLeft" activeCell="A82" sqref="A82"/>
      <selection pane="bottomRight" activeCell="BV249" sqref="BV249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821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'Middle'</v>
      </c>
      <c r="CE4" s="464"/>
      <c r="CF4" s="470" t="str">
        <f>IF(UPPER($CF$3)=UPPER($BZ$4),$BV$4,IF(UPPER($CF$3)=UPPER($CA$4),$BW$4,IF(UPPER($CF$3)=UPPER($CB$4),$BX$4,$BY$4)))</f>
        <v>'Middle'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'Better-Off'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664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12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>
        <f t="shared" si="8"/>
        <v>1</v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>
        <f t="shared" si="8"/>
        <v>20</v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>
        <f t="shared" si="8"/>
        <v>12</v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>
        <f t="shared" si="8"/>
        <v>30</v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>
        <f t="shared" si="8"/>
        <v>7200</v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/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 t="str">
        <f t="shared" si="18"/>
        <v/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/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 t="str">
        <f t="shared" si="18"/>
        <v/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/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 t="str">
        <f t="shared" si="18"/>
        <v/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/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 t="str">
        <f t="shared" si="18"/>
        <v/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 t="str">
        <f>IF(BV23="","",BV22*BV23*BV24*BV25)</f>
        <v/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 t="str">
        <f t="shared" si="18"/>
        <v/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>
        <f t="shared" si="68"/>
        <v>1</v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>
        <f t="shared" si="68"/>
        <v>1</v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>
        <f t="shared" si="68"/>
        <v>1</v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>
        <f t="shared" si="68"/>
        <v>18000</v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>
        <f t="shared" si="68"/>
        <v>18000</v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7200</v>
      </c>
      <c r="CT63" s="474">
        <f t="shared" si="69"/>
        <v>18000</v>
      </c>
      <c r="CU63" s="484" t="str">
        <f t="shared" si="70"/>
        <v/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 t="str">
        <f t="shared" si="71"/>
        <v/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813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>
        <f t="shared" si="152"/>
        <v>1</v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 t="str">
        <f t="shared" si="154"/>
        <v/>
      </c>
      <c r="DD115" s="487" t="str">
        <f t="shared" si="154"/>
        <v/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>
        <f t="shared" si="152"/>
        <v>1</v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 t="str">
        <f t="shared" si="154"/>
        <v/>
      </c>
      <c r="DD116" s="487" t="str">
        <f t="shared" si="154"/>
        <v/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>
        <f t="shared" si="152"/>
        <v>12</v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 t="str">
        <f t="shared" si="154"/>
        <v/>
      </c>
      <c r="DD117" s="487" t="str">
        <f t="shared" si="154"/>
        <v/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>
        <f t="shared" si="152"/>
        <v>700</v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 t="str">
        <f t="shared" si="154"/>
        <v/>
      </c>
      <c r="DD118" s="487" t="str">
        <f t="shared" si="154"/>
        <v/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>
        <f t="shared" si="152"/>
        <v>8400</v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 t="str">
        <f t="shared" si="154"/>
        <v/>
      </c>
      <c r="DD119" s="487" t="str">
        <f t="shared" si="154"/>
        <v/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74">
        <f t="shared" si="153"/>
        <v>8400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0</v>
      </c>
      <c r="DK120" s="484">
        <f t="shared" si="155"/>
        <v>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>
        <v>1</v>
      </c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 t="str">
        <f t="shared" si="170"/>
        <v/>
      </c>
      <c r="DC124" s="487" t="str">
        <f t="shared" si="170"/>
        <v/>
      </c>
      <c r="DD124" s="487" t="str">
        <f t="shared" si="170"/>
        <v/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>
        <v>1</v>
      </c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 t="str">
        <f t="shared" si="170"/>
        <v/>
      </c>
      <c r="DC125" s="487" t="str">
        <f t="shared" si="170"/>
        <v/>
      </c>
      <c r="DD125" s="487" t="str">
        <f t="shared" si="170"/>
        <v/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>
        <v>12</v>
      </c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 t="str">
        <f t="shared" si="170"/>
        <v/>
      </c>
      <c r="DC126" s="487" t="str">
        <f t="shared" si="170"/>
        <v/>
      </c>
      <c r="DD126" s="487" t="str">
        <f t="shared" si="170"/>
        <v/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>
        <v>500</v>
      </c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500</v>
      </c>
      <c r="CM127" s="163">
        <f t="shared" si="168"/>
        <v>1000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 t="str">
        <f t="shared" si="170"/>
        <v/>
      </c>
      <c r="DC127" s="487" t="str">
        <f t="shared" si="170"/>
        <v/>
      </c>
      <c r="DD127" s="487" t="str">
        <f t="shared" si="170"/>
        <v/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>
        <f>IF(BX125="","",BX124*BX125*BX126*BX127)</f>
        <v>6000</v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6000</v>
      </c>
      <c r="CM128" s="163">
        <f t="shared" si="168"/>
        <v>12000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 t="str">
        <f t="shared" si="170"/>
        <v/>
      </c>
      <c r="DC128" s="487" t="str">
        <f t="shared" si="170"/>
        <v/>
      </c>
      <c r="DD128" s="487" t="str">
        <f t="shared" si="170"/>
        <v/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6000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6000</v>
      </c>
      <c r="CT153" s="474">
        <f t="shared" si="205"/>
        <v>12000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0</v>
      </c>
      <c r="DJ153" s="485">
        <f t="shared" si="207"/>
        <v>0</v>
      </c>
      <c r="DK153" s="484">
        <f t="shared" si="207"/>
        <v>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>
        <f t="shared" si="222"/>
        <v>4</v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>
        <f t="shared" si="222"/>
        <v>1</v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>
        <f t="shared" si="222"/>
        <v>3</v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>
        <f t="shared" si="222"/>
        <v>100</v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>
        <f t="shared" si="222"/>
        <v>1200</v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812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>
        <f t="shared" si="245"/>
        <v>1</v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>
        <f t="shared" si="245"/>
        <v>1</v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>
        <f t="shared" si="245"/>
        <v>12</v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>
        <f t="shared" si="245"/>
        <v>350</v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>
        <f t="shared" si="245"/>
        <v>4200</v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4200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1200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 t="str">
        <f t="shared" si="315"/>
        <v/>
      </c>
      <c r="DC220" s="487" t="str">
        <f t="shared" si="315"/>
        <v/>
      </c>
      <c r="DD220" s="487" t="str">
        <f t="shared" si="315"/>
        <v/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 t="str">
        <f t="shared" si="315"/>
        <v/>
      </c>
      <c r="DC221" s="487" t="str">
        <f t="shared" si="315"/>
        <v/>
      </c>
      <c r="DD221" s="487" t="str">
        <f t="shared" si="315"/>
        <v/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 t="str">
        <f t="shared" si="315"/>
        <v/>
      </c>
      <c r="DC222" s="487" t="str">
        <f t="shared" si="315"/>
        <v/>
      </c>
      <c r="DD222" s="487" t="str">
        <f t="shared" si="315"/>
        <v/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 t="str">
        <f t="shared" si="315"/>
        <v/>
      </c>
      <c r="DC223" s="487" t="str">
        <f t="shared" si="315"/>
        <v/>
      </c>
      <c r="DD223" s="487" t="str">
        <f t="shared" si="315"/>
        <v/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 t="str">
        <f t="shared" si="315"/>
        <v/>
      </c>
      <c r="DC224" s="487" t="str">
        <f t="shared" si="315"/>
        <v/>
      </c>
      <c r="DD224" s="487" t="str">
        <f t="shared" si="315"/>
        <v/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>
        <f t="shared" si="329"/>
        <v>4</v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>
        <f t="shared" si="329"/>
        <v>1</v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>
        <f t="shared" si="329"/>
        <v>12</v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>
        <f t="shared" si="329"/>
        <v>400</v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>
        <f t="shared" si="329"/>
        <v>19200</v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74">
        <f t="shared" si="350"/>
        <v>19200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0</v>
      </c>
      <c r="DJ249" s="485">
        <f t="shared" si="352"/>
        <v>0</v>
      </c>
      <c r="DK249" s="484">
        <f t="shared" si="352"/>
        <v>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676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 t="str">
        <f t="shared" si="401"/>
        <v/>
      </c>
      <c r="DC253" s="1632">
        <f t="shared" si="401"/>
        <v>1</v>
      </c>
      <c r="DD253" s="1632">
        <f t="shared" si="401"/>
        <v>1</v>
      </c>
      <c r="DE253" s="1631" t="str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 t="str">
        <f t="shared" si="401"/>
        <v/>
      </c>
      <c r="DC254" s="487">
        <f t="shared" si="401"/>
        <v>1</v>
      </c>
      <c r="DD254" s="487">
        <f t="shared" si="401"/>
        <v>1</v>
      </c>
      <c r="DE254" s="486" t="str">
        <f t="shared" si="402"/>
        <v/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 t="str">
        <f t="shared" si="401"/>
        <v/>
      </c>
      <c r="DC255" s="487">
        <f t="shared" si="401"/>
        <v>12</v>
      </c>
      <c r="DD255" s="487">
        <f t="shared" si="401"/>
        <v>12</v>
      </c>
      <c r="DE255" s="486" t="str">
        <f t="shared" si="402"/>
        <v/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1450</v>
      </c>
      <c r="CM256" s="163">
        <f t="shared" si="399"/>
        <v>1500</v>
      </c>
      <c r="CN256" s="94">
        <f t="shared" si="400"/>
        <v>1500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 t="str">
        <f t="shared" si="401"/>
        <v/>
      </c>
      <c r="DC256" s="487">
        <f t="shared" si="401"/>
        <v>1500</v>
      </c>
      <c r="DD256" s="487">
        <f t="shared" si="401"/>
        <v>1520</v>
      </c>
      <c r="DE256" s="486" t="str">
        <f t="shared" si="402"/>
        <v/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17400</v>
      </c>
      <c r="CM257" s="163">
        <f t="shared" si="399"/>
        <v>18000</v>
      </c>
      <c r="CN257" s="94">
        <f t="shared" si="400"/>
        <v>18000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 t="str">
        <f t="shared" si="401"/>
        <v/>
      </c>
      <c r="DC257" s="487">
        <f t="shared" si="401"/>
        <v>18000</v>
      </c>
      <c r="DD257" s="487">
        <f t="shared" si="401"/>
        <v>18240</v>
      </c>
      <c r="DE257" s="486" t="str">
        <f t="shared" si="402"/>
        <v/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677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 t="str">
        <f t="shared" si="407"/>
        <v/>
      </c>
      <c r="CK259" s="1542">
        <f t="shared" si="407"/>
        <v>2</v>
      </c>
      <c r="CL259" s="1542">
        <f t="shared" si="407"/>
        <v>2</v>
      </c>
      <c r="CM259" s="1542">
        <f t="shared" si="407"/>
        <v>2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 t="str">
        <f t="shared" si="409"/>
        <v/>
      </c>
      <c r="DB259" s="1632" t="str">
        <f t="shared" si="409"/>
        <v/>
      </c>
      <c r="DC259" s="1632" t="str">
        <f t="shared" si="409"/>
        <v/>
      </c>
      <c r="DD259" s="1632" t="str">
        <f t="shared" si="409"/>
        <v/>
      </c>
      <c r="DE259" s="1631" t="str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31" t="str">
        <f t="shared" si="410"/>
        <v/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 t="str">
        <f t="shared" si="407"/>
        <v/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 t="str">
        <f t="shared" si="409"/>
        <v/>
      </c>
      <c r="DB260" s="487" t="str">
        <f t="shared" si="409"/>
        <v/>
      </c>
      <c r="DC260" s="487" t="str">
        <f t="shared" si="409"/>
        <v/>
      </c>
      <c r="DD260" s="487" t="str">
        <f t="shared" si="409"/>
        <v/>
      </c>
      <c r="DE260" s="486" t="str">
        <f t="shared" si="410"/>
        <v/>
      </c>
      <c r="DF260" s="486" t="str">
        <f t="shared" si="410"/>
        <v/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 t="str">
        <f t="shared" si="407"/>
        <v/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 t="str">
        <f t="shared" si="409"/>
        <v/>
      </c>
      <c r="DB261" s="487" t="str">
        <f t="shared" si="409"/>
        <v/>
      </c>
      <c r="DC261" s="487" t="str">
        <f t="shared" si="409"/>
        <v/>
      </c>
      <c r="DD261" s="487" t="str">
        <f t="shared" si="409"/>
        <v/>
      </c>
      <c r="DE261" s="486" t="str">
        <f t="shared" si="410"/>
        <v/>
      </c>
      <c r="DF261" s="486" t="str">
        <f t="shared" si="410"/>
        <v/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 t="str">
        <f t="shared" si="407"/>
        <v/>
      </c>
      <c r="CK262" s="163">
        <f t="shared" si="407"/>
        <v>300</v>
      </c>
      <c r="CL262" s="163">
        <f t="shared" si="407"/>
        <v>310</v>
      </c>
      <c r="CM262" s="163">
        <f t="shared" si="407"/>
        <v>350</v>
      </c>
      <c r="CN262" s="94">
        <f t="shared" si="408"/>
        <v>350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 t="str">
        <f t="shared" si="409"/>
        <v/>
      </c>
      <c r="DB262" s="487" t="str">
        <f t="shared" si="409"/>
        <v/>
      </c>
      <c r="DC262" s="487" t="str">
        <f t="shared" si="409"/>
        <v/>
      </c>
      <c r="DD262" s="487" t="str">
        <f t="shared" si="409"/>
        <v/>
      </c>
      <c r="DE262" s="486" t="str">
        <f t="shared" si="410"/>
        <v/>
      </c>
      <c r="DF262" s="486" t="str">
        <f t="shared" si="410"/>
        <v/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 t="str">
        <f t="shared" si="407"/>
        <v/>
      </c>
      <c r="CK263" s="163">
        <f t="shared" si="407"/>
        <v>7200</v>
      </c>
      <c r="CL263" s="163">
        <f t="shared" si="407"/>
        <v>7440</v>
      </c>
      <c r="CM263" s="163">
        <f t="shared" si="407"/>
        <v>8400</v>
      </c>
      <c r="CN263" s="94">
        <f t="shared" si="408"/>
        <v>12600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 t="str">
        <f t="shared" si="409"/>
        <v/>
      </c>
      <c r="DB263" s="487" t="str">
        <f t="shared" si="409"/>
        <v/>
      </c>
      <c r="DC263" s="487" t="str">
        <f t="shared" si="409"/>
        <v/>
      </c>
      <c r="DD263" s="487" t="str">
        <f t="shared" si="409"/>
        <v/>
      </c>
      <c r="DE263" s="486" t="str">
        <f t="shared" si="410"/>
        <v/>
      </c>
      <c r="DF263" s="486" t="str">
        <f t="shared" si="410"/>
        <v/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>
        <f t="shared" si="415"/>
        <v>1</v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>
        <f t="shared" si="417"/>
        <v>2</v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>
        <f t="shared" si="415"/>
        <v>1</v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>
        <f t="shared" si="417"/>
        <v>1</v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>
        <f t="shared" si="415"/>
        <v>12</v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>
        <f t="shared" si="417"/>
        <v>12</v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>
        <f t="shared" si="415"/>
        <v>580</v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>
        <f t="shared" si="417"/>
        <v>300</v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>
        <f t="shared" si="415"/>
        <v>6960</v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>
        <f t="shared" si="417"/>
        <v>7200</v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678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679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680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681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 t="str">
        <f t="shared" si="461"/>
        <v/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 t="str">
        <f t="shared" si="461"/>
        <v/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 t="str">
        <f t="shared" si="461"/>
        <v/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 t="str">
        <f t="shared" si="461"/>
        <v/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 t="str">
        <f t="shared" si="461"/>
        <v/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8400</v>
      </c>
      <c r="CQ300" s="93">
        <f t="shared" si="460"/>
        <v>18000</v>
      </c>
      <c r="CR300" s="162">
        <f t="shared" si="460"/>
        <v>23400</v>
      </c>
      <c r="CS300" s="162">
        <f t="shared" si="460"/>
        <v>30600</v>
      </c>
      <c r="CT300" s="474">
        <f t="shared" si="460"/>
        <v>31800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0</v>
      </c>
      <c r="DG300" s="486">
        <f t="shared" si="462"/>
        <v>0</v>
      </c>
      <c r="DH300" s="486">
        <f t="shared" si="462"/>
        <v>0</v>
      </c>
      <c r="DI300" s="486">
        <f t="shared" si="462"/>
        <v>7200</v>
      </c>
      <c r="DJ300" s="485">
        <f t="shared" si="462"/>
        <v>18000</v>
      </c>
      <c r="DK300" s="484">
        <f t="shared" si="462"/>
        <v>18240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U41" activePane="bottomRight" state="frozen"/>
      <selection pane="topRight" activeCell="AK1" sqref="AK1"/>
      <selection pane="bottomLeft" activeCell="A24" sqref="A24"/>
      <selection pane="bottomRight" activeCell="BY74" sqref="BY7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704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786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'Middle'</v>
      </c>
      <c r="CE5" s="464"/>
      <c r="CF5" s="470" t="str">
        <f>IF(UPPER($CG$4)=UPPER($BZ$4),$BV$4,IF(UPPER($CG$4)=UPPER($CA$4),$BW$4,IF(UPPER($CG$4)=UPPER($CB$4),$BX$4,$BY$4)))</f>
        <v>'Middle'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8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8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705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10</v>
      </c>
      <c r="CT20" s="474">
        <f t="shared" si="55"/>
        <v>10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>
        <f t="shared" si="54"/>
        <v>1</v>
      </c>
      <c r="CM21" s="163">
        <f t="shared" si="54"/>
        <v>1</v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>
        <f t="shared" si="54"/>
        <v>12</v>
      </c>
      <c r="CM22" s="163">
        <f t="shared" si="54"/>
        <v>12</v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>
        <f t="shared" si="54"/>
        <v>120</v>
      </c>
      <c r="CM23" s="163">
        <f t="shared" si="54"/>
        <v>120</v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>
        <f t="shared" si="54"/>
        <v>6.0829389788293893E-2</v>
      </c>
      <c r="CM25" s="479">
        <f t="shared" si="54"/>
        <v>9.1244084682440843E-2</v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>
        <f t="shared" si="54"/>
        <v>80</v>
      </c>
      <c r="CM26" s="163">
        <f t="shared" si="54"/>
        <v>150</v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>
        <f t="shared" si="54"/>
        <v>960</v>
      </c>
      <c r="CM27" s="163">
        <f t="shared" si="54"/>
        <v>1800</v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706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707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0.25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3</v>
      </c>
      <c r="CR38" s="162">
        <f t="shared" si="214"/>
        <v>5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>
        <f t="shared" si="213"/>
        <v>1</v>
      </c>
      <c r="CJ39" s="94">
        <f t="shared" si="213"/>
        <v>1</v>
      </c>
      <c r="CK39" s="163">
        <f t="shared" si="213"/>
        <v>1</v>
      </c>
      <c r="CL39" s="163">
        <f t="shared" si="213"/>
        <v>1</v>
      </c>
      <c r="CM39" s="163">
        <f t="shared" si="213"/>
        <v>1</v>
      </c>
      <c r="CN39" s="94">
        <f t="shared" si="214"/>
        <v>3</v>
      </c>
      <c r="CO39" s="94">
        <f t="shared" si="214"/>
        <v>5</v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>
        <f t="shared" si="213"/>
        <v>12</v>
      </c>
      <c r="CJ40" s="94">
        <f t="shared" si="213"/>
        <v>12</v>
      </c>
      <c r="CK40" s="163">
        <f t="shared" si="213"/>
        <v>12</v>
      </c>
      <c r="CL40" s="163">
        <f t="shared" si="213"/>
        <v>12</v>
      </c>
      <c r="CM40" s="163">
        <f t="shared" si="213"/>
        <v>12</v>
      </c>
      <c r="CN40" s="94">
        <f t="shared" si="214"/>
        <v>12</v>
      </c>
      <c r="CO40" s="94">
        <f t="shared" si="214"/>
        <v>12</v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>
        <f t="shared" si="213"/>
        <v>9</v>
      </c>
      <c r="CJ41" s="94">
        <f t="shared" si="213"/>
        <v>12</v>
      </c>
      <c r="CK41" s="163">
        <f t="shared" si="213"/>
        <v>36</v>
      </c>
      <c r="CL41" s="163">
        <f t="shared" si="213"/>
        <v>60</v>
      </c>
      <c r="CM41" s="163">
        <f t="shared" si="213"/>
        <v>60</v>
      </c>
      <c r="CN41" s="94">
        <f t="shared" si="214"/>
        <v>60</v>
      </c>
      <c r="CO41" s="94">
        <f t="shared" si="214"/>
        <v>60</v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3.314115504358655E-2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>
        <f t="shared" si="213"/>
        <v>7.9538772104607736E-3</v>
      </c>
      <c r="CJ43" s="478">
        <f t="shared" si="213"/>
        <v>8.8376413449564144E-3</v>
      </c>
      <c r="CK43" s="479">
        <f t="shared" si="213"/>
        <v>2.651292403486924E-2</v>
      </c>
      <c r="CL43" s="479">
        <f t="shared" si="213"/>
        <v>2.651292403486924E-2</v>
      </c>
      <c r="CM43" s="479">
        <f t="shared" si="213"/>
        <v>2.9458804483188047E-2</v>
      </c>
      <c r="CN43" s="478">
        <f t="shared" si="214"/>
        <v>3.314115504358655E-2</v>
      </c>
      <c r="CO43" s="478">
        <f t="shared" si="214"/>
        <v>3.7875605764098916E-2</v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>
        <f t="shared" si="213"/>
        <v>13</v>
      </c>
      <c r="CJ44" s="94">
        <f t="shared" si="213"/>
        <v>15.6</v>
      </c>
      <c r="CK44" s="163">
        <f t="shared" si="213"/>
        <v>17</v>
      </c>
      <c r="CL44" s="163">
        <f t="shared" si="213"/>
        <v>20</v>
      </c>
      <c r="CM44" s="163">
        <f t="shared" si="213"/>
        <v>20</v>
      </c>
      <c r="CN44" s="94">
        <f t="shared" si="214"/>
        <v>20</v>
      </c>
      <c r="CO44" s="94">
        <f t="shared" si="214"/>
        <v>36</v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>
        <f t="shared" si="213"/>
        <v>180</v>
      </c>
      <c r="CJ45" s="94">
        <f t="shared" si="213"/>
        <v>432</v>
      </c>
      <c r="CK45" s="163">
        <f t="shared" si="213"/>
        <v>720</v>
      </c>
      <c r="CL45" s="163">
        <f t="shared" si="213"/>
        <v>780</v>
      </c>
      <c r="CM45" s="163">
        <f t="shared" si="213"/>
        <v>936</v>
      </c>
      <c r="CN45" s="94">
        <f t="shared" si="214"/>
        <v>1020</v>
      </c>
      <c r="CO45" s="94">
        <f t="shared" si="214"/>
        <v>1200</v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808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>
        <f t="shared" si="301"/>
        <v>2</v>
      </c>
      <c r="CM47" s="163">
        <f t="shared" si="301"/>
        <v>5</v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>
        <f t="shared" si="301"/>
        <v>1</v>
      </c>
      <c r="CM48" s="163">
        <f t="shared" si="301"/>
        <v>1</v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>
        <f t="shared" si="301"/>
        <v>12</v>
      </c>
      <c r="CM49" s="163">
        <f t="shared" si="301"/>
        <v>12</v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>
        <f t="shared" si="301"/>
        <v>24</v>
      </c>
      <c r="CM50" s="163">
        <f t="shared" si="301"/>
        <v>60</v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>
        <f t="shared" si="301"/>
        <v>2.587439957302971E-2</v>
      </c>
      <c r="CM52" s="479">
        <f t="shared" si="301"/>
        <v>5.0311332503113322E-2</v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>
        <f t="shared" si="301"/>
        <v>10</v>
      </c>
      <c r="CM53" s="163">
        <f t="shared" si="301"/>
        <v>20</v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>
        <f t="shared" si="301"/>
        <v>480</v>
      </c>
      <c r="CM54" s="163">
        <f t="shared" si="301"/>
        <v>600</v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792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>
        <f t="shared" si="321"/>
        <v>5</v>
      </c>
      <c r="CM56" s="163">
        <f t="shared" si="321"/>
        <v>5</v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>
        <f t="shared" si="321"/>
        <v>1</v>
      </c>
      <c r="CM57" s="163">
        <f t="shared" si="321"/>
        <v>1</v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>
        <f t="shared" si="321"/>
        <v>12</v>
      </c>
      <c r="CM58" s="163">
        <f t="shared" si="321"/>
        <v>12</v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>
        <f t="shared" si="321"/>
        <v>60</v>
      </c>
      <c r="CM59" s="163">
        <f t="shared" si="321"/>
        <v>60</v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 t="str">
        <f t="shared" si="321"/>
        <v/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9.2932752179327536E-3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>
        <f t="shared" si="321"/>
        <v>8.26068908260689E-3</v>
      </c>
      <c r="CM61" s="479">
        <f t="shared" si="321"/>
        <v>1.2391033623910336E-2</v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>
        <f t="shared" si="321"/>
        <v>15</v>
      </c>
      <c r="CM62" s="163">
        <f t="shared" si="321"/>
        <v>18</v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>
        <f t="shared" si="321"/>
        <v>900</v>
      </c>
      <c r="CM63" s="163">
        <f t="shared" si="321"/>
        <v>1080</v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793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>
        <f t="shared" si="341"/>
        <v>10</v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>
        <f t="shared" si="341"/>
        <v>1</v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>
        <f t="shared" si="341"/>
        <v>12</v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>
        <f t="shared" si="341"/>
        <v>120</v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4.2029887920298881E-2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>
        <f t="shared" si="341"/>
        <v>4.8034157623198723E-2</v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>
        <f t="shared" si="341"/>
        <v>9</v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>
        <f t="shared" si="341"/>
        <v>1080</v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8.4464318181818182E-2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7.9538772104607736E-3</v>
      </c>
      <c r="CO73" s="478">
        <f t="shared" si="342"/>
        <v>8.8376413449564144E-3</v>
      </c>
      <c r="CP73" s="478">
        <f t="shared" si="342"/>
        <v>2.651292403486924E-2</v>
      </c>
      <c r="CQ73" s="477">
        <f t="shared" si="342"/>
        <v>3.314115504358655E-2</v>
      </c>
      <c r="CR73" s="1499">
        <f t="shared" si="342"/>
        <v>0.11178416296032735</v>
      </c>
      <c r="CS73" s="1499">
        <f t="shared" si="342"/>
        <v>0.1301480423412204</v>
      </c>
      <c r="CT73" s="771">
        <f t="shared" si="342"/>
        <v>0.14886021585720213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180</v>
      </c>
      <c r="CO74" s="94">
        <f t="shared" si="342"/>
        <v>432</v>
      </c>
      <c r="CP74" s="94">
        <f t="shared" si="342"/>
        <v>936</v>
      </c>
      <c r="CQ74" s="93">
        <f t="shared" si="342"/>
        <v>1200</v>
      </c>
      <c r="CR74" s="162">
        <f t="shared" si="342"/>
        <v>2580</v>
      </c>
      <c r="CS74" s="162">
        <f t="shared" si="342"/>
        <v>3240</v>
      </c>
      <c r="CT74" s="474">
        <f t="shared" si="342"/>
        <v>3600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sqref="A1:XFD1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786</v>
      </c>
      <c r="K1" s="1457">
        <f>Data!$K$1</f>
        <v>4.1867999999999999</v>
      </c>
      <c r="L1" s="1262"/>
      <c r="M1" s="1263" t="s">
        <v>704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1.003064720847088</v>
      </c>
      <c r="D10" s="1294">
        <f>SUM(D11:D19)</f>
        <v>1.056428393209986</v>
      </c>
      <c r="E10" s="1294">
        <f>SUM(E11:E19)</f>
        <v>1.1700144268121526</v>
      </c>
      <c r="F10" s="1294">
        <f>SUM(F11:F19)</f>
        <v>1.3114341273922787</v>
      </c>
      <c r="G10" s="1293"/>
      <c r="H10" s="1295"/>
      <c r="I10" s="1295"/>
      <c r="J10" s="1295"/>
      <c r="K10" s="1295"/>
      <c r="L10" s="1293"/>
      <c r="M10" s="1294" t="e">
        <f>SUM(M11:M19)</f>
        <v>#VALUE!</v>
      </c>
      <c r="N10" s="1294" t="e">
        <f>SUM(N11:N19)</f>
        <v>#VALUE!</v>
      </c>
      <c r="O10" s="1294" t="e">
        <f>SUM(O11:O19)</f>
        <v>#VALUE!</v>
      </c>
      <c r="P10" s="1294" t="e">
        <f>SUM(P11:P19)</f>
        <v>#VALUE!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682</v>
      </c>
      <c r="B11" s="1297"/>
      <c r="C11" s="1449">
        <f>SUM(C832:C835,C838:C841,C844)</f>
        <v>5.2573972602739716E-2</v>
      </c>
      <c r="D11" s="1449">
        <f>SUM(D832:D835,D838:D841,D844)</f>
        <v>5.9145719178082187E-2</v>
      </c>
      <c r="E11" s="1449">
        <f>SUM(E832:E835,E838:E841,E844)</f>
        <v>5.5202671232876706E-2</v>
      </c>
      <c r="F11" s="1449">
        <f>SUM(F832:F835,F838:F841,F844)</f>
        <v>0.45423912328767113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683</v>
      </c>
      <c r="B12" s="1297"/>
      <c r="C12" s="1449">
        <f>SUM(C830:C831,C836:C837,C842:C843,C845:C849)</f>
        <v>5.930746367787465E-2</v>
      </c>
      <c r="D12" s="1449">
        <f>SUM(D830:D831,D836:D837,D842:D843,D845:D849)</f>
        <v>2.2099202988792029E-2</v>
      </c>
      <c r="E12" s="1449">
        <f>SUM(E830:E831,E836:E837,E842:E843,E845:E849)</f>
        <v>2.4034869240348693E-2</v>
      </c>
      <c r="F12" s="1449">
        <f>SUM(F830:F831,F836:F837,F842:F843,F845:F849)</f>
        <v>0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7.2104607721046071E-2</v>
      </c>
      <c r="P12" s="1449">
        <f>SUM(P830:P831,P836:P837,P842:P843,P845:P849)</f>
        <v>0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684</v>
      </c>
      <c r="B16" s="1297"/>
      <c r="C16" s="1449">
        <f>SUM(C859:C864)</f>
        <v>0.57787878787878788</v>
      </c>
      <c r="D16" s="1449">
        <f t="shared" ref="D16:F16" si="0">SUM(D859:D864)</f>
        <v>0.61965505740971338</v>
      </c>
      <c r="E16" s="1449">
        <f t="shared" si="0"/>
        <v>0.58370082191780814</v>
      </c>
      <c r="F16" s="1449">
        <f t="shared" si="0"/>
        <v>0.67660356463262761</v>
      </c>
      <c r="G16" s="1297"/>
      <c r="H16" s="1298"/>
      <c r="I16" s="1298"/>
      <c r="J16" s="1298"/>
      <c r="K16" s="1298"/>
      <c r="L16" s="1297"/>
      <c r="M16" s="1449" t="e">
        <f>SUM(M859:M864)</f>
        <v>#VALUE!</v>
      </c>
      <c r="N16" s="1449" t="e">
        <f t="shared" ref="N16:P16" si="1">SUM(N859:N864)</f>
        <v>#VALUE!</v>
      </c>
      <c r="O16" s="1449" t="e">
        <f t="shared" si="1"/>
        <v>#VALUE!</v>
      </c>
      <c r="P16" s="1449" t="e">
        <f t="shared" si="1"/>
        <v>#VALUE!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685</v>
      </c>
      <c r="B17" s="1297"/>
      <c r="C17" s="1449">
        <f>SUM(C865:C888)</f>
        <v>0.20748439086757989</v>
      </c>
      <c r="D17" s="1449">
        <f t="shared" ref="D17:F17" si="2">SUM(D865:D888)</f>
        <v>0.29600460410958906</v>
      </c>
      <c r="E17" s="1449">
        <f t="shared" si="2"/>
        <v>0.42771098505603988</v>
      </c>
      <c r="F17" s="1449">
        <f t="shared" si="2"/>
        <v>0.17114115927272727</v>
      </c>
      <c r="G17" s="1297"/>
      <c r="H17" s="1298"/>
      <c r="I17" s="1298"/>
      <c r="J17" s="1298"/>
      <c r="K17" s="1298"/>
      <c r="L17" s="1297"/>
      <c r="M17" s="1449" t="e">
        <f>SUM(M865:M888)</f>
        <v>#DIV/0!</v>
      </c>
      <c r="N17" s="1449" t="e">
        <f t="shared" ref="N17:P17" si="3">SUM(N865:N888)</f>
        <v>#DIV/0!</v>
      </c>
      <c r="O17" s="1449" t="e">
        <f t="shared" si="3"/>
        <v>#DIV/0!</v>
      </c>
      <c r="P17" s="1449" t="e">
        <f t="shared" si="3"/>
        <v>#DIV/0!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5.9523809523809521E-2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25140</v>
      </c>
      <c r="D20" s="1302">
        <f>SUM(D21:D30)</f>
        <v>32760</v>
      </c>
      <c r="E20" s="1302">
        <f>SUM(E21:E30)</f>
        <v>98820</v>
      </c>
      <c r="F20" s="1302">
        <f>SUM(F21:F30)</f>
        <v>220350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450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0</v>
      </c>
      <c r="D24" s="1304">
        <f>SUM(D965:D968)</f>
        <v>3600</v>
      </c>
      <c r="E24" s="1304">
        <f>SUM(E965:E968)</f>
        <v>6000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13800</v>
      </c>
      <c r="D31" s="1302">
        <f>SUM(D32:D41)</f>
        <v>28744</v>
      </c>
      <c r="E31" s="1302">
        <f>SUM(E32:E41)</f>
        <v>36736</v>
      </c>
      <c r="F31" s="1302">
        <f>SUM(F32:F41)</f>
        <v>383786.8</v>
      </c>
      <c r="G31" s="1301"/>
      <c r="H31" s="1303"/>
      <c r="I31" s="1303"/>
      <c r="J31" s="1303"/>
      <c r="K31" s="1303"/>
      <c r="L31" s="1301"/>
      <c r="M31" s="1302" t="e">
        <f>SUM(M32:M41)</f>
        <v>#VALUE!</v>
      </c>
      <c r="N31" s="1302" t="e">
        <f>SUM(N32:N41)</f>
        <v>#VALUE!</v>
      </c>
      <c r="O31" s="1302" t="e">
        <f>SUM(O32:O41)</f>
        <v>#VALUE!</v>
      </c>
      <c r="P31" s="1302" t="e">
        <f>SUM(P32:P41)</f>
        <v>#VALUE!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6840</v>
      </c>
      <c r="D32" s="1448">
        <f t="shared" si="4"/>
        <v>9612</v>
      </c>
      <c r="E32" s="1448">
        <f t="shared" si="4"/>
        <v>7920</v>
      </c>
      <c r="F32" s="1448">
        <f t="shared" si="4"/>
        <v>8390</v>
      </c>
      <c r="G32" s="1308"/>
      <c r="H32" s="1309"/>
      <c r="I32" s="1309"/>
      <c r="J32" s="1309"/>
      <c r="K32" s="1309"/>
      <c r="L32" s="1308"/>
      <c r="M32" s="1448">
        <f t="shared" ref="M32:P32" si="5">M988</f>
        <v>3244.4690897044202</v>
      </c>
      <c r="N32" s="1448">
        <f t="shared" si="5"/>
        <v>0</v>
      </c>
      <c r="O32" s="1448">
        <f t="shared" si="5"/>
        <v>-1129.2876917758549</v>
      </c>
      <c r="P32" s="1448">
        <f t="shared" si="5"/>
        <v>-1830.389349000422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12756</v>
      </c>
      <c r="F33" s="1448">
        <f t="shared" si="6"/>
        <v>9736.7999999999993</v>
      </c>
      <c r="G33" s="1308"/>
      <c r="H33" s="1309"/>
      <c r="I33" s="1309"/>
      <c r="J33" s="1309"/>
      <c r="K33" s="1309"/>
      <c r="L33" s="1308"/>
      <c r="M33" s="1448" t="e">
        <f t="shared" ref="M33:P33" si="7">SUM(M989:M991)</f>
        <v>#VALUE!</v>
      </c>
      <c r="N33" s="1448" t="e">
        <f t="shared" si="7"/>
        <v>#VALUE!</v>
      </c>
      <c r="O33" s="1448" t="e">
        <f t="shared" si="7"/>
        <v>#VALUE!</v>
      </c>
      <c r="P33" s="1448" t="e">
        <f t="shared" si="7"/>
        <v>#VALUE!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1480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0</v>
      </c>
      <c r="D36" s="1448">
        <f t="shared" si="8"/>
        <v>20</v>
      </c>
      <c r="E36" s="1448">
        <f t="shared" si="8"/>
        <v>300</v>
      </c>
      <c r="F36" s="1448">
        <f t="shared" si="8"/>
        <v>9900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0</v>
      </c>
      <c r="D37" s="1448">
        <f t="shared" si="8"/>
        <v>800</v>
      </c>
      <c r="E37" s="1448">
        <f t="shared" si="8"/>
        <v>480</v>
      </c>
      <c r="F37" s="1448">
        <f t="shared" si="8"/>
        <v>120800</v>
      </c>
      <c r="G37" s="1310"/>
      <c r="H37" s="1311"/>
      <c r="I37" s="1311"/>
      <c r="J37" s="1311"/>
      <c r="K37" s="1311"/>
      <c r="L37" s="1310"/>
      <c r="M37" s="1448">
        <f t="shared" ref="M37:P37" si="12">M995</f>
        <v>1980</v>
      </c>
      <c r="N37" s="1448">
        <f t="shared" si="12"/>
        <v>960</v>
      </c>
      <c r="O37" s="1448">
        <f t="shared" si="12"/>
        <v>840</v>
      </c>
      <c r="P37" s="1448">
        <f t="shared" si="12"/>
        <v>-119700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0</v>
      </c>
      <c r="D38" s="1448">
        <f t="shared" si="8"/>
        <v>1000</v>
      </c>
      <c r="E38" s="1448">
        <f t="shared" si="8"/>
        <v>1800</v>
      </c>
      <c r="F38" s="1448">
        <f t="shared" si="8"/>
        <v>25000</v>
      </c>
      <c r="G38" s="1310"/>
      <c r="H38" s="1311"/>
      <c r="I38" s="1311"/>
      <c r="J38" s="1311"/>
      <c r="K38" s="1311"/>
      <c r="L38" s="1310"/>
      <c r="M38" s="1448">
        <f t="shared" ref="M38:P38" si="13">M996</f>
        <v>2700</v>
      </c>
      <c r="N38" s="1448">
        <f t="shared" si="13"/>
        <v>1400</v>
      </c>
      <c r="O38" s="1448">
        <f t="shared" si="13"/>
        <v>0</v>
      </c>
      <c r="P38" s="1448">
        <f t="shared" si="13"/>
        <v>-23500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0</v>
      </c>
      <c r="D39" s="1448">
        <f t="shared" si="8"/>
        <v>1440</v>
      </c>
      <c r="E39" s="1448">
        <f t="shared" si="8"/>
        <v>0</v>
      </c>
      <c r="F39" s="1448">
        <f t="shared" si="8"/>
        <v>25000</v>
      </c>
      <c r="G39" s="1310"/>
      <c r="H39" s="1311"/>
      <c r="I39" s="1311"/>
      <c r="J39" s="1311"/>
      <c r="K39" s="1311"/>
      <c r="L39" s="1310"/>
      <c r="M39" s="1448">
        <f t="shared" ref="M39:P39" si="14">M997</f>
        <v>540</v>
      </c>
      <c r="N39" s="1448">
        <f t="shared" si="14"/>
        <v>-180</v>
      </c>
      <c r="O39" s="1448">
        <f t="shared" si="14"/>
        <v>360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785</v>
      </c>
      <c r="B40" s="978"/>
      <c r="C40" s="1448">
        <f t="shared" si="8"/>
        <v>78</v>
      </c>
      <c r="D40" s="1448">
        <f t="shared" si="8"/>
        <v>1260</v>
      </c>
      <c r="E40" s="1448">
        <f t="shared" si="8"/>
        <v>9600</v>
      </c>
      <c r="F40" s="1448">
        <f t="shared" si="8"/>
        <v>87600</v>
      </c>
      <c r="G40" s="1310"/>
      <c r="H40" s="1311"/>
      <c r="I40" s="1311"/>
      <c r="J40" s="1311"/>
      <c r="K40" s="1311"/>
      <c r="L40" s="1310"/>
      <c r="M40" s="1448">
        <f t="shared" ref="M40:P40" si="15">M998</f>
        <v>714</v>
      </c>
      <c r="N40" s="1448">
        <f t="shared" si="15"/>
        <v>104</v>
      </c>
      <c r="O40" s="1448">
        <f t="shared" si="15"/>
        <v>-9072</v>
      </c>
      <c r="P40" s="1448">
        <f t="shared" si="15"/>
        <v>-83560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5348</v>
      </c>
      <c r="E41" s="1448">
        <f t="shared" si="8"/>
        <v>0</v>
      </c>
      <c r="F41" s="1448">
        <f t="shared" si="8"/>
        <v>91600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27678.666666666668</v>
      </c>
      <c r="O41" s="1448">
        <f t="shared" si="16"/>
        <v>24509</v>
      </c>
      <c r="P41" s="1448">
        <f t="shared" si="16"/>
        <v>-67575.833333333328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0.27207637231503579</v>
      </c>
      <c r="D42" s="1313">
        <f t="shared" ref="D42:F42" si="17">IF(D20=0,"",D32/D20)</f>
        <v>0.29340659340659342</v>
      </c>
      <c r="E42" s="1313">
        <f t="shared" si="17"/>
        <v>8.0145719489981782E-2</v>
      </c>
      <c r="F42" s="1313">
        <f t="shared" si="17"/>
        <v>3.8075788518266394E-2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11340</v>
      </c>
      <c r="D43" s="1316">
        <f>D20-D31</f>
        <v>4016</v>
      </c>
      <c r="E43" s="1316">
        <f>E20-E31</f>
        <v>62084</v>
      </c>
      <c r="F43" s="1316">
        <f>F20-F31</f>
        <v>-163436.79999999999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8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8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733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734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733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734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735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736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735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736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737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738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739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740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741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742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743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745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640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5.9145719178082187E-2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0.45423912328767113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>
        <f>IF(Data!BV272="","",Data!BV272)</f>
        <v>80</v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>
        <f>IF(C272="","",(C272-SUM(C274)-SUM(C277))*C273/C$46/365/$P$1)</f>
        <v>3.9278405977584072E-2</v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 t="str">
        <f>IF(Data!BY340="","",Data!BY340)</f>
        <v/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 t="str">
        <f>IF(Data!BY342="","",Data!BY342)</f>
        <v/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 t="str">
        <f>IF(F340="","",F340*F342)</f>
        <v/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5790</v>
      </c>
      <c r="D344" s="1057">
        <f>IF(Data!BW344="","",Data!BW344)</f>
        <v>5790</v>
      </c>
      <c r="E344" s="1057">
        <f>IF(Data!BX344="","",Data!BX344)</f>
        <v>5790</v>
      </c>
      <c r="F344" s="1057" t="str">
        <f>IF(Data!BY344="","",Data!BY344)</f>
        <v/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 t="str">
        <f>IF(Data!BY345="","",Data!BY345)</f>
        <v/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 t="str">
        <f>IF(SUM(F345)&gt;0,(F343-K348-SUM(F348)*(K348=""))*'Exp factors'!F$23,"")</f>
        <v/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 t="str">
        <f>IF(Data!BY346="","",Data!BY346)</f>
        <v/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 t="str">
        <f>IF(SUM(F345)=0,"",F345*F346)</f>
        <v/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 t="str">
        <f>IF(K345="","",K345*F346)</f>
        <v/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 t="str">
        <f>IF(K347="","",SUM(K347)-SUM(F347))</f>
        <v/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>
        <f>IF(Data!BW348="","",Data!BW348)</f>
        <v>5</v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2.0029057700290578E-2</v>
      </c>
      <c r="D349" s="1348">
        <f>IF(D343="","",(D343-SUM(D345)-SUM(D348))*D344/D$46/365/$P$1)</f>
        <v>1.0139710460772104E-2</v>
      </c>
      <c r="E349" s="1348">
        <f>IF(E343="","",(E343-SUM(E345)-SUM(E348))*E344/E$46/365/$P$1)</f>
        <v>2.4034869240348693E-2</v>
      </c>
      <c r="F349" s="1348" t="str">
        <f>IF(F343="","",(F343-SUM(F345)-SUM(F348))*F344/F$46/365/$P$1)</f>
        <v/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9.6139476961394771E-2</v>
      </c>
      <c r="K349" s="992" t="str">
        <f>IF(K345="","",(F343-K345-K348-SUM(F348)*(K348=""))*F344/K$46/365/$P$1)</f>
        <v/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7.2104607721046071E-2</v>
      </c>
      <c r="P349" s="1349" t="str">
        <f>IF(K349="","",SUM(K349)-SUM(F349))</f>
        <v/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>
        <f>IF(Data!BW358="","",Data!BW358)</f>
        <v>5</v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1.1959492528019925E-2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25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300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0.17694834993773351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480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450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5760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4050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>
        <f>IF(Data!BW459="","",Data!BW459)</f>
        <v>50</v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>
        <f>IF(Data!BW460="","",Data!BW460)</f>
        <v>1</v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>
        <f>IF(Data!BW461="","",Data!BW461)</f>
        <v>12</v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>
        <f>IF(D460="","",D459*D460*D461)</f>
        <v>600</v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>
        <f>IF(D462="","",D462*D463/D$46/365/$P$1)</f>
        <v>0.3548743150684931</v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>
        <f>IF(Data!BW465="","",Data!BW465)</f>
        <v>230</v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>
        <f>IF(D465="","",D460*D461*D465)</f>
        <v>2760</v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 t="str">
        <f>IF(Data!BW468="","",Data!BW468)</f>
        <v/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 t="str">
        <f>IF(Data!BW469="","",Data!BW469)</f>
        <v/>
      </c>
      <c r="E469" s="1057">
        <f>IF(Data!BX469="","",Data!BX469)</f>
        <v>1</v>
      </c>
      <c r="F469" s="1057">
        <f>IF(Data!BY469="","",Data!BY469)</f>
        <v>1</v>
      </c>
      <c r="G469" s="972"/>
      <c r="H469" s="1375" t="e">
        <f>IF(H$46="","",IF('Exp factors'!$B52="poor",'Exp factors'!$G$52*H$46/$D468/H470,SUM(C469)*'Exp factors'!C$52))</f>
        <v>#VALUE!</v>
      </c>
      <c r="I469" s="1375" t="e">
        <f>IF(I$46="","",IF('Exp factors'!$B52="poor",'Exp factors'!$G$52*I$46/$D468/I470,SUM(D469)*'Exp factors'!D$52))</f>
        <v>#VALUE!</v>
      </c>
      <c r="J469" s="1375" t="e">
        <f>IF(J$46="","",IF('Exp factors'!$B52="poor",'Exp factors'!$G$52*J$46/$D468/J470,SUM(E469)*'Exp factors'!E$52))</f>
        <v>#VALUE!</v>
      </c>
      <c r="K469" s="1375" t="e">
        <f>IF(K$46="","",IF('Exp factors'!$B52="poor",'Exp factors'!$G$52*K$46/$D468/K470,SUM(F469)*'Exp factors'!F$52))</f>
        <v>#VALUE!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 t="str">
        <f>IF(Data!BW470="","",Data!BW470)</f>
        <v/>
      </c>
      <c r="E470" s="1057">
        <f>IF(Data!BX470="","",Data!BX470)</f>
        <v>12</v>
      </c>
      <c r="F470" s="1057">
        <f>IF(Data!BY470="","",Data!BY470)</f>
        <v>10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 t="str">
        <f>IF(D469="","",D468*D469*D470)</f>
        <v/>
      </c>
      <c r="E471" s="1346">
        <f>IF(E469="","",E468*E469*E470)</f>
        <v>120</v>
      </c>
      <c r="F471" s="1346">
        <f>IF(F469="","",F468*F469*F470)</f>
        <v>100</v>
      </c>
      <c r="G471" s="958"/>
      <c r="H471" s="1346" t="e">
        <f>IF(H$46=0,"",SUM($D468)*H469*H470)</f>
        <v>#VALUE!</v>
      </c>
      <c r="I471" s="1346" t="e">
        <f>IF(I$46=0,"",SUM($D468)*I469*I470)</f>
        <v>#VALUE!</v>
      </c>
      <c r="J471" s="1346" t="e">
        <f>IF(J$46=0,"",SUM($D468)*J469*J470)</f>
        <v>#VALUE!</v>
      </c>
      <c r="K471" s="1346" t="e">
        <f>IF(K$46=0,"",SUM($D468)*K469*K470)</f>
        <v>#VALUE!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 t="str">
        <f>IF(D471="","",D471*D472/D$46/365/$P$1)</f>
        <v/>
      </c>
      <c r="E473" s="1371">
        <f>IF(E471="","",E471*E472/E$46/365/$P$1)</f>
        <v>9.2286874221668744E-2</v>
      </c>
      <c r="F473" s="1371">
        <f>IF(F471="","",F471*F472/F$46/365/$P$1)</f>
        <v>9.2286874221668744E-2</v>
      </c>
      <c r="G473" s="968"/>
      <c r="H473" s="1371" t="e">
        <f>IF(H$46=0,"",H471*SUM($D472)/H$46/365/$P$1)</f>
        <v>#VALUE!</v>
      </c>
      <c r="I473" s="1371" t="e">
        <f>IF(I$46=0,"",I471*SUM($D472)/I$46/365/$P$1)</f>
        <v>#VALUE!</v>
      </c>
      <c r="J473" s="1371" t="e">
        <f>IF(J$46=0,"",J471*SUM($D472)/J$46/365/$P$1)</f>
        <v>#VALUE!</v>
      </c>
      <c r="K473" s="1371" t="e">
        <f>IF(K$46=0,"",K471*SUM($D472)/K$46/365/$P$1)</f>
        <v>#VALUE!</v>
      </c>
      <c r="L473" s="968"/>
      <c r="M473" s="1349" t="e">
        <f>IF(SUM(H473)=SUM(C473),"",SUM(H473)-SUM(C473))</f>
        <v>#VALUE!</v>
      </c>
      <c r="N473" s="1349" t="e">
        <f>IF(SUM(I473)=SUM(D473),"",SUM(I473)-SUM(D473))</f>
        <v>#VALUE!</v>
      </c>
      <c r="O473" s="1349" t="e">
        <f>IF(SUM(J473)=SUM(E473),"",SUM(J473)-SUM(E473))</f>
        <v>#VALUE!</v>
      </c>
      <c r="P473" s="1349" t="e">
        <f>IF(SUM(K473)=SUM(F473),"",SUM(K473)-SUM(F473))</f>
        <v>#VALUE!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 t="str">
        <f>IF(Data!BW474="","",Data!BW474)</f>
        <v/>
      </c>
      <c r="E474" s="1057">
        <f>IF(Data!BX474="","",Data!BX474)</f>
        <v>12</v>
      </c>
      <c r="F474" s="1057">
        <f>IF(Data!BY474="","",Data!BY474)</f>
        <v>11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 t="str">
        <f t="shared" ref="D475:F475" si="26">IF(D474="","",D471*D474)</f>
        <v/>
      </c>
      <c r="E475" s="1373">
        <f t="shared" si="26"/>
        <v>1440</v>
      </c>
      <c r="F475" s="1373">
        <f t="shared" si="26"/>
        <v>1100</v>
      </c>
      <c r="G475" s="1101"/>
      <c r="H475" s="1379" t="e">
        <f>IF(H$46=0,"",H471*H474)</f>
        <v>#VALUE!</v>
      </c>
      <c r="I475" s="1379" t="e">
        <f t="shared" ref="I475:K475" si="27">IF(I$46=0,"",I471*I474)</f>
        <v>#VALUE!</v>
      </c>
      <c r="J475" s="1379" t="e">
        <f t="shared" si="27"/>
        <v>#VALUE!</v>
      </c>
      <c r="K475" s="1379" t="e">
        <f t="shared" si="27"/>
        <v>#VALUE!</v>
      </c>
      <c r="L475" s="1101"/>
      <c r="M475" s="948" t="e">
        <f>IF(SUM(H475)=SUM(C475),"",SUM(H475)-SUM(C475))</f>
        <v>#VALUE!</v>
      </c>
      <c r="N475" s="948" t="e">
        <f>IF(SUM(I475)=SUM(D475),"",SUM(I475)-SUM(D475))</f>
        <v>#VALUE!</v>
      </c>
      <c r="O475" s="948" t="e">
        <f>IF(SUM(J475)=SUM(E475),"",SUM(J475)-SUM(E475))</f>
        <v>#VALUE!</v>
      </c>
      <c r="P475" s="948" t="e">
        <f>IF(SUM(K475)=SUM(F475),"",SUM(K475)-SUM(F475))</f>
        <v>#VALUE!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0.46712142103581744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56.054570524298093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1.4663760896637609E-2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6.8497568277668119E-3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-7.8140040688707973E-3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30</v>
      </c>
      <c r="D483" s="1057">
        <f>IF(Data!BW483="","",Data!BW483)</f>
        <v>45</v>
      </c>
      <c r="E483" s="1057">
        <f>IF(Data!BX483="","",Data!BX483)</f>
        <v>60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360</v>
      </c>
      <c r="D484" s="1373">
        <f>IF(D483="","",D478*D479*D483)</f>
        <v>540</v>
      </c>
      <c r="E484" s="1373">
        <f>IF(E483="","",E478*E479*E483)</f>
        <v>720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252.24556735934141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-76.223736720740874</v>
      </c>
      <c r="N484" s="948">
        <f>IF(SUM(I484)=SUM(D484),"",SUM(I484)-SUM(D484))</f>
        <v>-287.75443264065859</v>
      </c>
      <c r="O484" s="948">
        <f>IF(SUM(J484)=SUM(E484),"",SUM(J484)-SUM(E484))</f>
        <v>-530.81582448049392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30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45.820090801074038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252</v>
      </c>
      <c r="G489" s="972"/>
      <c r="H489" s="1346">
        <f>IF(H$46=0,"",SUM($D486)*H487*H488)</f>
        <v>432.99985807014968</v>
      </c>
      <c r="I489" s="1346">
        <f>IF(I$46=0,"",SUM($D486)*I487*I488)</f>
        <v>384.88876272902189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7.3168631506849297E-2</v>
      </c>
      <c r="E491" s="1371" t="str">
        <f>IF(E489="","",E489*E490/E$46/365/$P$1)</f>
        <v/>
      </c>
      <c r="F491" s="1371">
        <f>IF(F489="","",F489*F490/F$46/365/$P$1)</f>
        <v>0.1596406505603985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7.922197483106716E-2</v>
      </c>
      <c r="O491" s="1349">
        <f>IF(SUM(J491)=SUM(E491),"",SUM(J491)-SUM(E491))</f>
        <v>0.15239060633791651</v>
      </c>
      <c r="P491" s="1349">
        <f>IF(SUM(K491)=SUM(F491),"",SUM(K491)-SUM(F491))</f>
        <v>-7.2500442224820161E-3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3240</v>
      </c>
      <c r="G493" s="972"/>
      <c r="H493" s="1379">
        <f t="shared" ref="H493" si="29">IF(H$46=0,"",H487*H488*H492)</f>
        <v>4948.5698065159968</v>
      </c>
      <c r="I493" s="1379">
        <f>IF(I$46=0,"",I487*I488*I492)</f>
        <v>4398.7287169031079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2286.7287169031079</v>
      </c>
      <c r="O493" s="948">
        <f>IF(SUM(J493)=SUM(E493),"",SUM(J493)-SUM(E493))</f>
        <v>3299.0465376773318</v>
      </c>
      <c r="P493" s="948">
        <f>IF(SUM(K493)=SUM(F493),"",SUM(K493)-SUM(F493))</f>
        <v>-490.79455193555759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10.915962646679544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91.694086232108162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876.95676397819875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876.95676397819875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2.5897302423551731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678.10895994739292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678.10895994739292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1.6839933126226247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0.1029428798256538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-8.960787050192183E-2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161.66335801177198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-1086.3366419882279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3.9337825283139201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8.7985367372353671E-2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6.9223060183329313E-2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-1.8762307189024358E-2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849.69702611580681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-230.30297388419319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3.3454952241287761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4.1863769079100452E-3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4.1863769079100452E-3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562.04319765363437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562.04319765363437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25.837199132039679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6.6514941164040114E-3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6.6514941164040114E-3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2842.0919045243645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2842.0919045243645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186.22383616885378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1.1379440846824407E-2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3.2768957652179583E-2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4469.3720680524912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3317.3720680524912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 t="str">
        <f>IF(Data!BY539="","",Data!BY539)</f>
        <v/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2.2819051655261728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 t="str">
        <f>IF(Data!BY540="","",Data!BY540)</f>
        <v/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 t="str">
        <f>IF(SUM(F539)=0,"",F539*F540*F541/F$46/365/$P$1)</f>
        <v/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1.0484878246657241E-2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1.0484878246657241E-2</v>
      </c>
      <c r="O542" s="1349">
        <f>IF(SUM(J542)=SUM(E542),"",SUM(J542)-SUM(E542))</f>
        <v>-2.0147064468162182E-2</v>
      </c>
      <c r="P542" s="1349">
        <f>IF(SUM(K542)=SUM(F542),"",SUM(K542)-SUM(F542))</f>
        <v>1.0484878246657239E-2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100</v>
      </c>
      <c r="F543" s="1057" t="str">
        <f>IF(Data!BY543="","",Data!BY543)</f>
        <v/>
      </c>
      <c r="G543" s="958"/>
      <c r="H543" s="1378">
        <f>$I543</f>
        <v>100</v>
      </c>
      <c r="I543" s="1378">
        <f>IF(SUM($D543)=0,IF(SUM($C543)=0,IF(SUM($E543)=0,IF(SUM($F543)=0,'Exp factors'!$H$47,SUM($F543)),SUM($E543)),SUM($C543)),SUM($D543))</f>
        <v>100</v>
      </c>
      <c r="J543" s="1378">
        <f>$I543</f>
        <v>100</v>
      </c>
      <c r="K543" s="1378">
        <f>$I543</f>
        <v>100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6000</v>
      </c>
      <c r="F544" s="1382" t="str">
        <f>IF(F543="","",F539*F540*F543)</f>
        <v/>
      </c>
      <c r="G544" s="958"/>
      <c r="H544" s="1382">
        <f>IF(H$46=0,"",H539*H540*H543)</f>
        <v>3080.5719734603331</v>
      </c>
      <c r="I544" s="1382">
        <f t="shared" ref="I544:K544" si="43">IF(I$46=0,"",I539*I540*I543)</f>
        <v>2738.2861986314074</v>
      </c>
      <c r="J544" s="1382">
        <f t="shared" si="43"/>
        <v>2053.7146489735555</v>
      </c>
      <c r="K544" s="1382">
        <f t="shared" si="43"/>
        <v>1711.4288741446294</v>
      </c>
      <c r="L544" s="958"/>
      <c r="M544" s="948">
        <f>IF(SUM(H544)=SUM(C544),"",SUM(H544)-SUM(C544))</f>
        <v>3080.5719734603331</v>
      </c>
      <c r="N544" s="948">
        <f>IF(SUM(I544)=SUM(D544),"",SUM(I544)-SUM(D544))</f>
        <v>2738.2861986314074</v>
      </c>
      <c r="O544" s="948">
        <f>IF(SUM(J544)=SUM(E544),"",SUM(J544)-SUM(E544))</f>
        <v>-3946.2853510264445</v>
      </c>
      <c r="P544" s="948">
        <f>IF(SUM(K544)=SUM(F544),"",SUM(K544)-SUM(F544))</f>
        <v>1711.4288741446294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10.301662070912585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484.15407439688414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484.15407439688414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13.615804252244885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2.3294279928963192E-3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564.01094265345534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564.01094265345534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36.533407093272281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365.3340709327228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365.3340709327228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32.517339755729161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9.3851058530510585E-4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1.6046450452544242E-3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390.20807706874996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246.20807706874996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34.100811628108644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201.91738862798098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201.91738862798098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3.875520439243894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1.7988119551681195E-3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-5.5978830515540168E-5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930.12490541853458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-29.875094581465419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 t="e">
        <f>IF(H$46="","",IF('Exp factors'!$B59="poor",'Exp factors'!$G$59*H$46/H582,SUM(C581)*'Exp factors'!C$59))</f>
        <v>#DIV/0!</v>
      </c>
      <c r="I581" s="1375" t="e">
        <f>IF(I$46="","",IF('Exp factors'!$B59="poor",'Exp factors'!$G$59*I$46/I582,SUM(D581)*'Exp factors'!D$59))</f>
        <v>#DIV/0!</v>
      </c>
      <c r="J581" s="1375" t="e">
        <f>IF(J$46="","",IF('Exp factors'!$B59="poor",'Exp factors'!$G$59*J$46/J582,SUM(E581)*'Exp factors'!E$59))</f>
        <v>#DIV/0!</v>
      </c>
      <c r="K581" s="1375" t="e">
        <f>IF(K$46="","",IF('Exp factors'!$B59="poor",'Exp factors'!$G$59*K$46/K582,SUM(F581)*'Exp factors'!F$59))</f>
        <v>#DIV/0!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 t="str">
        <f>IF(Data!BV582="","",Data!BV582)</f>
        <v/>
      </c>
      <c r="D582" s="1057" t="str">
        <f>IF(Data!BW582="","",Data!BW582)</f>
        <v/>
      </c>
      <c r="E582" s="1057" t="str">
        <f>IF(Data!BX582="","",Data!BX582)</f>
        <v/>
      </c>
      <c r="F582" s="1057" t="str">
        <f>IF(Data!BY582="","",Data!BY582)</f>
        <v/>
      </c>
      <c r="G582" s="958"/>
      <c r="H582" s="1376">
        <f>I582</f>
        <v>0</v>
      </c>
      <c r="I582" s="1376">
        <f>SUM(D582)</f>
        <v>0</v>
      </c>
      <c r="J582" s="1376">
        <f>I582</f>
        <v>0</v>
      </c>
      <c r="K582" s="1376">
        <f>I582</f>
        <v>0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 t="e">
        <f>IF(H$46=0,"",H581*H582*SUM($D583)/H$46/365/$P$1)</f>
        <v>#DIV/0!</v>
      </c>
      <c r="I584" s="1381" t="e">
        <f>IF(I$46=0,"",I581*I582*SUM($D583)/I$46/365/$P$1)</f>
        <v>#DIV/0!</v>
      </c>
      <c r="J584" s="1381" t="e">
        <f>IF(J$46=0,"",J581*J582*SUM($D583)/J$46/365/$P$1)</f>
        <v>#DIV/0!</v>
      </c>
      <c r="K584" s="1381" t="e">
        <f>IF(K$46=0,"",K581*K582*SUM($D583)/K$46/365/$P$1)</f>
        <v>#DIV/0!</v>
      </c>
      <c r="L584" s="958"/>
      <c r="M584" s="1349" t="e">
        <f>IF(SUM(H584)=SUM(C584),"",SUM(H584)-SUM(C584))</f>
        <v>#DIV/0!</v>
      </c>
      <c r="N584" s="1349" t="e">
        <f>IF(SUM(I584)=SUM(D584),"",SUM(I584)-SUM(D584))</f>
        <v>#DIV/0!</v>
      </c>
      <c r="O584" s="1349" t="e">
        <f>IF(SUM(J584)=SUM(E584),"",SUM(J584)-SUM(E584))</f>
        <v>#DIV/0!</v>
      </c>
      <c r="P584" s="1349" t="e">
        <f>IF(SUM(K584)=SUM(F584),"",SUM(K584)-SUM(F584))</f>
        <v>#DIV/0!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 t="e">
        <f>IF(H$46=0,"",H581*H582*H585)</f>
        <v>#DIV/0!</v>
      </c>
      <c r="I586" s="1382" t="e">
        <f t="shared" ref="I586:K586" si="60">IF(I$46=0,"",I581*I582*I585)</f>
        <v>#DIV/0!</v>
      </c>
      <c r="J586" s="1382" t="e">
        <f t="shared" si="60"/>
        <v>#DIV/0!</v>
      </c>
      <c r="K586" s="1382" t="e">
        <f t="shared" si="60"/>
        <v>#DIV/0!</v>
      </c>
      <c r="L586" s="958"/>
      <c r="M586" s="948" t="e">
        <f>IF(SUM(H586)=SUM(C586),"",SUM(H586)-SUM(C586))</f>
        <v>#DIV/0!</v>
      </c>
      <c r="N586" s="948" t="e">
        <f>IF(SUM(I586)=SUM(D586),"",SUM(I586)-SUM(D586))</f>
        <v>#DIV/0!</v>
      </c>
      <c r="O586" s="948" t="e">
        <f>IF(SUM(J586)=SUM(E586),"",SUM(J586)-SUM(E586))</f>
        <v>#DIV/0!</v>
      </c>
      <c r="P586" s="948" t="e">
        <f>IF(SUM(K586)=SUM(F586),"",SUM(K586)-SUM(F586))</f>
        <v>#DIV/0!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0.28434800043521419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6.4952753424657537E-3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-4.6483567865594653E-3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51.182640078338558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-128.81735992166145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4.5361222771040683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222.70034164028613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222.70034164028613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8.2803576561381718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258.0366454594058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258.0366454594058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120.78211858648042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8.4622877826154574E-3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1585.0412406798598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1585.0412406798598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8.4464318181818182E-2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-8.4464318181818182E-2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5.9523809523809521E-2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6000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6000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320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-100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120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0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800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320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800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-400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133.33333333333334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1600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1600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 t="str">
        <f>IF(Data!BV792="","",Data!BV792)</f>
        <v/>
      </c>
      <c r="D792" s="1057">
        <f>IF(Data!BW792="","",Data!BW792)</f>
        <v>20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0</v>
      </c>
      <c r="I792" s="1375">
        <f>IF(I$46="","",IF('Exp factors'!$B99="poor",'Exp factors'!$G$99*I$46,SUM(D792)*'Exp factors'!D$99))</f>
        <v>20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 t="str">
        <f>IF(Data!BX795="","",Data!BX795)</f>
        <v/>
      </c>
      <c r="F795" s="1057">
        <f>IF(Data!BY795="","",Data!BY795)</f>
        <v>1000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0</v>
      </c>
      <c r="K795" s="1375">
        <f>IF(K$46="","",IF('Exp factors'!$B102="poor",'Exp factors'!$G$102*K$46,SUM(F795)*'Exp factors'!F$102))</f>
        <v>1000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 t="str">
        <f>IF(Data!BV799="","",Data!BV799)</f>
        <v/>
      </c>
      <c r="D799" s="1220">
        <f>IF(Data!BW799="","",Data!BW799)</f>
        <v>800</v>
      </c>
      <c r="E799" s="1220">
        <f>IF(Data!BX799="","",Data!BX799)</f>
        <v>480</v>
      </c>
      <c r="F799" s="1220">
        <f>IF(Data!BY799="","",Data!BY799)</f>
        <v>80000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1200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1350</v>
      </c>
      <c r="N799" s="1395">
        <f t="shared" si="85"/>
        <v>400</v>
      </c>
      <c r="O799" s="1395">
        <f t="shared" si="85"/>
        <v>420</v>
      </c>
      <c r="P799" s="1395">
        <f t="shared" si="85"/>
        <v>-79250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 t="str">
        <f>IF(Data!BX800="","",Data!BX800)</f>
        <v/>
      </c>
      <c r="F800" s="1057">
        <f>IF(Data!BY800="","",Data!BY800)</f>
        <v>40800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560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560</v>
      </c>
      <c r="O800" s="1395">
        <f t="shared" si="85"/>
        <v>420</v>
      </c>
      <c r="P800" s="1395">
        <f t="shared" si="85"/>
        <v>-40450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 t="str">
        <f>IF(Data!BV801="","",Data!BV801)</f>
        <v/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25000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2400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2700</v>
      </c>
      <c r="N801" s="1395">
        <f t="shared" si="85"/>
        <v>1400</v>
      </c>
      <c r="O801" s="1395">
        <f t="shared" si="85"/>
        <v>0</v>
      </c>
      <c r="P801" s="1395">
        <f t="shared" si="85"/>
        <v>-23500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 t="str">
        <f>IF(Data!BV802="","",Data!BV802)</f>
        <v/>
      </c>
      <c r="D802" s="1057">
        <f>IF(Data!BW802="","",Data!BW802)</f>
        <v>660</v>
      </c>
      <c r="E802" s="1057" t="str">
        <f>IF(Data!BX802="","",Data!BX802)</f>
        <v/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480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540</v>
      </c>
      <c r="N802" s="1395">
        <f t="shared" si="85"/>
        <v>-180</v>
      </c>
      <c r="O802" s="1395">
        <f t="shared" si="85"/>
        <v>360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78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84000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704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714</v>
      </c>
      <c r="N803" s="1395">
        <f t="shared" si="85"/>
        <v>104</v>
      </c>
      <c r="O803" s="1395">
        <f t="shared" si="85"/>
        <v>-9072</v>
      </c>
      <c r="P803" s="1395">
        <f t="shared" si="85"/>
        <v>-83560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 t="str">
        <f>IF(Data!BV804="","",Data!BV804)</f>
        <v/>
      </c>
      <c r="D804" s="1057">
        <f>IF(Data!BW804="","",Data!BW804)</f>
        <v>1440</v>
      </c>
      <c r="E804" s="1057" t="str">
        <f>IF(Data!BX804="","",Data!BX804)</f>
        <v/>
      </c>
      <c r="F804" s="1057">
        <f>IF(Data!BY804="","",Data!BY804)</f>
        <v>25000</v>
      </c>
      <c r="G804" s="958"/>
      <c r="H804" s="1375">
        <f>IF(H$46="","",IF('Exp factors'!$B81="poor",'Exp factors'!$G$81*H$46,SUM(C804)*'Exp factors'!C$81))</f>
        <v>0</v>
      </c>
      <c r="I804" s="1375">
        <f>IF(I$46="","",IF('Exp factors'!$B81="poor",'Exp factors'!$G$81*I$46,SUM(D804)*'Exp factors'!D$81))</f>
        <v>1440</v>
      </c>
      <c r="J804" s="1375">
        <f>IF(J$46="","",IF('Exp factors'!$B81="poor",'Exp factors'!$G$81*J$46,SUM(E804)*'Exp factors'!E$81))</f>
        <v>0</v>
      </c>
      <c r="K804" s="1375">
        <f>IF(K$46="","",IF('Exp factors'!$B81="poor",'Exp factors'!$G$81*K$46,SUM(F804)*'Exp factors'!F$81))</f>
        <v>25000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 t="str">
        <f>IF(Data!BX805="","",Data!BX805)</f>
        <v/>
      </c>
      <c r="F805" s="1057">
        <f>IF(Data!BY805="","",Data!BY805)</f>
        <v>20000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0</v>
      </c>
      <c r="P805" s="1395">
        <f t="shared" si="85"/>
        <v>-20000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60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60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4934.6666666666679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4934.6666666666679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27744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27744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airtime</v>
      </c>
      <c r="B809" s="1165"/>
      <c r="C809" s="1057" t="str">
        <f>IF(Data!BV809="","",Data!BV809)</f>
        <v/>
      </c>
      <c r="D809" s="1057">
        <f>IF(Data!BW809="","",Data!BW809)</f>
        <v>348</v>
      </c>
      <c r="E809" s="1057" t="str">
        <f>IF(Data!BX809="","",Data!BX809)</f>
        <v/>
      </c>
      <c r="F809" s="1057">
        <f>IF(Data!BY809="","",Data!BY809)</f>
        <v>3600</v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348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3600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4000</v>
      </c>
      <c r="E810" s="1057" t="str">
        <f>IF(Data!BX810="","",Data!BX810)</f>
        <v/>
      </c>
      <c r="F810" s="1057">
        <f>IF(Data!BY810="","",Data!BY810)</f>
        <v>68000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-4000</v>
      </c>
      <c r="O810" s="1395">
        <f t="shared" si="85"/>
        <v>0</v>
      </c>
      <c r="P810" s="1395">
        <f t="shared" si="85"/>
        <v>-68000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11340</v>
      </c>
      <c r="D811" s="1179">
        <f>D20-D31</f>
        <v>4016</v>
      </c>
      <c r="E811" s="1179">
        <f>E20-E31</f>
        <v>62084</v>
      </c>
      <c r="F811" s="1179">
        <f>F20-F31</f>
        <v>-163436.79999999999</v>
      </c>
      <c r="G811" s="1388"/>
      <c r="H811" s="1401">
        <f>C811*'Exp factors'!$D$71</f>
        <v>11340</v>
      </c>
      <c r="I811" s="1401">
        <f>D811*'Exp factors'!$D$71</f>
        <v>4016</v>
      </c>
      <c r="J811" s="1401">
        <f>E811*'Exp factors'!$D$71</f>
        <v>62084</v>
      </c>
      <c r="K811" s="1401">
        <f>F811*'Exp factors'!$D$71</f>
        <v>-163436.79999999999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1128</v>
      </c>
      <c r="D812" s="1181">
        <f>SUM(D772:D776,D781:D785,D790:D810)</f>
        <v>12088</v>
      </c>
      <c r="E812" s="1181">
        <f>SUM(E772:E776,E781:E785,E790:E810)</f>
        <v>16600</v>
      </c>
      <c r="F812" s="1181">
        <f>SUM(F772:F776,F781:F785,F790:F810)</f>
        <v>366476</v>
      </c>
      <c r="G812" s="1155"/>
      <c r="H812" s="1183">
        <f>SUM(H772:H776,H781:H785,H790:H810)</f>
        <v>46938</v>
      </c>
      <c r="I812" s="1183">
        <f>SUM(I772:I776,I781:I785,I790:I810)</f>
        <v>43530.666666666672</v>
      </c>
      <c r="J812" s="1183">
        <f>SUM(J772:J776,J781:J785,J790:J810)</f>
        <v>32792</v>
      </c>
      <c r="K812" s="1183">
        <f>SUM(K772:K776,K781:K785,K790:K810)</f>
        <v>65296.666666666664</v>
      </c>
      <c r="L812" s="1155"/>
      <c r="M812" s="1183">
        <f>SUM(M772:M776,M781:M785,M790:M810)</f>
        <v>45810</v>
      </c>
      <c r="N812" s="1183">
        <f>SUM(N772:N776,N781:N785,N790:N810)</f>
        <v>31442.666666666672</v>
      </c>
      <c r="O812" s="1183">
        <f>SUM(O772:O776,O781:O785,O790:O810)</f>
        <v>16192</v>
      </c>
      <c r="P812" s="1183">
        <f>SUM(P772:P776,P781:P785,P790:P810)</f>
        <v>-301179.33333333337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5.9145719178082187E-2</v>
      </c>
      <c r="E832" s="1188">
        <f>SUM($E$243)</f>
        <v>5.5202671232876706E-2</v>
      </c>
      <c r="F832" s="1188">
        <f>SUM($F$243)</f>
        <v>0.45423912328767113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3.9278405977584072E-2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3</v>
      </c>
      <c r="T837" s="807">
        <f t="shared" si="90"/>
        <v>3</v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3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3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3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3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3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3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3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2.0029057700290578E-2</v>
      </c>
      <c r="D845" s="1188">
        <f>SUM($D$349)</f>
        <v>1.0139710460772104E-2</v>
      </c>
      <c r="E845" s="1188">
        <f>SUM($E$349)</f>
        <v>2.4034869240348693E-2</v>
      </c>
      <c r="F845" s="1188">
        <f>SUM($F$349)</f>
        <v>0</v>
      </c>
      <c r="G845" s="1154"/>
      <c r="H845" s="1188">
        <f>SUM($H$349)</f>
        <v>0</v>
      </c>
      <c r="I845" s="1188">
        <f>SUM($I$349)</f>
        <v>0</v>
      </c>
      <c r="J845" s="1188">
        <f>SUM($J$349)</f>
        <v>9.6139476961394771E-2</v>
      </c>
      <c r="K845" s="1188">
        <f>SUM($K$349)</f>
        <v>0</v>
      </c>
      <c r="L845" s="1154"/>
      <c r="M845" s="1188">
        <f>SUM($M$349)</f>
        <v>0</v>
      </c>
      <c r="N845" s="1188">
        <f>SUM($N$349)</f>
        <v>0</v>
      </c>
      <c r="O845" s="1188">
        <f>SUM($O$349)</f>
        <v>7.2104607721046071E-2</v>
      </c>
      <c r="P845" s="1188">
        <f>SUM($P$349)</f>
        <v>0</v>
      </c>
      <c r="R845" s="974">
        <v>23</v>
      </c>
      <c r="S845" s="807">
        <f t="shared" si="91"/>
        <v>4</v>
      </c>
      <c r="T845" s="807">
        <f t="shared" si="90"/>
        <v>4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1.1959492528019925E-2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5</v>
      </c>
      <c r="T846" s="807">
        <f t="shared" si="90"/>
        <v>5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5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5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5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5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5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5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5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5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5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5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5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0.17694834993773351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0.3548743150684931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0</v>
      </c>
      <c r="E861" s="1188">
        <f t="shared" si="98"/>
        <v>9.2286874221668744E-2</v>
      </c>
      <c r="F861" s="1188">
        <f t="shared" si="98"/>
        <v>9.2286874221668744E-2</v>
      </c>
      <c r="G861" s="1154"/>
      <c r="H861" s="1188" t="e">
        <f>SUM(H$473)</f>
        <v>#VALUE!</v>
      </c>
      <c r="I861" s="1188" t="e">
        <f t="shared" ref="I861:K861" si="99">SUM(I$473)</f>
        <v>#VALUE!</v>
      </c>
      <c r="J861" s="1188" t="e">
        <f t="shared" si="99"/>
        <v>#VALUE!</v>
      </c>
      <c r="K861" s="1188" t="e">
        <f t="shared" si="99"/>
        <v>#VALUE!</v>
      </c>
      <c r="L861" s="1154"/>
      <c r="M861" s="1188" t="e">
        <f>SUM(M$473)</f>
        <v>#VALUE!</v>
      </c>
      <c r="N861" s="1188" t="e">
        <f t="shared" ref="N861:P861" si="100">SUM(N$473)</f>
        <v>#VALUE!</v>
      </c>
      <c r="O861" s="1188" t="e">
        <f t="shared" si="100"/>
        <v>#VALUE!</v>
      </c>
      <c r="P861" s="1188" t="e">
        <f t="shared" si="100"/>
        <v>#VALUE!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1.4663760896637609E-2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6.8497568277668119E-3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-7.8140040688707973E-3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7.3168631506849297E-2</v>
      </c>
      <c r="E863" s="1188">
        <f t="shared" si="104"/>
        <v>0</v>
      </c>
      <c r="F863" s="1188">
        <f t="shared" si="104"/>
        <v>0.1596406505603985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7.922197483106716E-2</v>
      </c>
      <c r="O863" s="1188">
        <f t="shared" si="106"/>
        <v>0.15239060633791651</v>
      </c>
      <c r="P863" s="1188">
        <f t="shared" si="106"/>
        <v>-7.2500442224820161E-3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0.1029428798256538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-8.960787050192183E-2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8.7985367372353671E-2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6.9223060183329313E-2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-1.8762307189024358E-2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4.1863769079100452E-3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4.1863769079100452E-3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6.6514941164040114E-3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6.6514941164040114E-3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1.1379440846824407E-2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3.2768957652179583E-2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0</v>
      </c>
      <c r="G871" s="1154"/>
      <c r="H871" s="1188">
        <f>SUM(H$542)</f>
        <v>1.0484878246657239E-2</v>
      </c>
      <c r="I871" s="1188">
        <f t="shared" ref="I871:K871" si="130">SUM(I$542)</f>
        <v>1.0484878246657241E-2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1.0484878246657241E-2</v>
      </c>
      <c r="O871" s="1188">
        <f t="shared" si="131"/>
        <v>-2.0147064468162182E-2</v>
      </c>
      <c r="P871" s="1188">
        <f t="shared" si="131"/>
        <v>1.0484878246657239E-2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2.3294279928963192E-3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2.3294279928963192E-3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9.3851058530510585E-4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1.6046450452544242E-3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1.7988119551681195E-3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-5.5978830515540168E-5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 t="e">
        <f>SUM(H$584)</f>
        <v>#DIV/0!</v>
      </c>
      <c r="I878" s="1188" t="e">
        <f t="shared" ref="I878:K878" si="151">SUM(I$584)</f>
        <v>#DIV/0!</v>
      </c>
      <c r="J878" s="1188" t="e">
        <f t="shared" si="151"/>
        <v>#DIV/0!</v>
      </c>
      <c r="K878" s="1188" t="e">
        <f t="shared" si="151"/>
        <v>#DIV/0!</v>
      </c>
      <c r="L878" s="1154"/>
      <c r="M878" s="1188" t="e">
        <f>SUM(M$584)</f>
        <v>#DIV/0!</v>
      </c>
      <c r="N878" s="1188" t="e">
        <f t="shared" ref="N878:P878" si="152">SUM(N$584)</f>
        <v>#DIV/0!</v>
      </c>
      <c r="O878" s="1188" t="e">
        <f t="shared" si="152"/>
        <v>#DIV/0!</v>
      </c>
      <c r="P878" s="1188" t="e">
        <f t="shared" si="152"/>
        <v>#DIV/0!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6.4952753424657537E-3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-4.6483567865594653E-3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8.4622877826154574E-3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8.4622877826154574E-3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8.4464318181818182E-2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-8.4464318181818182E-2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5.9523809523809521E-2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5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5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5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1.003064720847088</v>
      </c>
      <c r="D900" s="1188">
        <f>SUM($D$820:$D$899)</f>
        <v>1.056428393209986</v>
      </c>
      <c r="E900" s="1188">
        <f>SUM($E$820:$E$899)</f>
        <v>1.1700144268121524</v>
      </c>
      <c r="F900" s="1188">
        <f>SUM($F$820:$F$899)</f>
        <v>1.3114341273922789</v>
      </c>
      <c r="G900" s="1154"/>
      <c r="H900" s="1188" t="e">
        <f>SUM($H$820:$H$899)</f>
        <v>#VALUE!</v>
      </c>
      <c r="I900" s="1188" t="e">
        <f>SUM($I$820:$I$899)</f>
        <v>#VALUE!</v>
      </c>
      <c r="J900" s="1188" t="e">
        <f>SUM($J$820:$J$899)</f>
        <v>#VALUE!</v>
      </c>
      <c r="K900" s="1188" t="e">
        <f>SUM($K$820:$K$899)</f>
        <v>#VALUE!</v>
      </c>
      <c r="L900" s="1154"/>
      <c r="M900" s="1188" t="e">
        <f>SUM($M$820:$M$899)</f>
        <v>#VALUE!</v>
      </c>
      <c r="N900" s="1188" t="e">
        <f>SUM($N$820:$N$899)</f>
        <v>#VALUE!</v>
      </c>
      <c r="O900" s="1188" t="e">
        <f>SUM($O$820:$O$899)</f>
        <v>#VALUE!</v>
      </c>
      <c r="P900" s="1188" t="e">
        <f>SUM($P$820:$P$899)</f>
        <v>#VALUE!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 t="e">
        <f>SUMPRODUCT(H859:H887,$S859:$S887)</f>
        <v>#VALUE!</v>
      </c>
      <c r="I901" s="1407" t="e">
        <f>SUMPRODUCT(I859:I887,$S859:$S887)</f>
        <v>#VALUE!</v>
      </c>
      <c r="J901" s="1407" t="e">
        <f>SUMPRODUCT(J859:J887,$S859:$S887)</f>
        <v>#VALUE!</v>
      </c>
      <c r="K901" s="1407" t="e">
        <f>SUMPRODUCT(K859:K887,$S859:$S887)</f>
        <v>#VALUE!</v>
      </c>
      <c r="L901" s="1154"/>
      <c r="M901" s="1407" t="e">
        <f>SUMPRODUCT(M859:M887,$S859:$S887)</f>
        <v>#VALUE!</v>
      </c>
      <c r="N901" s="1407" t="e">
        <f>SUMPRODUCT(N859:N887,$S859:$S887)</f>
        <v>#VALUE!</v>
      </c>
      <c r="O901" s="1407" t="e">
        <f>SUMPRODUCT(O859:O887,$S859:$S887)</f>
        <v>#VALUE!</v>
      </c>
      <c r="P901" s="1407" t="e">
        <f>SUMPRODUCT(P859:P887,$S859:$S887)</f>
        <v>#VALUE!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4</v>
      </c>
      <c r="T965" s="807" t="str">
        <f t="shared" si="180"/>
        <v/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4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6000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6000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5</v>
      </c>
      <c r="T967" s="807">
        <f t="shared" si="180"/>
        <v>5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5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5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6</v>
      </c>
      <c r="T970" s="807">
        <f t="shared" si="182"/>
        <v>6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6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6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6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6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7</v>
      </c>
      <c r="T975" s="807">
        <f t="shared" si="182"/>
        <v>7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7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8</v>
      </c>
      <c r="T977" s="807">
        <f t="shared" si="182"/>
        <v>8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8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8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8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8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8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8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25140</v>
      </c>
      <c r="D985" s="1181">
        <f>SUM($D$904:$D$984)</f>
        <v>32760</v>
      </c>
      <c r="E985" s="1181">
        <f>SUM($E$904:$E$984)</f>
        <v>98820</v>
      </c>
      <c r="F985" s="1181">
        <f>SUM($F$904:$F$984)</f>
        <v>220350</v>
      </c>
      <c r="G985" s="1165"/>
      <c r="H985" s="1181">
        <f>SUM($H$904:$H$984)</f>
        <v>0</v>
      </c>
      <c r="I985" s="1181">
        <f>SUM($I$904:$I$984)</f>
        <v>3600</v>
      </c>
      <c r="J985" s="1181">
        <f>SUM($J$904:$J$984)</f>
        <v>54800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450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6840</v>
      </c>
      <c r="D988" s="1183">
        <f t="shared" ref="D988:F988" si="184">SUM(D457,D466,D475,D484,D493,D502)</f>
        <v>9612</v>
      </c>
      <c r="E988" s="1183">
        <f t="shared" si="184"/>
        <v>7920</v>
      </c>
      <c r="F988" s="1183">
        <f t="shared" si="184"/>
        <v>8390</v>
      </c>
      <c r="G988" s="1165"/>
      <c r="H988" s="1183">
        <f>C1068*(365*C1038*C1039*C1040)</f>
        <v>10084.46908970442</v>
      </c>
      <c r="I988" s="1183">
        <f>E1068*(365*E1038*E1039*E1040)</f>
        <v>9612</v>
      </c>
      <c r="J988" s="1183">
        <f>H1068*(365*H1038*H1039*H1040)</f>
        <v>6790.7123082241451</v>
      </c>
      <c r="K988" s="1183">
        <f>J1068*(365*J1038*J1039*J1040)</f>
        <v>6559.610650999578</v>
      </c>
      <c r="L988" s="1165"/>
      <c r="M988" s="1183">
        <f>H988-C988</f>
        <v>3244.4690897044202</v>
      </c>
      <c r="N988" s="1183">
        <f>I988-D988</f>
        <v>0</v>
      </c>
      <c r="O988" s="1183">
        <f>J988-E988</f>
        <v>-1129.2876917758549</v>
      </c>
      <c r="P988" s="1183">
        <f>K988-F988</f>
        <v>-1830.389349000422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692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10776</v>
      </c>
      <c r="F989" s="1183">
        <f t="shared" si="185"/>
        <v>9736.7999999999993</v>
      </c>
      <c r="G989" s="1165"/>
      <c r="H989" s="1181" t="e">
        <f>SUM(H475,H484,H493,H502,H508,H514,H520,H526,H532,H538,H544,H550,H556,H562,H568,H574,H580,H586,H592,H605,H611,H623)</f>
        <v>#VALUE!</v>
      </c>
      <c r="I989" s="1181" t="e">
        <f>SUM(I475,I484,I493,I502,I508,I514,I520,I526,I532,I538,I544,I550,I556,I562,I568,I574,I580,I586,I592,I605,I611,I623)</f>
        <v>#VALUE!</v>
      </c>
      <c r="J989" s="1181" t="e">
        <f>SUM(J475,J484,J493,J502,J508,J514,J520,J526,J532,J538,J544,J550,J556,J562,J568,J574,J580,J586,J592,J605,J611,J623)</f>
        <v>#VALUE!</v>
      </c>
      <c r="K989" s="1181" t="e">
        <f>SUM(K475,K484,K493,K502,K508,K514,K520,K526,K532,K538,K544,K550,K556,K562,K568,K574,K580,K586,K592,K605,K611,K623)</f>
        <v>#VALUE!</v>
      </c>
      <c r="L989" s="1165"/>
      <c r="M989" s="1181" t="e">
        <f>SUM(M475,M484,M493,M502,M508,M514,M520,M526,M532,M538,M544,M550,M556,M562,M568,M574,M580,M586,M592,M605,M611,M623)</f>
        <v>#VALUE!</v>
      </c>
      <c r="N989" s="1181" t="e">
        <f>SUM(N475,N484,N493,N502,N508,N514,N520,N526,N532,N538,N544,N550,N556,N562,N568,N574,N580,N586,N592,N605,N611,N623)</f>
        <v>#VALUE!</v>
      </c>
      <c r="O989" s="1181" t="e">
        <f>SUM(O475,O484,O493,O502,O508,O514,O520,O526,O532,O538,O544,O550,O556,O562,O568,O574,O580,O586,O592,O605,O611,O623)</f>
        <v>#VALUE!</v>
      </c>
      <c r="P989" s="1181" t="e">
        <f>SUM(P475,P484,P493,P502,P508,P514,P520,P526,P532,P538,P544,P550,P556,P562,P568,P574,P580,P586,P592,P605,P611,P623)</f>
        <v>#VALUE!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693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694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3700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1480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0</v>
      </c>
      <c r="D994" s="1183">
        <f t="shared" si="194"/>
        <v>20</v>
      </c>
      <c r="E994" s="1183">
        <f t="shared" si="194"/>
        <v>300</v>
      </c>
      <c r="F994" s="1183">
        <f t="shared" si="194"/>
        <v>9900</v>
      </c>
      <c r="G994" s="1155"/>
      <c r="H994" s="1183">
        <f>SUM(H784:H785,H791:H798)</f>
        <v>0</v>
      </c>
      <c r="I994" s="1183">
        <f>SUM(I784:I785,I791:I798)</f>
        <v>20</v>
      </c>
      <c r="J994" s="1183">
        <f>SUM(J784:J785,J791:J798)</f>
        <v>300</v>
      </c>
      <c r="K994" s="1183">
        <f>SUM(K784:K785,K791:K798)</f>
        <v>9900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0</v>
      </c>
      <c r="D995" s="1183">
        <f t="shared" si="195"/>
        <v>800</v>
      </c>
      <c r="E995" s="1183">
        <f t="shared" si="195"/>
        <v>480</v>
      </c>
      <c r="F995" s="1183">
        <f t="shared" si="195"/>
        <v>120800</v>
      </c>
      <c r="G995" s="1155"/>
      <c r="H995" s="1183">
        <f>SUM(H799,H800)</f>
        <v>1980</v>
      </c>
      <c r="I995" s="1183">
        <f>SUM(I799,I800)</f>
        <v>1760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1980</v>
      </c>
      <c r="N995" s="1183">
        <f>SUM(N799,N800)</f>
        <v>960</v>
      </c>
      <c r="O995" s="1183">
        <f>SUM(O799,O800)</f>
        <v>840</v>
      </c>
      <c r="P995" s="1183">
        <f>SUM(P799,P800)</f>
        <v>-119700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0</v>
      </c>
      <c r="D996" s="1183">
        <f t="shared" si="196"/>
        <v>1000</v>
      </c>
      <c r="E996" s="1183">
        <f t="shared" si="196"/>
        <v>1800</v>
      </c>
      <c r="F996" s="1183">
        <f t="shared" si="196"/>
        <v>25000</v>
      </c>
      <c r="G996" s="1165"/>
      <c r="H996" s="1183">
        <f>SUM(H801)</f>
        <v>2700</v>
      </c>
      <c r="I996" s="1183">
        <f>SUM(I801)</f>
        <v>2400</v>
      </c>
      <c r="J996" s="1183">
        <f>SUM(J801)</f>
        <v>1800</v>
      </c>
      <c r="K996" s="1183">
        <f>SUM(K801)</f>
        <v>1500</v>
      </c>
      <c r="L996" s="1165"/>
      <c r="M996" s="1183">
        <f>SUM(M801)</f>
        <v>2700</v>
      </c>
      <c r="N996" s="1183">
        <f>SUM(N801)</f>
        <v>1400</v>
      </c>
      <c r="O996" s="1183">
        <f>SUM(O801)</f>
        <v>0</v>
      </c>
      <c r="P996" s="1183">
        <f>SUM(P801)</f>
        <v>-23500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0</v>
      </c>
      <c r="D997" s="1183">
        <f t="shared" ref="D997:F997" si="197">SUM(D804)</f>
        <v>1440</v>
      </c>
      <c r="E997" s="1183">
        <f t="shared" si="197"/>
        <v>0</v>
      </c>
      <c r="F997" s="1183">
        <f t="shared" si="197"/>
        <v>25000</v>
      </c>
      <c r="G997" s="1165"/>
      <c r="H997" s="1183">
        <f>SUM(H802,H804)</f>
        <v>540</v>
      </c>
      <c r="I997" s="1183">
        <f>SUM(I802,I804)</f>
        <v>1920</v>
      </c>
      <c r="J997" s="1183">
        <f>SUM(J802,J804)</f>
        <v>360</v>
      </c>
      <c r="K997" s="1183">
        <f>SUM(K802,K804)</f>
        <v>25300</v>
      </c>
      <c r="L997" s="1165"/>
      <c r="M997" s="1183">
        <f>SUM(M802,M804)</f>
        <v>540</v>
      </c>
      <c r="N997" s="1183">
        <f>SUM(N802,N804)</f>
        <v>-180</v>
      </c>
      <c r="O997" s="1183">
        <f>SUM(O802,O804)</f>
        <v>360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78</v>
      </c>
      <c r="D998" s="1183">
        <f t="shared" ref="D998:F998" si="198">SUM(D802,D803)</f>
        <v>1260</v>
      </c>
      <c r="E998" s="1183">
        <f t="shared" si="198"/>
        <v>9600</v>
      </c>
      <c r="F998" s="1183">
        <f t="shared" si="198"/>
        <v>87600</v>
      </c>
      <c r="G998" s="1165"/>
      <c r="H998" s="1183">
        <f>H803</f>
        <v>792</v>
      </c>
      <c r="I998" s="1183">
        <f>I803</f>
        <v>704</v>
      </c>
      <c r="J998" s="1183">
        <f>J803</f>
        <v>528</v>
      </c>
      <c r="K998" s="1183">
        <f>K803</f>
        <v>440</v>
      </c>
      <c r="L998" s="1165"/>
      <c r="M998" s="1183">
        <f>M803</f>
        <v>714</v>
      </c>
      <c r="N998" s="1183">
        <f>N803</f>
        <v>104</v>
      </c>
      <c r="O998" s="1183">
        <f>O803</f>
        <v>-9072</v>
      </c>
      <c r="P998" s="1183">
        <f>P803</f>
        <v>-83560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5348</v>
      </c>
      <c r="E999" s="1183">
        <f t="shared" si="199"/>
        <v>0</v>
      </c>
      <c r="F999" s="1183">
        <f t="shared" si="199"/>
        <v>91600</v>
      </c>
      <c r="G999" s="1165"/>
      <c r="H999" s="1183">
        <f>SUM(H805,H807:H810)</f>
        <v>36763.5</v>
      </c>
      <c r="I999" s="1183">
        <f>SUM(I805,I807:I810)</f>
        <v>33026.666666666672</v>
      </c>
      <c r="J999" s="1183">
        <f>SUM(J805,J807:J810)</f>
        <v>24509</v>
      </c>
      <c r="K999" s="1183">
        <f>SUM(K805,K807:K810)</f>
        <v>24024.166666666668</v>
      </c>
      <c r="L999" s="1165"/>
      <c r="M999" s="1183">
        <f>SUM(M805,M807:M810)</f>
        <v>36763.5</v>
      </c>
      <c r="N999" s="1183">
        <f>SUM(N805,N807:N810)</f>
        <v>27678.666666666668</v>
      </c>
      <c r="O999" s="1183">
        <f>SUM(O805,O807:O810)</f>
        <v>24509</v>
      </c>
      <c r="P999" s="1183">
        <f>SUM(P805,P807:P810)</f>
        <v>-67575.833333333328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695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4934.6666666666679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4934.6666666666679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696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27744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27744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11340</v>
      </c>
      <c r="D1002" s="1183">
        <f t="shared" si="203"/>
        <v>4016</v>
      </c>
      <c r="E1002" s="1183">
        <f t="shared" si="203"/>
        <v>62084</v>
      </c>
      <c r="F1002" s="1183">
        <f t="shared" si="203"/>
        <v>-163436.79999999999</v>
      </c>
      <c r="G1002" s="1165"/>
      <c r="H1002" s="1183" t="e">
        <f>H985-SUM(H988:H999)</f>
        <v>#VALUE!</v>
      </c>
      <c r="I1002" s="1183" t="e">
        <f>I985-SUM(I988:I999)</f>
        <v>#VALUE!</v>
      </c>
      <c r="J1002" s="1183" t="e">
        <f>J985-SUM(J988:J999)</f>
        <v>#VALUE!</v>
      </c>
      <c r="K1002" s="1183" t="e">
        <f>K985-SUM(K988:K999)</f>
        <v>#VALUE!</v>
      </c>
      <c r="L1002" s="1165"/>
      <c r="M1002" s="1183" t="e">
        <f>M985-SUM(M988:M999)</f>
        <v>#VALUE!</v>
      </c>
      <c r="N1002" s="1183" t="e">
        <f>N985-SUM(N988:N999)</f>
        <v>#VALUE!</v>
      </c>
      <c r="O1002" s="1183" t="e">
        <f>O985-SUM(O988:O999)</f>
        <v>#VALUE!</v>
      </c>
      <c r="P1002" s="1183" t="e">
        <f>P985-SUM(P988:P999)</f>
        <v>#VALUE!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25140</v>
      </c>
      <c r="D1004" s="1181">
        <f>SUM(D988:D1002)</f>
        <v>32760</v>
      </c>
      <c r="E1004" s="1181">
        <f>SUM(E988:E1003)</f>
        <v>98820</v>
      </c>
      <c r="F1004" s="1181">
        <f>SUM(F988:F1003)</f>
        <v>220350</v>
      </c>
      <c r="G1004" s="1165"/>
      <c r="H1004" s="1183" t="e">
        <f>SUM(H988:H1003)</f>
        <v>#VALUE!</v>
      </c>
      <c r="I1004" s="1183" t="e">
        <f>SUM(I988:I1003)</f>
        <v>#VALUE!</v>
      </c>
      <c r="J1004" s="1183" t="e">
        <f>SUM(J988:J1003)</f>
        <v>#VALUE!</v>
      </c>
      <c r="K1004" s="1183" t="e">
        <f>SUM(K988:K1003)</f>
        <v>#VALUE!</v>
      </c>
      <c r="L1004" s="1165"/>
      <c r="M1004" s="1181" t="e">
        <f>SUM(M988:M1003)</f>
        <v>#VALUE!</v>
      </c>
      <c r="N1004" s="1181" t="e">
        <f>SUM(N988:N1003)</f>
        <v>#VALUE!</v>
      </c>
      <c r="O1004" s="1181" t="e">
        <f>SUM(O988:O1003)</f>
        <v>#VALUE!</v>
      </c>
      <c r="P1004" s="1181" t="e">
        <f>SUM(P988:P1003)</f>
        <v>#VALUE!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0</v>
      </c>
      <c r="D1012" s="1220">
        <f>SUM(D965:D967)</f>
        <v>3600</v>
      </c>
      <c r="E1012" s="1220">
        <f>SUM(E965:E967)</f>
        <v>6000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0</v>
      </c>
      <c r="D1013" s="1220">
        <f>D1011*D1012*100</f>
        <v>93600</v>
      </c>
      <c r="E1013" s="1220">
        <f>E1011*E1012*100</f>
        <v>120000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213600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0</v>
      </c>
      <c r="F1015" s="1220">
        <f>SUM(F795)</f>
        <v>1000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0</v>
      </c>
      <c r="F1016" s="1220">
        <f>F1011*F1015*100</f>
        <v>9000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9000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5.9145719178082187E-2</v>
      </c>
      <c r="E1020" s="959">
        <f>E11</f>
        <v>5.5202671232876706E-2</v>
      </c>
      <c r="F1020" s="959">
        <f>F11</f>
        <v>0.45423912328767113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26702.707324836225</v>
      </c>
      <c r="D1022" s="1220">
        <f>IF(OR(D454=0,D454="",D450=0,D450=""),0,365*$P$1*D456*D46/D454/D450)</f>
        <v>23735.739844298867</v>
      </c>
      <c r="E1022" s="1220">
        <f>IF(E46="",0,$D1022*E46/$D46)</f>
        <v>17801.804883224151</v>
      </c>
      <c r="F1022" s="1220">
        <f>IF(F46="",0,$D1022*F46/$D46)</f>
        <v>14834.837402686791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0.24941291229318627</v>
      </c>
      <c r="F1023" s="1225">
        <f>F1021/F1022</f>
        <v>0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5.9145719178082187E-2</v>
      </c>
      <c r="E1024" s="1225">
        <f>E1020+E1023</f>
        <v>0.30461558352606299</v>
      </c>
      <c r="F1024" s="1225">
        <f>F1020+F1023</f>
        <v>0.45423912328767113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7.8860958904109588E-2</v>
      </c>
      <c r="E1025" s="1225">
        <f>E1024*E46/6</f>
        <v>0.30461558352606299</v>
      </c>
      <c r="F1025" s="1225">
        <f>F1024*F46/6</f>
        <v>0.37853260273972594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2.6286986301369866</v>
      </c>
      <c r="E1026" s="1225">
        <f>E1025/SUM(E48)</f>
        <v>0.60923116705212599</v>
      </c>
      <c r="F1026" s="1225">
        <f>F1025/SUM(F48)</f>
        <v>9.4633150684931486E-2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688</v>
      </c>
      <c r="B1031" s="1217"/>
      <c r="C1031" s="1220" t="e">
        <f>SUM(C989)+SUM(M989)</f>
        <v>#VALUE!</v>
      </c>
      <c r="D1031" s="1215"/>
      <c r="E1031" s="1220" t="e">
        <f>SUM(D989)+SUM(N989)</f>
        <v>#VALUE!</v>
      </c>
      <c r="F1031" s="1215"/>
      <c r="G1031" s="1215"/>
      <c r="H1031" s="1220" t="e">
        <f>SUM(E989)+SUM(O989)</f>
        <v>#VALUE!</v>
      </c>
      <c r="I1031" s="1214"/>
      <c r="J1031" s="1220" t="e">
        <f>SUM(F989)+SUM(P989)</f>
        <v>#VALUE!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689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13978.666666666668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690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27744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691</v>
      </c>
      <c r="B1034" s="1217"/>
      <c r="C1034" s="1220">
        <f>SUMIF($Q$772:$Q$776,"des",H$772:H$776)+SUMIF($Q$781:$Q$785,"des",H$781:H$785)+SUMIF($Q$790:$Q$810,"des",H$790:H$810)</f>
        <v>0</v>
      </c>
      <c r="D1034" s="1217"/>
      <c r="E1034" s="1220">
        <f>SUMIF($Q$772:$Q$776,"des",I$772:I$776)+SUMIF($Q$781:$Q$785,"des",I$781:I$785)+SUMIF($Q$790:$Q$810,"des",I$790:I$810)</f>
        <v>1808</v>
      </c>
      <c r="F1034" s="1217"/>
      <c r="G1034" s="1217"/>
      <c r="H1034" s="1220">
        <f>SUMIF($Q$772:$Q$776,"des",J$772:J$776)+SUMIF($Q$781:$Q$785,"des",J$781:J$785)+SUMIF($Q$790:$Q$810,"des",J$790:J$810)</f>
        <v>1500</v>
      </c>
      <c r="I1034" s="1417"/>
      <c r="J1034" s="1220">
        <f>SUMIF($Q$772:$Q$776,"des",K$772:K$776)+SUMIF($Q$781:$Q$785,"des",K$781:K$785)+SUMIF($Q$790:$Q$810,"des",K$790:K$810)</f>
        <v>39220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787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0.66585874639802412</v>
      </c>
      <c r="D1038" s="1422"/>
      <c r="E1038" s="1458">
        <f>IF(UPPER('Exp factors'!$D$41)="YES",$P$1/$D$454,SUM(D453,D462,D471,D480,D489,D498)/(SUM(D455,D464,D473,D482,D491,D500)*365*D$46))</f>
        <v>0.66585874639802412</v>
      </c>
      <c r="F1038" s="1422"/>
      <c r="G1038" s="1422"/>
      <c r="H1038" s="1421">
        <f>E1038</f>
        <v>0.66585874639802412</v>
      </c>
      <c r="I1038" s="1423"/>
      <c r="J1038" s="1421">
        <f>E1038</f>
        <v>0.66585874639802412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8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7.9780876494023909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7.9780876494023909</v>
      </c>
      <c r="F1040" s="1215"/>
      <c r="G1040" s="1215"/>
      <c r="H1040" s="1421">
        <f>E1040</f>
        <v>7.9780876494023909</v>
      </c>
      <c r="I1040" s="1214"/>
      <c r="J1040" s="1421">
        <f>E1040</f>
        <v>7.9780876494023909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5.9145719178082187E-2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0.45423912328767113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Beans: kg produced</v>
      </c>
      <c r="B1046" s="1217">
        <v>3</v>
      </c>
      <c r="C1046" s="1158">
        <f t="shared" si="207"/>
        <v>3.9278405977584072E-2</v>
      </c>
      <c r="D1046" s="1158">
        <f t="shared" si="208"/>
        <v>0</v>
      </c>
      <c r="E1046" s="1158">
        <f t="shared" si="209"/>
        <v>0</v>
      </c>
      <c r="F1046" s="1158">
        <f t="shared" si="210"/>
        <v>0</v>
      </c>
      <c r="G1046" s="1215"/>
      <c r="H1046" s="1227">
        <f t="shared" si="211"/>
        <v>0</v>
      </c>
      <c r="I1046" s="1227">
        <f t="shared" si="212"/>
        <v>0</v>
      </c>
      <c r="J1046" s="1227">
        <f t="shared" si="213"/>
        <v>0</v>
      </c>
      <c r="K1046" s="1227">
        <f t="shared" si="214"/>
        <v>0</v>
      </c>
      <c r="L1046" s="1215"/>
      <c r="M1046" s="1432" t="str">
        <f t="shared" si="204"/>
        <v/>
      </c>
      <c r="N1046" s="1215"/>
      <c r="O1046" s="1215"/>
      <c r="P1046" s="1215"/>
      <c r="Q1046" s="1412"/>
      <c r="R1046" s="1215">
        <f t="shared" si="205"/>
        <v>15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Groundnuts (dry): no. local meas</v>
      </c>
      <c r="B1047" s="1217">
        <v>4</v>
      </c>
      <c r="C1047" s="1158">
        <f t="shared" si="207"/>
        <v>2.0029057700290578E-2</v>
      </c>
      <c r="D1047" s="1158">
        <f t="shared" si="208"/>
        <v>0</v>
      </c>
      <c r="E1047" s="1158">
        <f t="shared" si="209"/>
        <v>1.0139710460772104E-2</v>
      </c>
      <c r="F1047" s="1158">
        <f t="shared" si="210"/>
        <v>0</v>
      </c>
      <c r="G1047" s="1215"/>
      <c r="H1047" s="1227">
        <f t="shared" si="211"/>
        <v>2.4034869240348693E-2</v>
      </c>
      <c r="I1047" s="1227">
        <f t="shared" si="212"/>
        <v>7.2104607721046071E-2</v>
      </c>
      <c r="J1047" s="1227">
        <f t="shared" si="213"/>
        <v>0</v>
      </c>
      <c r="K1047" s="1227">
        <f t="shared" si="214"/>
        <v>0</v>
      </c>
      <c r="L1047" s="1215"/>
      <c r="M1047" s="1432">
        <f t="shared" si="204"/>
        <v>23</v>
      </c>
      <c r="N1047" s="1215"/>
      <c r="O1047" s="1215"/>
      <c r="P1047" s="1215"/>
      <c r="Q1047" s="1412"/>
      <c r="R1047" s="1215">
        <f t="shared" si="205"/>
        <v>23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>Roundnuts (bambara): no. local meas</v>
      </c>
      <c r="B1048" s="1217">
        <v>5</v>
      </c>
      <c r="C1048" s="1158">
        <f t="shared" si="207"/>
        <v>0</v>
      </c>
      <c r="D1048" s="1158">
        <f t="shared" si="208"/>
        <v>0</v>
      </c>
      <c r="E1048" s="1158">
        <f t="shared" si="209"/>
        <v>1.1959492528019925E-2</v>
      </c>
      <c r="F1048" s="1158">
        <f t="shared" si="210"/>
        <v>0</v>
      </c>
      <c r="G1048" s="1215"/>
      <c r="H1048" s="1227">
        <f t="shared" si="211"/>
        <v>0</v>
      </c>
      <c r="I1048" s="1227">
        <f t="shared" si="212"/>
        <v>0</v>
      </c>
      <c r="J1048" s="1227">
        <f t="shared" si="213"/>
        <v>0</v>
      </c>
      <c r="K1048" s="1227">
        <f t="shared" si="214"/>
        <v>0</v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>
        <f t="shared" si="205"/>
        <v>24</v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5.9523809523809521E-2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699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8.4464318181818182E-2</v>
      </c>
      <c r="F1065" s="1158">
        <f>SUM(N887:N888)</f>
        <v>-8.4464318181818182E-2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700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701</v>
      </c>
      <c r="B1067" s="1217"/>
      <c r="C1067" s="1158">
        <f>SUM(C865:C879,C881:C882,C884)</f>
        <v>7.3832975342465745E-2</v>
      </c>
      <c r="D1067" s="1158" t="e">
        <f>SUM(M865:M879,M881:M882,M884)</f>
        <v>#DIV/0!</v>
      </c>
      <c r="E1067" s="1158">
        <f>SUM(D865:D879,D881:D882,D884)</f>
        <v>0.21154028592777085</v>
      </c>
      <c r="F1067" s="1158" t="e">
        <f>SUM(N865:N879,N881:N882,N884)</f>
        <v>#DIV/0!</v>
      </c>
      <c r="G1067" s="1215"/>
      <c r="H1067" s="1158">
        <f>SUM(E865:E879,E881:E882,E884)</f>
        <v>0.22384780946450811</v>
      </c>
      <c r="I1067" s="1158" t="e">
        <f>SUM(O865:O879,O881:O882,O884)</f>
        <v>#DIV/0!</v>
      </c>
      <c r="J1067" s="1158">
        <f>SUM(F865:F879,F881:F882,F884)</f>
        <v>0.11811531120298879</v>
      </c>
      <c r="K1067" s="1158" t="e">
        <f>SUM(P865:P879,P881:P882,P884)</f>
        <v>#DIV/0!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0.61965505740971338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0.67660356463262761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1.003064720847088</v>
      </c>
      <c r="D1069" s="1158" t="e">
        <f>SUM(D1044:D1068)</f>
        <v>#DIV/0!</v>
      </c>
      <c r="E1069" s="1158">
        <f>SUM(E1044:E1068)</f>
        <v>1.0564283932099863</v>
      </c>
      <c r="F1069" s="1158" t="e">
        <f>SUM(F1044:F1068)</f>
        <v>#DIV/0!</v>
      </c>
      <c r="G1069" s="1434"/>
      <c r="H1069" s="1227">
        <f>SUM(H1044:H1068)</f>
        <v>1.1700144268121528</v>
      </c>
      <c r="I1069" s="1227" t="e">
        <f>SUM(I1044:I1068)</f>
        <v>#DIV/0!</v>
      </c>
      <c r="J1069" s="1227">
        <f>SUM(J1044:J1068)</f>
        <v>1.3114341273922787</v>
      </c>
      <c r="K1069" s="1227" t="e">
        <f>SUM(K1044:K1068)</f>
        <v>#DIV/0!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0</v>
      </c>
      <c r="K1075" s="1432">
        <f t="shared" si="232"/>
        <v>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Domestic work cash income -- see Data2</v>
      </c>
      <c r="B1076" s="1217">
        <v>5</v>
      </c>
      <c r="C1076" s="1220">
        <f t="shared" si="225"/>
        <v>0</v>
      </c>
      <c r="D1076" s="1220">
        <f t="shared" si="226"/>
        <v>0</v>
      </c>
      <c r="E1076" s="1220">
        <f t="shared" si="227"/>
        <v>3600</v>
      </c>
      <c r="F1076" s="1220">
        <f t="shared" si="228"/>
        <v>0</v>
      </c>
      <c r="G1076" s="1215"/>
      <c r="H1076" s="1432">
        <f t="shared" si="229"/>
        <v>6000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Formal Employment (conservancies, etc.)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0</v>
      </c>
      <c r="F1077" s="1220">
        <f t="shared" si="228"/>
        <v>0</v>
      </c>
      <c r="G1077" s="1215"/>
      <c r="H1077" s="1432">
        <f t="shared" si="229"/>
        <v>48000</v>
      </c>
      <c r="I1077" s="1432">
        <f t="shared" si="230"/>
        <v>0</v>
      </c>
      <c r="J1077" s="1432">
        <f t="shared" si="231"/>
        <v>199200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Small business -- see Data2</v>
      </c>
      <c r="B1078" s="1217">
        <v>7</v>
      </c>
      <c r="C1078" s="1220">
        <f t="shared" si="225"/>
        <v>1200</v>
      </c>
      <c r="D1078" s="1220">
        <f t="shared" si="226"/>
        <v>0</v>
      </c>
      <c r="E1078" s="1220">
        <f t="shared" si="227"/>
        <v>7200</v>
      </c>
      <c r="F1078" s="1220">
        <f t="shared" si="228"/>
        <v>0</v>
      </c>
      <c r="G1078" s="1215"/>
      <c r="H1078" s="1432">
        <f t="shared" si="229"/>
        <v>19200</v>
      </c>
      <c r="I1078" s="1432">
        <f t="shared" si="230"/>
        <v>0</v>
      </c>
      <c r="J1078" s="1432">
        <f t="shared" si="231"/>
        <v>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Social development -- see Data2</v>
      </c>
      <c r="B1079" s="1217">
        <v>8</v>
      </c>
      <c r="C1079" s="1220">
        <f t="shared" si="225"/>
        <v>23940</v>
      </c>
      <c r="D1079" s="1220">
        <f t="shared" si="226"/>
        <v>0</v>
      </c>
      <c r="E1079" s="1220">
        <f t="shared" si="227"/>
        <v>21960</v>
      </c>
      <c r="F1079" s="1220">
        <f t="shared" si="228"/>
        <v>0</v>
      </c>
      <c r="G1079" s="1215"/>
      <c r="H1079" s="1432">
        <f t="shared" si="229"/>
        <v>19980</v>
      </c>
      <c r="I1079" s="1432">
        <f t="shared" si="230"/>
        <v>0</v>
      </c>
      <c r="J1079" s="1432">
        <f t="shared" si="231"/>
        <v>8100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/>
      </c>
      <c r="B1080" s="1217">
        <v>9</v>
      </c>
      <c r="C1080" s="1220" t="str">
        <f t="shared" si="225"/>
        <v/>
      </c>
      <c r="D1080" s="1220" t="str">
        <f t="shared" si="226"/>
        <v/>
      </c>
      <c r="E1080" s="1220" t="str">
        <f t="shared" si="227"/>
        <v/>
      </c>
      <c r="F1080" s="1220" t="str">
        <f t="shared" si="228"/>
        <v/>
      </c>
      <c r="G1080" s="1215"/>
      <c r="H1080" s="1432" t="str">
        <f t="shared" si="229"/>
        <v/>
      </c>
      <c r="I1080" s="1432" t="str">
        <f t="shared" si="230"/>
        <v/>
      </c>
      <c r="J1080" s="1432" t="str">
        <f t="shared" si="231"/>
        <v/>
      </c>
      <c r="K1080" s="1432" t="str">
        <f t="shared" si="232"/>
        <v/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25140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98820</v>
      </c>
      <c r="I1100" s="1432">
        <f>SUM(I1072:I1099)</f>
        <v>-4840</v>
      </c>
      <c r="J1100" s="1432">
        <f>SUM(J1072:J1099)</f>
        <v>220350</v>
      </c>
      <c r="K1100" s="1432">
        <f>SUM(K1072:K1099)</f>
        <v>450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1.003064720847088</v>
      </c>
      <c r="D1103" s="1438" t="e">
        <f>M900</f>
        <v>#VALUE!</v>
      </c>
      <c r="E1103" s="1438">
        <f>D900</f>
        <v>1.056428393209986</v>
      </c>
      <c r="F1103" s="1438" t="e">
        <f>N900</f>
        <v>#VALUE!</v>
      </c>
      <c r="G1103" s="1215"/>
      <c r="H1103" s="1439">
        <f>E900</f>
        <v>1.1700144268121524</v>
      </c>
      <c r="I1103" s="1439" t="e">
        <f>O900</f>
        <v>#VALUE!</v>
      </c>
      <c r="J1103" s="1439">
        <f>F900</f>
        <v>1.3114341273922789</v>
      </c>
      <c r="K1103" s="1439" t="e">
        <f>P900</f>
        <v>#VALUE!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 t="e">
        <f>IF(SUM(D1043:D1068)=D1103,"OK",SUM(D1043:D1068))</f>
        <v>#DIV/0!</v>
      </c>
      <c r="E1104" s="1435" t="str">
        <f>IF(SUM(E1043:E1068)=E1103,"OK",SUM(E1043:E1068))</f>
        <v>OK</v>
      </c>
      <c r="F1104" s="1435" t="e">
        <f>IF(SUM(F1043:F1068)=F1103,"OK",SUM(F1043:F1068))</f>
        <v>#DIV/0!</v>
      </c>
      <c r="G1104" s="1215"/>
      <c r="H1104" s="1435" t="str">
        <f>IF(SUM(H1043:H1068)=H1103,"OK",SUM(H1043:H1068))</f>
        <v>OK</v>
      </c>
      <c r="I1104" s="1435" t="e">
        <f>IF(SUM(I1043:I1068)=I1103,"OK",SUM(I1043:I1068))</f>
        <v>#DIV/0!</v>
      </c>
      <c r="J1104" s="1435" t="str">
        <f>IF(SUM(J1043:J1068)=J1103,"OK",SUM(J1043:J1068))</f>
        <v>OK</v>
      </c>
      <c r="K1104" s="1435" t="e">
        <f>IF(SUM(K1043:K1068)=K1103,"OK",SUM(K1043:K1068))</f>
        <v>#DIV/0!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25140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98820</v>
      </c>
      <c r="I1105" s="1440">
        <f>O985</f>
        <v>-4840</v>
      </c>
      <c r="J1105" s="1440">
        <f>F985</f>
        <v>220350</v>
      </c>
      <c r="K1105" s="1440">
        <f>P985</f>
        <v>450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17450.837963306025</v>
      </c>
      <c r="D1111" s="1222">
        <f>E1038*365*E1039*E1040</f>
        <v>15511.855967383133</v>
      </c>
      <c r="E1111" s="1222">
        <f>H1038*365*H1039*H1040</f>
        <v>11633.891975537352</v>
      </c>
      <c r="F1111" s="1222">
        <f>J1038*365*J1039*J1040</f>
        <v>9694.9099796144583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5.9145719178082187E-2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0.45423912328767113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0.25786727316259395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3.9278405977584072E-2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2.0029057700290578E-2</v>
      </c>
      <c r="D1129" s="1435">
        <f t="shared" si="247"/>
        <v>1.0139710460772104E-2</v>
      </c>
      <c r="E1129" s="1435">
        <f t="shared" si="248"/>
        <v>0.14781116035839378</v>
      </c>
      <c r="F1129" s="1435">
        <f t="shared" si="249"/>
        <v>0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0.1237762911180451</v>
      </c>
      <c r="K1129" s="1436">
        <f t="shared" si="253"/>
        <v>0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1.1959492528019925E-2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1.160402729231673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0.10314690926503758</v>
      </c>
      <c r="F1186" s="1435">
        <f t="shared" si="273"/>
        <v>0.23208054584633458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0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0.23208054584633458</v>
      </c>
      <c r="E1192" s="1435">
        <f t="shared" si="274"/>
        <v>0.51573454632518789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4.1258763706015031</v>
      </c>
      <c r="F1194" s="1435">
        <f>IF(F$1111=0,0,MAX(SUM(F970,P970)/F$1111,SUM(F970)/F$1111))</f>
        <v>20.546864325595489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6.8764606176691723E-2</v>
      </c>
      <c r="D1197" s="1435">
        <f>IF(D$1111=0,0,MAX(SUM(D975,N975)/D$1111,SUM(D975)/D$1111))</f>
        <v>0.46416109169266917</v>
      </c>
      <c r="E1197" s="1435">
        <f>IF(E$1111=0,0,MAX(SUM(E975,O975)/E$1111,SUM(E975)/E$1111))</f>
        <v>1.6503505482406013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1.371853893225</v>
      </c>
      <c r="D1198" s="1435">
        <f>IF(D$1111=0,0,MAX(SUM(D977,N977)/D$1111,SUM(D977)/D$1111))</f>
        <v>1.415691329662641</v>
      </c>
      <c r="E1198" s="1435">
        <f>IF(E$1111=0,0,MAX(SUM(E977,O977)/E$1111,SUM(E977)/E$1111))</f>
        <v>1.7173960392628758</v>
      </c>
      <c r="F1198" s="1435">
        <f>IF(F$1111=0,0,MAX(SUM(F977,P977)/F$1111,SUM(F977)/F$1111))</f>
        <v>0.83548996504680451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0.17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no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697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698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1" zoomScale="130" zoomScaleNormal="130" zoomScalePageLayoutView="13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2016-11-19T14:43:54Z</dcterms:modified>
</cp:coreProperties>
</file>