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3460" windowHeight="132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3" i="7" l="1"/>
  <c r="D183" i="7"/>
  <c r="F183" i="7"/>
  <c r="E183" i="7"/>
  <c r="I180" i="7"/>
  <c r="J180" i="7"/>
  <c r="K180" i="7"/>
  <c r="H180" i="7"/>
  <c r="I183" i="7"/>
  <c r="J183" i="7"/>
  <c r="K183" i="7"/>
  <c r="H183" i="7"/>
  <c r="C180" i="7"/>
  <c r="D180" i="7"/>
  <c r="E180" i="7"/>
  <c r="F180" i="7"/>
  <c r="K1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77" i="7"/>
  <c r="C828" i="7"/>
  <c r="D177" i="7"/>
  <c r="D828" i="7"/>
  <c r="E177" i="7"/>
  <c r="E828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D1056" i="7"/>
  <c r="E1056" i="7"/>
  <c r="F1056" i="7"/>
  <c r="H1056" i="7"/>
  <c r="I1056" i="7"/>
  <c r="J1056" i="7"/>
  <c r="K1056" i="7"/>
  <c r="R105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C208" i="7"/>
  <c r="BV211" i="3"/>
  <c r="BW211" i="3"/>
  <c r="BX211" i="3"/>
  <c r="BY211" i="3"/>
  <c r="C211" i="7"/>
  <c r="C205" i="7"/>
  <c r="H205" i="7"/>
  <c r="C206" i="7"/>
  <c r="H207" i="7"/>
  <c r="H926" i="7"/>
  <c r="D17" i="8"/>
  <c r="D18" i="8"/>
  <c r="D208" i="7"/>
  <c r="D211" i="7"/>
  <c r="D205" i="7"/>
  <c r="I205" i="7"/>
  <c r="D206" i="7"/>
  <c r="I207" i="7"/>
  <c r="I926" i="7"/>
  <c r="E17" i="8"/>
  <c r="E18" i="8"/>
  <c r="E208" i="7"/>
  <c r="E211" i="7"/>
  <c r="E205" i="7"/>
  <c r="J205" i="7"/>
  <c r="E206" i="7"/>
  <c r="J207" i="7"/>
  <c r="J926" i="7"/>
  <c r="F17" i="8"/>
  <c r="F18" i="8"/>
  <c r="F208" i="7"/>
  <c r="F211" i="7"/>
  <c r="F205" i="7"/>
  <c r="K205" i="7"/>
  <c r="F206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S917" i="7"/>
  <c r="C224" i="7"/>
  <c r="C226" i="7"/>
  <c r="C918" i="7"/>
  <c r="D224" i="7"/>
  <c r="D226" i="7"/>
  <c r="D918" i="7"/>
  <c r="E224" i="7"/>
  <c r="E226" i="7"/>
  <c r="E918" i="7"/>
  <c r="S918" i="7"/>
  <c r="S919" i="7"/>
  <c r="S920" i="7"/>
  <c r="S921" i="7"/>
  <c r="S922" i="7"/>
  <c r="S923" i="7"/>
  <c r="S924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H217" i="7"/>
  <c r="H929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2" i="7"/>
  <c r="A205" i="7"/>
  <c r="A926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A1086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R1094" i="7"/>
  <c r="R1095" i="7"/>
  <c r="A1096" i="7"/>
  <c r="R1096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H445" i="7"/>
  <c r="I445" i="7"/>
  <c r="H447" i="7"/>
  <c r="I447" i="7"/>
  <c r="C800" i="7"/>
  <c r="BV995" i="3"/>
  <c r="C799" i="7"/>
  <c r="C995" i="7"/>
  <c r="BY493" i="3"/>
  <c r="BX493" i="3"/>
  <c r="E492" i="7"/>
  <c r="E487" i="7"/>
  <c r="E488" i="7"/>
  <c r="E493" i="7"/>
  <c r="D474" i="7"/>
  <c r="D469" i="7"/>
  <c r="D468" i="7"/>
  <c r="D470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79" i="7"/>
  <c r="C484" i="7"/>
  <c r="C492" i="7"/>
  <c r="C493" i="7"/>
  <c r="C501" i="7"/>
  <c r="C502" i="7"/>
  <c r="C634" i="7"/>
  <c r="C631" i="7"/>
  <c r="C635" i="7"/>
  <c r="C988" i="7"/>
  <c r="B52" i="8"/>
  <c r="G52" i="8"/>
  <c r="F46" i="7"/>
  <c r="K46" i="7"/>
  <c r="K470" i="7"/>
  <c r="K469" i="7"/>
  <c r="K471" i="7"/>
  <c r="K475" i="7"/>
  <c r="P475" i="7"/>
  <c r="B54" i="8"/>
  <c r="G54" i="8"/>
  <c r="D477" i="7"/>
  <c r="F479" i="7"/>
  <c r="K479" i="7"/>
  <c r="K478" i="7"/>
  <c r="K480" i="7"/>
  <c r="D483" i="7"/>
  <c r="K484" i="7"/>
  <c r="F483" i="7"/>
  <c r="F478" i="7"/>
  <c r="F484" i="7"/>
  <c r="P484" i="7"/>
  <c r="B50" i="8"/>
  <c r="G50" i="8"/>
  <c r="F488" i="7"/>
  <c r="K488" i="7"/>
  <c r="D486" i="7"/>
  <c r="K487" i="7"/>
  <c r="K489" i="7"/>
  <c r="H50" i="8"/>
  <c r="D492" i="7"/>
  <c r="K493" i="7"/>
  <c r="F492" i="7"/>
  <c r="F487" i="7"/>
  <c r="F493" i="7"/>
  <c r="P493" i="7"/>
  <c r="B51" i="8"/>
  <c r="G51" i="8"/>
  <c r="D497" i="7"/>
  <c r="C497" i="7"/>
  <c r="E497" i="7"/>
  <c r="F497" i="7"/>
  <c r="I497" i="7"/>
  <c r="K497" i="7"/>
  <c r="D495" i="7"/>
  <c r="K496" i="7"/>
  <c r="K498" i="7"/>
  <c r="H51" i="8"/>
  <c r="D501" i="7"/>
  <c r="K502" i="7"/>
  <c r="F501" i="7"/>
  <c r="F502" i="7"/>
  <c r="P502" i="7"/>
  <c r="B67" i="8"/>
  <c r="G67" i="8"/>
  <c r="K631" i="7"/>
  <c r="D634" i="7"/>
  <c r="K635" i="7"/>
  <c r="F634" i="7"/>
  <c r="F631" i="7"/>
  <c r="F635" i="7"/>
  <c r="P635" i="7"/>
  <c r="P988" i="7"/>
  <c r="B61" i="8"/>
  <c r="G61" i="8"/>
  <c r="D504" i="7"/>
  <c r="C504" i="7"/>
  <c r="E504" i="7"/>
  <c r="F504" i="7"/>
  <c r="I504" i="7"/>
  <c r="K504" i="7"/>
  <c r="K503" i="7"/>
  <c r="H61" i="8"/>
  <c r="D507" i="7"/>
  <c r="K508" i="7"/>
  <c r="F507" i="7"/>
  <c r="F508" i="7"/>
  <c r="P508" i="7"/>
  <c r="B62" i="8"/>
  <c r="G62" i="8"/>
  <c r="D510" i="7"/>
  <c r="I510" i="7"/>
  <c r="K510" i="7"/>
  <c r="K509" i="7"/>
  <c r="D513" i="7"/>
  <c r="K514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K520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H44" i="8"/>
  <c r="D525" i="7"/>
  <c r="K526" i="7"/>
  <c r="F525" i="7"/>
  <c r="F526" i="7"/>
  <c r="P526" i="7"/>
  <c r="B45" i="8"/>
  <c r="G45" i="8"/>
  <c r="K528" i="7"/>
  <c r="D531" i="7"/>
  <c r="K532" i="7"/>
  <c r="F531" i="7"/>
  <c r="F528" i="7"/>
  <c r="F532" i="7"/>
  <c r="P532" i="7"/>
  <c r="B46" i="8"/>
  <c r="G46" i="8"/>
  <c r="K534" i="7"/>
  <c r="D537" i="7"/>
  <c r="K538" i="7"/>
  <c r="F537" i="7"/>
  <c r="F534" i="7"/>
  <c r="F538" i="7"/>
  <c r="P538" i="7"/>
  <c r="B47" i="8"/>
  <c r="G47" i="8"/>
  <c r="D540" i="7"/>
  <c r="I540" i="7"/>
  <c r="K540" i="7"/>
  <c r="K539" i="7"/>
  <c r="D543" i="7"/>
  <c r="K544" i="7"/>
  <c r="F543" i="7"/>
  <c r="F539" i="7"/>
  <c r="F540" i="7"/>
  <c r="F544" i="7"/>
  <c r="P544" i="7"/>
  <c r="B48" i="8"/>
  <c r="G48" i="8"/>
  <c r="K546" i="7"/>
  <c r="H48" i="8"/>
  <c r="D549" i="7"/>
  <c r="K550" i="7"/>
  <c r="F549" i="7"/>
  <c r="F550" i="7"/>
  <c r="P550" i="7"/>
  <c r="B49" i="8"/>
  <c r="G49" i="8"/>
  <c r="K552" i="7"/>
  <c r="D555" i="7"/>
  <c r="K556" i="7"/>
  <c r="F555" i="7"/>
  <c r="F556" i="7"/>
  <c r="P556" i="7"/>
  <c r="B55" i="8"/>
  <c r="G55" i="8"/>
  <c r="K558" i="7"/>
  <c r="H55" i="8"/>
  <c r="D561" i="7"/>
  <c r="K562" i="7"/>
  <c r="F561" i="7"/>
  <c r="F562" i="7"/>
  <c r="P562" i="7"/>
  <c r="B56" i="8"/>
  <c r="G56" i="8"/>
  <c r="K564" i="7"/>
  <c r="H56" i="8"/>
  <c r="D567" i="7"/>
  <c r="K568" i="7"/>
  <c r="F567" i="7"/>
  <c r="F568" i="7"/>
  <c r="P568" i="7"/>
  <c r="B57" i="8"/>
  <c r="G57" i="8"/>
  <c r="K570" i="7"/>
  <c r="H57" i="8"/>
  <c r="D573" i="7"/>
  <c r="K574" i="7"/>
  <c r="F573" i="7"/>
  <c r="F574" i="7"/>
  <c r="P574" i="7"/>
  <c r="B58" i="8"/>
  <c r="G58" i="8"/>
  <c r="D576" i="7"/>
  <c r="C576" i="7"/>
  <c r="E576" i="7"/>
  <c r="F576" i="7"/>
  <c r="I576" i="7"/>
  <c r="K576" i="7"/>
  <c r="K575" i="7"/>
  <c r="H58" i="8"/>
  <c r="D579" i="7"/>
  <c r="K580" i="7"/>
  <c r="F579" i="7"/>
  <c r="F580" i="7"/>
  <c r="P580" i="7"/>
  <c r="B59" i="8"/>
  <c r="G59" i="8"/>
  <c r="D582" i="7"/>
  <c r="I582" i="7"/>
  <c r="K582" i="7"/>
  <c r="K581" i="7"/>
  <c r="H59" i="8"/>
  <c r="D585" i="7"/>
  <c r="K586" i="7"/>
  <c r="F585" i="7"/>
  <c r="F586" i="7"/>
  <c r="P586" i="7"/>
  <c r="B60" i="8"/>
  <c r="G60" i="8"/>
  <c r="D588" i="7"/>
  <c r="I588" i="7"/>
  <c r="K588" i="7"/>
  <c r="K587" i="7"/>
  <c r="H60" i="8"/>
  <c r="D591" i="7"/>
  <c r="K592" i="7"/>
  <c r="F591" i="7"/>
  <c r="F592" i="7"/>
  <c r="P592" i="7"/>
  <c r="B63" i="8"/>
  <c r="G63" i="8"/>
  <c r="K601" i="7"/>
  <c r="D604" i="7"/>
  <c r="K605" i="7"/>
  <c r="F604" i="7"/>
  <c r="F605" i="7"/>
  <c r="P605" i="7"/>
  <c r="B64" i="8"/>
  <c r="G64" i="8"/>
  <c r="K607" i="7"/>
  <c r="D610" i="7"/>
  <c r="K611" i="7"/>
  <c r="F610" i="7"/>
  <c r="F611" i="7"/>
  <c r="P611" i="7"/>
  <c r="B43" i="8"/>
  <c r="G43" i="8"/>
  <c r="K619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D616" i="7"/>
  <c r="K617" i="7"/>
  <c r="F616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F70" i="7"/>
  <c r="P72" i="7"/>
  <c r="P904" i="7"/>
  <c r="F78" i="7"/>
  <c r="P80" i="7"/>
  <c r="P905" i="7"/>
  <c r="F86" i="7"/>
  <c r="P88" i="7"/>
  <c r="P906" i="7"/>
  <c r="F97" i="7"/>
  <c r="P99" i="7"/>
  <c r="P907" i="7"/>
  <c r="F105" i="7"/>
  <c r="P107" i="7"/>
  <c r="P908" i="7"/>
  <c r="F113" i="7"/>
  <c r="P115" i="7"/>
  <c r="P909" i="7"/>
  <c r="F124" i="7"/>
  <c r="P126" i="7"/>
  <c r="P910" i="7"/>
  <c r="F133" i="7"/>
  <c r="P135" i="7"/>
  <c r="P911" i="7"/>
  <c r="F141" i="7"/>
  <c r="P143" i="7"/>
  <c r="P912" i="7"/>
  <c r="F152" i="7"/>
  <c r="P154" i="7"/>
  <c r="P913" i="7"/>
  <c r="F161" i="7"/>
  <c r="P163" i="7"/>
  <c r="P914" i="7"/>
  <c r="F169" i="7"/>
  <c r="P171" i="7"/>
  <c r="P915" i="7"/>
  <c r="F51" i="7"/>
  <c r="K51" i="7"/>
  <c r="P189" i="7"/>
  <c r="P921" i="7"/>
  <c r="F52" i="7"/>
  <c r="K52" i="7"/>
  <c r="F178" i="7"/>
  <c r="F191" i="7"/>
  <c r="F192" i="7"/>
  <c r="F195" i="7"/>
  <c r="F198" i="7"/>
  <c r="F199" i="7"/>
  <c r="F200" i="7"/>
  <c r="P200" i="7"/>
  <c r="P924" i="7"/>
  <c r="F54" i="7"/>
  <c r="K54" i="7"/>
  <c r="F55" i="7"/>
  <c r="K55" i="7"/>
  <c r="F181" i="7"/>
  <c r="F202" i="7"/>
  <c r="P207" i="7"/>
  <c r="P926" i="7"/>
  <c r="F239" i="7"/>
  <c r="F237" i="7"/>
  <c r="F242" i="7"/>
  <c r="F240" i="7"/>
  <c r="F241" i="7"/>
  <c r="P241" i="7"/>
  <c r="P932" i="7"/>
  <c r="F246" i="7"/>
  <c r="P248" i="7"/>
  <c r="P933" i="7"/>
  <c r="F253" i="7"/>
  <c r="P255" i="7"/>
  <c r="P934" i="7"/>
  <c r="F260" i="7"/>
  <c r="P262" i="7"/>
  <c r="P935" i="7"/>
  <c r="F267" i="7"/>
  <c r="P269" i="7"/>
  <c r="P936" i="7"/>
  <c r="F274" i="7"/>
  <c r="F272" i="7"/>
  <c r="F277" i="7"/>
  <c r="F275" i="7"/>
  <c r="F276" i="7"/>
  <c r="P276" i="7"/>
  <c r="P937" i="7"/>
  <c r="F281" i="7"/>
  <c r="P283" i="7"/>
  <c r="P938" i="7"/>
  <c r="F288" i="7"/>
  <c r="F286" i="7"/>
  <c r="F291" i="7"/>
  <c r="F289" i="7"/>
  <c r="F290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P337" i="7"/>
  <c r="P944" i="7"/>
  <c r="F345" i="7"/>
  <c r="P347" i="7"/>
  <c r="P945" i="7"/>
  <c r="F355" i="7"/>
  <c r="P357" i="7"/>
  <c r="P946" i="7"/>
  <c r="F366" i="7"/>
  <c r="F361" i="7"/>
  <c r="F363" i="7"/>
  <c r="F364" i="7"/>
  <c r="F369" i="7"/>
  <c r="F367" i="7"/>
  <c r="F368" i="7"/>
  <c r="P368" i="7"/>
  <c r="P947" i="7"/>
  <c r="F377" i="7"/>
  <c r="P379" i="7"/>
  <c r="P948" i="7"/>
  <c r="F708" i="7"/>
  <c r="P708" i="7"/>
  <c r="P965" i="7"/>
  <c r="F714" i="7"/>
  <c r="P714" i="7"/>
  <c r="P966" i="7"/>
  <c r="F720" i="7"/>
  <c r="P720" i="7"/>
  <c r="P967" i="7"/>
  <c r="F721" i="7"/>
  <c r="F722" i="7"/>
  <c r="K722" i="7"/>
  <c r="F723" i="7"/>
  <c r="K723" i="7"/>
  <c r="F724" i="7"/>
  <c r="P724" i="7"/>
  <c r="P969" i="7"/>
  <c r="F733" i="7"/>
  <c r="F734" i="7"/>
  <c r="K734" i="7"/>
  <c r="F735" i="7"/>
  <c r="K735" i="7"/>
  <c r="F736" i="7"/>
  <c r="F737" i="7"/>
  <c r="P737" i="7"/>
  <c r="P970" i="7"/>
  <c r="F729" i="7"/>
  <c r="K729" i="7"/>
  <c r="P732" i="7"/>
  <c r="P972" i="7"/>
  <c r="F755" i="7"/>
  <c r="P755" i="7"/>
  <c r="P973" i="7"/>
  <c r="F757" i="7"/>
  <c r="K757" i="7"/>
  <c r="P760" i="7"/>
  <c r="P975" i="7"/>
  <c r="F740" i="7"/>
  <c r="K740" i="7"/>
  <c r="P743" i="7"/>
  <c r="P977" i="7"/>
  <c r="F746" i="7"/>
  <c r="K746" i="7"/>
  <c r="P749" i="7"/>
  <c r="P979" i="7"/>
  <c r="F762" i="7"/>
  <c r="P765" i="7"/>
  <c r="P981" i="7"/>
  <c r="F725" i="7"/>
  <c r="F726" i="7"/>
  <c r="K726" i="7"/>
  <c r="F727" i="7"/>
  <c r="P727" i="7"/>
  <c r="P983" i="7"/>
  <c r="K186" i="7"/>
  <c r="P186" i="7"/>
  <c r="P920" i="7"/>
  <c r="K197" i="7"/>
  <c r="P197" i="7"/>
  <c r="P923" i="7"/>
  <c r="K204" i="7"/>
  <c r="P204" i="7"/>
  <c r="P925" i="7"/>
  <c r="P210" i="7"/>
  <c r="P927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P770" i="7"/>
  <c r="P982" i="7"/>
  <c r="P985" i="7"/>
  <c r="P1002" i="7"/>
  <c r="E46" i="7"/>
  <c r="J46" i="7"/>
  <c r="J470" i="7"/>
  <c r="J469" i="7"/>
  <c r="J471" i="7"/>
  <c r="J475" i="7"/>
  <c r="O475" i="7"/>
  <c r="E479" i="7"/>
  <c r="J479" i="7"/>
  <c r="J478" i="7"/>
  <c r="J480" i="7"/>
  <c r="J484" i="7"/>
  <c r="E483" i="7"/>
  <c r="E478" i="7"/>
  <c r="E484" i="7"/>
  <c r="O484" i="7"/>
  <c r="J488" i="7"/>
  <c r="J487" i="7"/>
  <c r="J489" i="7"/>
  <c r="J493" i="7"/>
  <c r="O493" i="7"/>
  <c r="J497" i="7"/>
  <c r="J496" i="7"/>
  <c r="J498" i="7"/>
  <c r="J502" i="7"/>
  <c r="E501" i="7"/>
  <c r="E502" i="7"/>
  <c r="O502" i="7"/>
  <c r="J631" i="7"/>
  <c r="J635" i="7"/>
  <c r="E634" i="7"/>
  <c r="E631" i="7"/>
  <c r="E635" i="7"/>
  <c r="O635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0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2" i="7"/>
  <c r="J581" i="7"/>
  <c r="J586" i="7"/>
  <c r="E585" i="7"/>
  <c r="E586" i="7"/>
  <c r="O586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O200" i="7"/>
  <c r="O924" i="7"/>
  <c r="E54" i="7"/>
  <c r="J54" i="7"/>
  <c r="E55" i="7"/>
  <c r="J55" i="7"/>
  <c r="E181" i="7"/>
  <c r="E202" i="7"/>
  <c r="O207" i="7"/>
  <c r="O926" i="7"/>
  <c r="E239" i="7"/>
  <c r="E237" i="7"/>
  <c r="E242" i="7"/>
  <c r="E240" i="7"/>
  <c r="E241" i="7"/>
  <c r="O241" i="7"/>
  <c r="O932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O283" i="7"/>
  <c r="O938" i="7"/>
  <c r="E288" i="7"/>
  <c r="E286" i="7"/>
  <c r="E291" i="7"/>
  <c r="E289" i="7"/>
  <c r="E290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O337" i="7"/>
  <c r="O944" i="7"/>
  <c r="E345" i="7"/>
  <c r="O347" i="7"/>
  <c r="O945" i="7"/>
  <c r="E355" i="7"/>
  <c r="O357" i="7"/>
  <c r="O946" i="7"/>
  <c r="E366" i="7"/>
  <c r="E361" i="7"/>
  <c r="E363" i="7"/>
  <c r="E364" i="7"/>
  <c r="E369" i="7"/>
  <c r="E367" i="7"/>
  <c r="E368" i="7"/>
  <c r="O368" i="7"/>
  <c r="O947" i="7"/>
  <c r="E377" i="7"/>
  <c r="O379" i="7"/>
  <c r="O948" i="7"/>
  <c r="E708" i="7"/>
  <c r="O708" i="7"/>
  <c r="O965" i="7"/>
  <c r="E714" i="7"/>
  <c r="O714" i="7"/>
  <c r="O966" i="7"/>
  <c r="E720" i="7"/>
  <c r="O720" i="7"/>
  <c r="O967" i="7"/>
  <c r="E721" i="7"/>
  <c r="E722" i="7"/>
  <c r="J722" i="7"/>
  <c r="E723" i="7"/>
  <c r="J723" i="7"/>
  <c r="E724" i="7"/>
  <c r="O724" i="7"/>
  <c r="O969" i="7"/>
  <c r="E733" i="7"/>
  <c r="E734" i="7"/>
  <c r="J734" i="7"/>
  <c r="E735" i="7"/>
  <c r="J735" i="7"/>
  <c r="E736" i="7"/>
  <c r="E737" i="7"/>
  <c r="O737" i="7"/>
  <c r="O970" i="7"/>
  <c r="E729" i="7"/>
  <c r="J729" i="7"/>
  <c r="O732" i="7"/>
  <c r="O972" i="7"/>
  <c r="E755" i="7"/>
  <c r="O755" i="7"/>
  <c r="O973" i="7"/>
  <c r="E757" i="7"/>
  <c r="J757" i="7"/>
  <c r="O760" i="7"/>
  <c r="O975" i="7"/>
  <c r="E740" i="7"/>
  <c r="J740" i="7"/>
  <c r="O743" i="7"/>
  <c r="O977" i="7"/>
  <c r="E746" i="7"/>
  <c r="J746" i="7"/>
  <c r="O749" i="7"/>
  <c r="O979" i="7"/>
  <c r="E762" i="7"/>
  <c r="O765" i="7"/>
  <c r="O981" i="7"/>
  <c r="E725" i="7"/>
  <c r="E726" i="7"/>
  <c r="J726" i="7"/>
  <c r="E727" i="7"/>
  <c r="O727" i="7"/>
  <c r="O983" i="7"/>
  <c r="J186" i="7"/>
  <c r="O186" i="7"/>
  <c r="O920" i="7"/>
  <c r="J197" i="7"/>
  <c r="O197" i="7"/>
  <c r="O923" i="7"/>
  <c r="J204" i="7"/>
  <c r="O204" i="7"/>
  <c r="O925" i="7"/>
  <c r="O210" i="7"/>
  <c r="O927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O770" i="7"/>
  <c r="O982" i="7"/>
  <c r="O985" i="7"/>
  <c r="O1002" i="7"/>
  <c r="D46" i="7"/>
  <c r="I46" i="7"/>
  <c r="I470" i="7"/>
  <c r="I469" i="7"/>
  <c r="I471" i="7"/>
  <c r="I475" i="7"/>
  <c r="N475" i="7"/>
  <c r="D479" i="7"/>
  <c r="I479" i="7"/>
  <c r="I478" i="7"/>
  <c r="I480" i="7"/>
  <c r="I484" i="7"/>
  <c r="D478" i="7"/>
  <c r="D484" i="7"/>
  <c r="N484" i="7"/>
  <c r="D488" i="7"/>
  <c r="C488" i="7"/>
  <c r="I488" i="7"/>
  <c r="I487" i="7"/>
  <c r="I489" i="7"/>
  <c r="I493" i="7"/>
  <c r="D493" i="7"/>
  <c r="N493" i="7"/>
  <c r="I496" i="7"/>
  <c r="I498" i="7"/>
  <c r="I502" i="7"/>
  <c r="D502" i="7"/>
  <c r="N502" i="7"/>
  <c r="I631" i="7"/>
  <c r="I635" i="7"/>
  <c r="D631" i="7"/>
  <c r="D635" i="7"/>
  <c r="N635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D51" i="7"/>
  <c r="I51" i="7"/>
  <c r="N189" i="7"/>
  <c r="N921" i="7"/>
  <c r="D52" i="7"/>
  <c r="I52" i="7"/>
  <c r="D178" i="7"/>
  <c r="D191" i="7"/>
  <c r="D192" i="7"/>
  <c r="D195" i="7"/>
  <c r="D198" i="7"/>
  <c r="D199" i="7"/>
  <c r="D200" i="7"/>
  <c r="N200" i="7"/>
  <c r="N924" i="7"/>
  <c r="D54" i="7"/>
  <c r="I54" i="7"/>
  <c r="D55" i="7"/>
  <c r="I55" i="7"/>
  <c r="D181" i="7"/>
  <c r="D202" i="7"/>
  <c r="N207" i="7"/>
  <c r="N926" i="7"/>
  <c r="D239" i="7"/>
  <c r="D237" i="7"/>
  <c r="D242" i="7"/>
  <c r="D240" i="7"/>
  <c r="D241" i="7"/>
  <c r="N241" i="7"/>
  <c r="N932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N337" i="7"/>
  <c r="N944" i="7"/>
  <c r="D345" i="7"/>
  <c r="N347" i="7"/>
  <c r="N945" i="7"/>
  <c r="D355" i="7"/>
  <c r="N357" i="7"/>
  <c r="N946" i="7"/>
  <c r="D366" i="7"/>
  <c r="D361" i="7"/>
  <c r="D363" i="7"/>
  <c r="D364" i="7"/>
  <c r="D369" i="7"/>
  <c r="D367" i="7"/>
  <c r="D368" i="7"/>
  <c r="N368" i="7"/>
  <c r="N947" i="7"/>
  <c r="D377" i="7"/>
  <c r="N379" i="7"/>
  <c r="N948" i="7"/>
  <c r="D708" i="7"/>
  <c r="N708" i="7"/>
  <c r="N965" i="7"/>
  <c r="D714" i="7"/>
  <c r="N714" i="7"/>
  <c r="N966" i="7"/>
  <c r="D720" i="7"/>
  <c r="N720" i="7"/>
  <c r="N967" i="7"/>
  <c r="D721" i="7"/>
  <c r="N724" i="7"/>
  <c r="N969" i="7"/>
  <c r="D734" i="7"/>
  <c r="I734" i="7"/>
  <c r="N737" i="7"/>
  <c r="N970" i="7"/>
  <c r="D729" i="7"/>
  <c r="I729" i="7"/>
  <c r="N732" i="7"/>
  <c r="N972" i="7"/>
  <c r="D755" i="7"/>
  <c r="N755" i="7"/>
  <c r="N973" i="7"/>
  <c r="D757" i="7"/>
  <c r="I757" i="7"/>
  <c r="N760" i="7"/>
  <c r="N975" i="7"/>
  <c r="D740" i="7"/>
  <c r="I740" i="7"/>
  <c r="N743" i="7"/>
  <c r="N977" i="7"/>
  <c r="D746" i="7"/>
  <c r="I746" i="7"/>
  <c r="N749" i="7"/>
  <c r="N979" i="7"/>
  <c r="D762" i="7"/>
  <c r="N765" i="7"/>
  <c r="N981" i="7"/>
  <c r="D725" i="7"/>
  <c r="N727" i="7"/>
  <c r="N983" i="7"/>
  <c r="D445" i="7"/>
  <c r="N445" i="7"/>
  <c r="N963" i="7"/>
  <c r="I186" i="7"/>
  <c r="N186" i="7"/>
  <c r="N920" i="7"/>
  <c r="I197" i="7"/>
  <c r="N197" i="7"/>
  <c r="N923" i="7"/>
  <c r="I204" i="7"/>
  <c r="N204" i="7"/>
  <c r="N925" i="7"/>
  <c r="N210" i="7"/>
  <c r="N927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N770" i="7"/>
  <c r="N982" i="7"/>
  <c r="N985" i="7"/>
  <c r="N1002" i="7"/>
  <c r="C46" i="7"/>
  <c r="H46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631" i="7"/>
  <c r="H635" i="7"/>
  <c r="M635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39" i="7"/>
  <c r="C540" i="7"/>
  <c r="C544" i="7"/>
  <c r="M544" i="7"/>
  <c r="H546" i="7"/>
  <c r="H550" i="7"/>
  <c r="C549" i="7"/>
  <c r="C550" i="7"/>
  <c r="M550" i="7"/>
  <c r="H552" i="7"/>
  <c r="H556" i="7"/>
  <c r="C555" i="7"/>
  <c r="C552" i="7"/>
  <c r="C556" i="7"/>
  <c r="M556" i="7"/>
  <c r="H558" i="7"/>
  <c r="H562" i="7"/>
  <c r="C561" i="7"/>
  <c r="C562" i="7"/>
  <c r="M562" i="7"/>
  <c r="H564" i="7"/>
  <c r="H568" i="7"/>
  <c r="C567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2" i="7"/>
  <c r="H581" i="7"/>
  <c r="H586" i="7"/>
  <c r="C585" i="7"/>
  <c r="C586" i="7"/>
  <c r="M586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C51" i="7"/>
  <c r="H51" i="7"/>
  <c r="M189" i="7"/>
  <c r="M921" i="7"/>
  <c r="C52" i="7"/>
  <c r="H52" i="7"/>
  <c r="C178" i="7"/>
  <c r="C191" i="7"/>
  <c r="C192" i="7"/>
  <c r="C195" i="7"/>
  <c r="C198" i="7"/>
  <c r="C199" i="7"/>
  <c r="M200" i="7"/>
  <c r="M924" i="7"/>
  <c r="C54" i="7"/>
  <c r="H54" i="7"/>
  <c r="C55" i="7"/>
  <c r="H55" i="7"/>
  <c r="C181" i="7"/>
  <c r="C202" i="7"/>
  <c r="M207" i="7"/>
  <c r="M926" i="7"/>
  <c r="C239" i="7"/>
  <c r="M241" i="7"/>
  <c r="M932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M337" i="7"/>
  <c r="M944" i="7"/>
  <c r="C345" i="7"/>
  <c r="M347" i="7"/>
  <c r="M945" i="7"/>
  <c r="C355" i="7"/>
  <c r="M357" i="7"/>
  <c r="M946" i="7"/>
  <c r="C366" i="7"/>
  <c r="M368" i="7"/>
  <c r="M947" i="7"/>
  <c r="C377" i="7"/>
  <c r="M379" i="7"/>
  <c r="M948" i="7"/>
  <c r="C708" i="7"/>
  <c r="M708" i="7"/>
  <c r="M965" i="7"/>
  <c r="C714" i="7"/>
  <c r="M714" i="7"/>
  <c r="M966" i="7"/>
  <c r="C720" i="7"/>
  <c r="M720" i="7"/>
  <c r="M967" i="7"/>
  <c r="C721" i="7"/>
  <c r="M724" i="7"/>
  <c r="M969" i="7"/>
  <c r="C734" i="7"/>
  <c r="H734" i="7"/>
  <c r="M737" i="7"/>
  <c r="M970" i="7"/>
  <c r="C729" i="7"/>
  <c r="H729" i="7"/>
  <c r="M732" i="7"/>
  <c r="M972" i="7"/>
  <c r="C755" i="7"/>
  <c r="M755" i="7"/>
  <c r="M973" i="7"/>
  <c r="C757" i="7"/>
  <c r="H757" i="7"/>
  <c r="M760" i="7"/>
  <c r="M975" i="7"/>
  <c r="C740" i="7"/>
  <c r="H740" i="7"/>
  <c r="M743" i="7"/>
  <c r="M977" i="7"/>
  <c r="C746" i="7"/>
  <c r="H746" i="7"/>
  <c r="M749" i="7"/>
  <c r="M979" i="7"/>
  <c r="C762" i="7"/>
  <c r="M765" i="7"/>
  <c r="M981" i="7"/>
  <c r="C725" i="7"/>
  <c r="M727" i="7"/>
  <c r="M983" i="7"/>
  <c r="C445" i="7"/>
  <c r="M445" i="7"/>
  <c r="M963" i="7"/>
  <c r="H186" i="7"/>
  <c r="M186" i="7"/>
  <c r="M920" i="7"/>
  <c r="H197" i="7"/>
  <c r="M197" i="7"/>
  <c r="M923" i="7"/>
  <c r="H204" i="7"/>
  <c r="M204" i="7"/>
  <c r="M925" i="7"/>
  <c r="M210" i="7"/>
  <c r="M927" i="7"/>
  <c r="M213" i="7"/>
  <c r="M928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9" i="7"/>
  <c r="K949" i="7"/>
  <c r="K957" i="7"/>
  <c r="K958" i="7"/>
  <c r="K959" i="7"/>
  <c r="K960" i="7"/>
  <c r="K962" i="7"/>
  <c r="K96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9" i="7"/>
  <c r="J949" i="7"/>
  <c r="J957" i="7"/>
  <c r="J958" i="7"/>
  <c r="J959" i="7"/>
  <c r="J960" i="7"/>
  <c r="J962" i="7"/>
  <c r="J96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63" i="7"/>
  <c r="I920" i="7"/>
  <c r="I923" i="7"/>
  <c r="I925" i="7"/>
  <c r="I929" i="7"/>
  <c r="I949" i="7"/>
  <c r="I957" i="7"/>
  <c r="I958" i="7"/>
  <c r="I959" i="7"/>
  <c r="I960" i="7"/>
  <c r="I96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63" i="7"/>
  <c r="H920" i="7"/>
  <c r="H923" i="7"/>
  <c r="H925" i="7"/>
  <c r="H949" i="7"/>
  <c r="H957" i="7"/>
  <c r="H958" i="7"/>
  <c r="H959" i="7"/>
  <c r="H960" i="7"/>
  <c r="H962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3" i="7"/>
  <c r="C364" i="7"/>
  <c r="C369" i="7"/>
  <c r="C365" i="7"/>
  <c r="D365" i="7"/>
  <c r="E365" i="7"/>
  <c r="F365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4" i="7"/>
  <c r="D334" i="7"/>
  <c r="E334" i="7"/>
  <c r="F334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7" i="7"/>
  <c r="F287" i="7"/>
  <c r="C279" i="7"/>
  <c r="D279" i="7"/>
  <c r="E279" i="7"/>
  <c r="F279" i="7"/>
  <c r="C272" i="7"/>
  <c r="C277" i="7"/>
  <c r="D272" i="7"/>
  <c r="D277" i="7"/>
  <c r="E272" i="7"/>
  <c r="E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852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C1094" i="7"/>
  <c r="D1094" i="7"/>
  <c r="E1094" i="7"/>
  <c r="F1094" i="7"/>
  <c r="H1094" i="7"/>
  <c r="I1094" i="7"/>
  <c r="J1094" i="7"/>
  <c r="K1094" i="7"/>
  <c r="A228" i="7"/>
  <c r="A830" i="7"/>
  <c r="A231" i="7"/>
  <c r="A831" i="7"/>
  <c r="A237" i="7"/>
  <c r="A832" i="7"/>
  <c r="A272" i="7"/>
  <c r="A837" i="7"/>
  <c r="A286" i="7"/>
  <c r="A839" i="7"/>
  <c r="R1050" i="7"/>
  <c r="A330" i="7"/>
  <c r="A844" i="7"/>
  <c r="R1051" i="7"/>
  <c r="A360" i="7"/>
  <c r="A847" i="7"/>
  <c r="R1052" i="7"/>
  <c r="R1053" i="7"/>
  <c r="R1044" i="7"/>
  <c r="R1045" i="7"/>
  <c r="R1046" i="7"/>
  <c r="R1047" i="7"/>
  <c r="R1048" i="7"/>
  <c r="R1049" i="7"/>
  <c r="R1054" i="7"/>
  <c r="R1055" i="7"/>
  <c r="M1094" i="7"/>
  <c r="C1095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215" i="7"/>
  <c r="F216" i="7"/>
  <c r="F217" i="7"/>
  <c r="F929" i="7"/>
  <c r="F234" i="7"/>
  <c r="F235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939" i="7"/>
  <c r="F297" i="7"/>
  <c r="F940" i="7"/>
  <c r="F307" i="7"/>
  <c r="F941" i="7"/>
  <c r="F317" i="7"/>
  <c r="F942" i="7"/>
  <c r="F327" i="7"/>
  <c r="F943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983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5" i="7"/>
  <c r="E216" i="7"/>
  <c r="E217" i="7"/>
  <c r="E929" i="7"/>
  <c r="E234" i="7"/>
  <c r="E235" i="7"/>
  <c r="E236" i="7"/>
  <c r="E93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939" i="7"/>
  <c r="E297" i="7"/>
  <c r="E940" i="7"/>
  <c r="E307" i="7"/>
  <c r="E941" i="7"/>
  <c r="E317" i="7"/>
  <c r="E942" i="7"/>
  <c r="E327" i="7"/>
  <c r="E943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983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O39" i="7"/>
  <c r="F802" i="7"/>
  <c r="D802" i="7"/>
  <c r="P38" i="7"/>
  <c r="N38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0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2" i="7"/>
  <c r="E1111" i="7"/>
  <c r="J83" i="7"/>
  <c r="K83" i="7"/>
  <c r="F138" i="7"/>
  <c r="F201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1" i="7"/>
  <c r="A1125" i="7"/>
  <c r="A1129" i="7"/>
  <c r="A1132" i="7"/>
  <c r="A1169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5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A1194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I1107" i="7"/>
  <c r="J1107" i="7"/>
  <c r="C1111" i="7"/>
  <c r="D1111" i="7"/>
  <c r="E1112" i="7"/>
  <c r="F1112" i="7"/>
  <c r="A1116" i="7"/>
  <c r="A1124" i="7"/>
  <c r="A1131" i="7"/>
  <c r="A1133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5" i="7"/>
  <c r="A1123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5" i="7"/>
  <c r="A1183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0" i="7"/>
  <c r="A1126" i="7"/>
  <c r="A1122" i="7"/>
  <c r="K190" i="7"/>
  <c r="P828" i="7"/>
  <c r="F1166" i="7"/>
  <c r="F1111" i="7"/>
  <c r="M111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6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72" i="7"/>
  <c r="O18" i="7"/>
  <c r="N828" i="7"/>
  <c r="D116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6" i="7"/>
  <c r="BY23" i="3"/>
  <c r="DP46" i="5"/>
  <c r="DR46" i="5"/>
  <c r="DP74" i="6"/>
  <c r="DP85" i="5"/>
  <c r="N661" i="7"/>
  <c r="N856" i="7"/>
  <c r="D116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0" i="7"/>
  <c r="D117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M18" i="7"/>
  <c r="J614" i="7"/>
  <c r="O37" i="7"/>
  <c r="AT19" i="3"/>
  <c r="AP19" i="3"/>
  <c r="AL19" i="3"/>
  <c r="AU14" i="3"/>
  <c r="AQ14" i="3"/>
  <c r="AM14" i="3"/>
  <c r="DI839" i="3"/>
  <c r="CB839" i="3"/>
  <c r="P40" i="7"/>
  <c r="DS46" i="5"/>
  <c r="DG524" i="3"/>
  <c r="BZ524" i="3"/>
  <c r="DG883" i="3"/>
  <c r="BZ883" i="3"/>
  <c r="N696" i="7"/>
  <c r="N897" i="7"/>
  <c r="D1171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M29" i="7"/>
  <c r="P28" i="7"/>
  <c r="O28" i="7"/>
  <c r="N28" i="7"/>
  <c r="P27" i="7"/>
  <c r="O27" i="7"/>
  <c r="N27" i="7"/>
  <c r="M27" i="7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P25" i="7"/>
  <c r="M25" i="7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N11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O11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1" i="7"/>
  <c r="CN849" i="3"/>
  <c r="CM843" i="3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P39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41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34" i="7"/>
  <c r="K812" i="7"/>
  <c r="O36" i="7"/>
  <c r="O41" i="7"/>
  <c r="N36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36" i="7"/>
  <c r="P41" i="7"/>
  <c r="O34" i="7"/>
  <c r="J812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37" i="7"/>
  <c r="N655" i="7"/>
  <c r="N855" i="7"/>
  <c r="D1168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M38" i="7"/>
  <c r="M39" i="7"/>
  <c r="M41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N23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30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40" i="7"/>
  <c r="K1067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0" i="7"/>
  <c r="P447" i="7"/>
  <c r="P852" i="7"/>
  <c r="E1170" i="7"/>
  <c r="BV10" i="3"/>
  <c r="AM13" i="3"/>
  <c r="AM10" i="3"/>
  <c r="F900" i="7"/>
  <c r="J1100" i="7"/>
  <c r="BY10" i="3"/>
  <c r="M1168" i="7"/>
  <c r="H900" i="7"/>
  <c r="H901" i="7"/>
  <c r="C900" i="3"/>
  <c r="D900" i="7"/>
  <c r="E1100" i="7"/>
  <c r="E900" i="7"/>
  <c r="H1100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67" i="7"/>
  <c r="O15" i="7"/>
  <c r="AA43" i="3"/>
  <c r="AA42" i="3"/>
  <c r="M1169" i="7"/>
  <c r="F116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1170" i="7"/>
  <c r="M13" i="7"/>
  <c r="M21" i="7"/>
  <c r="N21" i="7"/>
  <c r="C1167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33" i="7"/>
  <c r="N26" i="7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0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17" i="7"/>
  <c r="M901" i="7"/>
  <c r="J1038" i="7"/>
  <c r="H1038" i="7"/>
  <c r="C1038" i="7"/>
  <c r="D1108" i="7"/>
  <c r="M10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10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2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67" i="7"/>
  <c r="M900" i="7"/>
  <c r="D110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2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H1113" i="7"/>
  <c r="H1160" i="7"/>
  <c r="C1177" i="7"/>
  <c r="M1177" i="7"/>
  <c r="N1177" i="7"/>
  <c r="H1130" i="7"/>
  <c r="H1126" i="7"/>
  <c r="C1114" i="7"/>
  <c r="C1174" i="7"/>
  <c r="M1174" i="7"/>
  <c r="N1174" i="7"/>
  <c r="C1187" i="7"/>
  <c r="M1187" i="7"/>
  <c r="N1187" i="7"/>
  <c r="H1129" i="7"/>
  <c r="C1117" i="7"/>
  <c r="C1175" i="7"/>
  <c r="M1175" i="7"/>
  <c r="N1175" i="7"/>
  <c r="C1188" i="7"/>
  <c r="C1128" i="7"/>
  <c r="C1113" i="7"/>
  <c r="M1113" i="7"/>
  <c r="C1132" i="7"/>
  <c r="M1132" i="7"/>
  <c r="H1125" i="7"/>
  <c r="N1125" i="7"/>
  <c r="C1182" i="7"/>
  <c r="C1164" i="7"/>
  <c r="M1164" i="7"/>
  <c r="C1140" i="7"/>
  <c r="M1140" i="7"/>
  <c r="N1140" i="7"/>
  <c r="C1189" i="7"/>
  <c r="H1158" i="7"/>
  <c r="C1192" i="7"/>
  <c r="C1144" i="7"/>
  <c r="M1144" i="7"/>
  <c r="N1144" i="7"/>
  <c r="H1150" i="7"/>
  <c r="C1151" i="7"/>
  <c r="M1151" i="7"/>
  <c r="C1190" i="7"/>
  <c r="C1180" i="7"/>
  <c r="M1180" i="7"/>
  <c r="N1180" i="7"/>
  <c r="H1131" i="7"/>
  <c r="H1148" i="7"/>
  <c r="C1198" i="7"/>
  <c r="M1198" i="7"/>
  <c r="N1198" i="7"/>
  <c r="C1143" i="7"/>
  <c r="M1143" i="7"/>
  <c r="N1143" i="7"/>
  <c r="C1161" i="7"/>
  <c r="H1119" i="7"/>
  <c r="N1119" i="7"/>
  <c r="C1118" i="7"/>
  <c r="C1156" i="7"/>
  <c r="M1156" i="7"/>
  <c r="C1119" i="7"/>
  <c r="H1163" i="7"/>
  <c r="H1147" i="7"/>
  <c r="N1147" i="7"/>
  <c r="C1134" i="7"/>
  <c r="M1134" i="7"/>
  <c r="N1134" i="7"/>
  <c r="C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C1149" i="7"/>
  <c r="M1149" i="7"/>
  <c r="C1137" i="7"/>
  <c r="C1129" i="7"/>
  <c r="H1127" i="7"/>
  <c r="H1157" i="7"/>
  <c r="N1157" i="7"/>
  <c r="H1132" i="7"/>
  <c r="N1132" i="7"/>
  <c r="H1114" i="7"/>
  <c r="H1152" i="7"/>
  <c r="C1178" i="7"/>
  <c r="M1178" i="7"/>
  <c r="N1178" i="7"/>
  <c r="C1121" i="7"/>
  <c r="M1121" i="7"/>
  <c r="C1194" i="7"/>
  <c r="M1194" i="7"/>
  <c r="N1194" i="7"/>
  <c r="H1122" i="7"/>
  <c r="H1155" i="7"/>
  <c r="N1155" i="7"/>
  <c r="C1154" i="7"/>
  <c r="H1116" i="7"/>
  <c r="N1116" i="7"/>
  <c r="C1124" i="7"/>
  <c r="C1125" i="7"/>
  <c r="M1125" i="7"/>
  <c r="H1121" i="7"/>
  <c r="C1131" i="7"/>
  <c r="C1138" i="7"/>
  <c r="H1153" i="7"/>
  <c r="N1153" i="7"/>
  <c r="C1176" i="7"/>
  <c r="C1115" i="7"/>
  <c r="C1127" i="7"/>
  <c r="C1142" i="7"/>
  <c r="M1142" i="7"/>
  <c r="N1142" i="7"/>
  <c r="H1165" i="7"/>
  <c r="N1165" i="7"/>
  <c r="H1117" i="7"/>
  <c r="N1117" i="7"/>
  <c r="C1181" i="7"/>
  <c r="C1130" i="7"/>
  <c r="M1130" i="7"/>
  <c r="C1120" i="7"/>
  <c r="C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C1141" i="7"/>
  <c r="C1159" i="7"/>
  <c r="M1159" i="7"/>
  <c r="H1124" i="7"/>
  <c r="N1124" i="7"/>
  <c r="H1128" i="7"/>
  <c r="C1116" i="7"/>
  <c r="C1122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M1181" i="7"/>
  <c r="N1181" i="7"/>
  <c r="M1124" i="7"/>
  <c r="M1117" i="7"/>
  <c r="N1160" i="7"/>
  <c r="M1116" i="7"/>
  <c r="M1141" i="7"/>
  <c r="N1141" i="7"/>
  <c r="M1139" i="7"/>
  <c r="N1139" i="7"/>
  <c r="M1115" i="7"/>
  <c r="M1131" i="7"/>
  <c r="N1114" i="7"/>
  <c r="M1129" i="7"/>
  <c r="N1163" i="7"/>
  <c r="N1148" i="7"/>
  <c r="N1158" i="7"/>
  <c r="M1182" i="7"/>
  <c r="N1182" i="7"/>
  <c r="M1128" i="7"/>
  <c r="N1129" i="7"/>
  <c r="N1126" i="7"/>
  <c r="N1113" i="7"/>
  <c r="M1123" i="7"/>
  <c r="M1122" i="7"/>
  <c r="M1127" i="7"/>
  <c r="M1138" i="7"/>
  <c r="N1138" i="7"/>
  <c r="N1122" i="7"/>
  <c r="N1152" i="7"/>
  <c r="N1127" i="7"/>
  <c r="M1195" i="7"/>
  <c r="N1195" i="7"/>
  <c r="M1118" i="7"/>
  <c r="M1190" i="7"/>
  <c r="N1190" i="7"/>
  <c r="M1192" i="7"/>
  <c r="N1192" i="7"/>
  <c r="M1114" i="7"/>
  <c r="N1128" i="7"/>
  <c r="M1183" i="7"/>
  <c r="N1183" i="7"/>
  <c r="M1120" i="7"/>
  <c r="M1176" i="7"/>
  <c r="N1176" i="7"/>
  <c r="N1121" i="7"/>
  <c r="M1154" i="7"/>
  <c r="M1137" i="7"/>
  <c r="N1137" i="7"/>
  <c r="M1135" i="7"/>
  <c r="N1135" i="7"/>
  <c r="M1119" i="7"/>
  <c r="M1161" i="7"/>
  <c r="N1131" i="7"/>
  <c r="N1150" i="7"/>
  <c r="M1189" i="7"/>
  <c r="N1189" i="7"/>
  <c r="M1188" i="7"/>
  <c r="N1188" i="7"/>
  <c r="N1130" i="7"/>
  <c r="M1126" i="7"/>
  <c r="N1123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1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1" i="7"/>
  <c r="E1101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1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1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1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1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1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K1093" i="7"/>
  <c r="I1093" i="7"/>
  <c r="E1093" i="7"/>
  <c r="D1093" i="7"/>
  <c r="J1093" i="7"/>
  <c r="H1093" i="7"/>
  <c r="F1093" i="7"/>
  <c r="C1093" i="7"/>
  <c r="M1093" i="7"/>
  <c r="J1096" i="7"/>
  <c r="I1096" i="7"/>
  <c r="E1096" i="7"/>
  <c r="D1096" i="7"/>
  <c r="M1096" i="7"/>
  <c r="K1096" i="7"/>
  <c r="H1096" i="7"/>
  <c r="F1096" i="7"/>
  <c r="C1096" i="7"/>
  <c r="C1103" i="7"/>
  <c r="C1097" i="7"/>
  <c r="F1103" i="7"/>
  <c r="F1097" i="7"/>
  <c r="K1103" i="7"/>
  <c r="K1097" i="7"/>
  <c r="D1103" i="7"/>
  <c r="D1097" i="7"/>
  <c r="I1103" i="7"/>
  <c r="I1097" i="7"/>
  <c r="H1103" i="7"/>
  <c r="H1097" i="7"/>
  <c r="E1103" i="7"/>
  <c r="E1097" i="7"/>
  <c r="J1103" i="7"/>
  <c r="J109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<sst xmlns="http://schemas.openxmlformats.org/spreadsheetml/2006/main" count="4338" uniqueCount="955">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</sst>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</cellXfs>
  <cellStyles count="34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7292344"/>
        <c:axId val="-2067288232"/>
      </c:lineChart>
      <c:catAx>
        <c:axId val="-2067292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7288232"/>
        <c:crosses val="autoZero"/>
        <c:auto val="1"/>
        <c:lblAlgn val="ctr"/>
        <c:lblOffset val="100"/>
        <c:noMultiLvlLbl val="1"/>
      </c:catAx>
      <c:valAx>
        <c:axId val="-20672882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72923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6631336"/>
        <c:axId val="-2125887912"/>
      </c:lineChart>
      <c:catAx>
        <c:axId val="-2096631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887912"/>
        <c:crosses val="autoZero"/>
        <c:auto val="1"/>
        <c:lblAlgn val="ctr"/>
        <c:lblOffset val="100"/>
        <c:noMultiLvlLbl val="1"/>
      </c:catAx>
      <c:valAx>
        <c:axId val="-21258879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66313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6026824"/>
        <c:axId val="-2126023592"/>
      </c:barChart>
      <c:catAx>
        <c:axId val="-21260268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6023592"/>
        <c:crosses val="autoZero"/>
        <c:auto val="1"/>
        <c:lblAlgn val="ctr"/>
        <c:lblOffset val="100"/>
        <c:noMultiLvlLbl val="1"/>
      </c:catAx>
      <c:valAx>
        <c:axId val="-21260235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60268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149240"/>
        <c:axId val="-2080159384"/>
      </c:barChart>
      <c:catAx>
        <c:axId val="-208014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15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15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14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639816"/>
        <c:axId val="-2140162152"/>
      </c:barChart>
      <c:catAx>
        <c:axId val="-214063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162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162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639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282616"/>
        <c:axId val="-2140291816"/>
      </c:barChart>
      <c:catAx>
        <c:axId val="-214028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291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291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28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372712"/>
        <c:axId val="-2140381816"/>
      </c:barChart>
      <c:catAx>
        <c:axId val="-214037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381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381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37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479000"/>
        <c:axId val="-2140484376"/>
      </c:barChart>
      <c:catAx>
        <c:axId val="-214047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48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48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47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57" t="s">
        <v>47</v>
      </c>
      <c r="DD4" s="1557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54" t="s">
        <v>50</v>
      </c>
      <c r="DR4" s="1554"/>
      <c r="DS4" s="1554"/>
      <c r="DT4" s="1554"/>
      <c r="DU4" s="1554"/>
      <c r="DV4" s="1554"/>
      <c r="DW4" s="1554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55"/>
      <c r="W270" s="1555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56"/>
      <c r="AH270" s="155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55"/>
      <c r="W310" s="1555"/>
      <c r="X310" s="1424"/>
      <c r="Y310" s="1424"/>
      <c r="Z310" s="1424"/>
      <c r="AA310"/>
      <c r="AB310"/>
      <c r="AC310"/>
      <c r="AD310"/>
      <c r="AE310"/>
      <c r="AF310"/>
      <c r="AG310" s="1556"/>
      <c r="AH310" s="155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F117" activePane="bottomRight" state="frozen"/>
      <selection pane="topRight" activeCell="AU1" sqref="AU1"/>
      <selection pane="bottomLeft" activeCell="A419" sqref="A419"/>
      <selection pane="bottomRight" activeCell="I1" sqref="I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8" t="s">
        <v>50</v>
      </c>
      <c r="DM4" s="1558"/>
      <c r="DN4" s="1558"/>
      <c r="DO4" s="1558"/>
      <c r="DP4" s="1558"/>
      <c r="DQ4" s="1558"/>
      <c r="DR4" s="1558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2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59" t="s">
        <v>47</v>
      </c>
      <c r="CE6" s="1559"/>
      <c r="CF6" s="1322"/>
      <c r="CG6" s="1322"/>
      <c r="CH6" s="1322"/>
      <c r="CI6" s="1322"/>
      <c r="CJ6" s="1322"/>
      <c r="CK6" s="1322"/>
      <c r="CL6" s="1322"/>
      <c r="CM6" s="1322"/>
      <c r="CN6" s="1322"/>
      <c r="CO6" s="1562"/>
      <c r="CP6" s="1560" t="s">
        <v>47</v>
      </c>
      <c r="CQ6" s="1560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1" t="s">
        <v>48</v>
      </c>
      <c r="DF6" s="1561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3" t="s">
        <v>50</v>
      </c>
      <c r="DR4" s="1563"/>
      <c r="DS4" s="1563"/>
      <c r="DT4" s="1563"/>
      <c r="DU4" s="1563"/>
      <c r="DV4" s="1563"/>
      <c r="DW4" s="1563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4" t="s">
        <v>47</v>
      </c>
      <c r="CE5" s="1564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5" t="s">
        <v>48</v>
      </c>
      <c r="CT5" s="1565"/>
      <c r="CU5" s="1560" t="s">
        <v>47</v>
      </c>
      <c r="CV5" s="1560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1" t="s">
        <v>48</v>
      </c>
      <c r="DK5" s="1561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72" activePane="bottomRight" state="frozen"/>
      <selection pane="topRight" activeCell="B1" sqref="B1"/>
      <selection pane="bottomLeft" activeCell="A8" sqref="A8"/>
      <selection pane="bottomRight" activeCell="F183" sqref="F183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70" t="s">
        <v>954</v>
      </c>
      <c r="K1" s="1571">
        <f>Data!$K$1</f>
        <v>4.1867999999999999</v>
      </c>
      <c r="L1" s="1568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569"/>
      <c r="K2" s="156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0.19174828803297128</v>
      </c>
      <c r="N10" s="1048">
        <f>SUM(N11:N19)</f>
        <v>0.24027786323706699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</v>
      </c>
      <c r="N19" s="1056">
        <f>SUM(N896:N899)+SUM(N851:N852)</f>
        <v>0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-1250</v>
      </c>
      <c r="N20" s="1059">
        <f>SUM(N21:N30)</f>
        <v>-4475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0</v>
      </c>
      <c r="N30" s="1061">
        <f>SUM(N962:N964)</f>
        <v>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69168.514999685751</v>
      </c>
      <c r="N31" s="1059">
        <f>SUM(N32:N41)</f>
        <v>91537.514999685751</v>
      </c>
      <c r="O31" s="1059">
        <f>SUM(O32:O41)</f>
        <v>17176.514999685758</v>
      </c>
      <c r="P31" s="1059">
        <f>SUM(P32:P41)</f>
        <v>216578.51499968575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1936.0149996857581</v>
      </c>
      <c r="N32" s="1068">
        <f t="shared" ref="N32" si="5">N988</f>
        <v>1936.0149996857581</v>
      </c>
      <c r="O32" s="1068">
        <f t="shared" ref="O32" si="6">O988</f>
        <v>-6103.9850003142428</v>
      </c>
      <c r="P32" s="1068">
        <f t="shared" ref="P32" si="7">P988</f>
        <v>-7903.9850003142428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 t="shared" ref="C180:E180" si="17">IF(C179="","",C178*C179*2350*$K$1/$P$1/365/C$46)</f>
        <v>5.1053237858032383E-2</v>
      </c>
      <c r="D180" s="1136">
        <f t="shared" si="17"/>
        <v>5.1053237858032383E-2</v>
      </c>
      <c r="E180" s="1136">
        <f t="shared" si="17"/>
        <v>5.1053237858032383E-2</v>
      </c>
      <c r="F180" s="1136">
        <f>IF(F179="","",F178*F179*2350*$K$1/$P$1/365/F$46)</f>
        <v>5.1053237858032383E-2</v>
      </c>
      <c r="G180" s="1101"/>
      <c r="H180" s="1136" t="str">
        <f>IF(H178="","",H178*C179*2350*$K$1/$P$1/365/H$46)</f>
        <v/>
      </c>
      <c r="I180" s="1136" t="str">
        <f t="shared" ref="I180:K180" si="18">IF(I178="","",I178*D179*2350*$K$1/$P$1/365/I$46)</f>
        <v/>
      </c>
      <c r="J180" s="1136" t="str">
        <f t="shared" si="18"/>
        <v/>
      </c>
      <c r="K180" s="1136" t="str">
        <f t="shared" si="18"/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IF(C182="","",C181*C182*1450*$K$1/$P$1/365/C$46)</f>
        <v>0</v>
      </c>
      <c r="D183" s="1136">
        <f>IF(D182="","",D181*D182*1450*$K$1/$P$1/365/D$46)</f>
        <v>1.575046699875467E-2</v>
      </c>
      <c r="E183" s="1136">
        <f>IF(E182="","",E181*E182*1450*$K$1/$P$1/365/E$46)</f>
        <v>1.0500311332503114E-2</v>
      </c>
      <c r="F183" s="1136">
        <f>IF(F182="","",F181*F182*1450*$K$1/$P$1/365/F$46)</f>
        <v>1.0500311332503114E-2</v>
      </c>
      <c r="G183" s="1101"/>
      <c r="H183" s="1136" t="str">
        <f>IF(H181="","",H181*C182*1450*$K$1/$P$1/365/H$46)</f>
        <v/>
      </c>
      <c r="I183" s="1136" t="str">
        <f t="shared" ref="I183:K183" si="19">IF(I181="","",I181*D182*1450*$K$1/$P$1/365/I$46)</f>
        <v/>
      </c>
      <c r="J183" s="1136" t="str">
        <f t="shared" si="19"/>
        <v/>
      </c>
      <c r="K183" s="1136" t="str">
        <f t="shared" si="19"/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20">IF(OR(SUM(I198)=0,SUM(D199)=0),"",I198*D199)</f>
        <v>2750</v>
      </c>
      <c r="J200" s="963">
        <f t="shared" si="20"/>
        <v>9000</v>
      </c>
      <c r="K200" s="963">
        <f t="shared" si="20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132">
        <f>IF(C456="","",C451*C452*C456)</f>
        <v>4560</v>
      </c>
      <c r="D457" s="1132">
        <f>IF(D456="","",D451*D452*D456)</f>
        <v>4560</v>
      </c>
      <c r="E457" s="1132">
        <f>IF(E456="","",E451*E452*E456)</f>
        <v>4560</v>
      </c>
      <c r="F457" s="1132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132">
        <f>IF(C465="","",C460*C461*C465)</f>
        <v>780</v>
      </c>
      <c r="D466" s="1132">
        <f>IF(D465="","",D460*D461*D465)</f>
        <v>780</v>
      </c>
      <c r="E466" s="1132">
        <f>IF(E465="","",E460*E461*E465)</f>
        <v>780</v>
      </c>
      <c r="F466" s="1132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21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21"/>
        <v>12</v>
      </c>
      <c r="K470" s="1180">
        <f t="shared" si="21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132">
        <f>IF(C474="","",C471*C474)</f>
        <v>1080</v>
      </c>
      <c r="D475" s="1132">
        <f t="shared" ref="D475:F475" si="22">IF(D474="","",D471*D474)</f>
        <v>1080</v>
      </c>
      <c r="E475" s="1132">
        <f t="shared" si="22"/>
        <v>1200</v>
      </c>
      <c r="F475" s="1132">
        <f t="shared" si="22"/>
        <v>3000</v>
      </c>
      <c r="G475" s="1163"/>
      <c r="H475" s="1132">
        <f>IF(H$46=0,"",IF($D474="",H471*'Exp factors'!$H$52,H471*$D474/$D468))</f>
        <v>73.276853791156825</v>
      </c>
      <c r="I475" s="1132">
        <f>IF(I$46=0,"",IF($D474="",I471*'Exp factors'!$H$52,I471*$D474/$D468))</f>
        <v>73.276853791156825</v>
      </c>
      <c r="J475" s="1132">
        <f>IF(J$46=0,"",IF($D474="",J471*'Exp factors'!$H$52,J471*$D474/$D468))</f>
        <v>73.276853791156825</v>
      </c>
      <c r="K475" s="1132">
        <f>IF(K$46=0,"",IF($D474="",K471*'Exp factors'!$H$52,K471*$D474/$D468))</f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3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3"/>
        <v>12</v>
      </c>
      <c r="K479" s="1180">
        <f t="shared" si="23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132">
        <f>IF(C483="","",C478*C479*C483)</f>
        <v>960</v>
      </c>
      <c r="D484" s="1132">
        <f>IF(D483="","",D478*D479*D483)</f>
        <v>960</v>
      </c>
      <c r="E484" s="1132">
        <f>IF(E483="","",E478*E479*E483)</f>
        <v>960</v>
      </c>
      <c r="F484" s="1132">
        <f>IF(F483="","",F478*F479*F483)</f>
        <v>960</v>
      </c>
      <c r="G484" s="1116"/>
      <c r="H484" s="1132">
        <f>IF(H$46=0,"",IF($D483="",H480*'Exp factors'!$H$54,H480*$D483/$D477))</f>
        <v>504.49113471868276</v>
      </c>
      <c r="I484" s="1132">
        <f>IF(I$46=0,"",IF($D483="",I480*'Exp factors'!$H$54,I480*$D483/$D477))</f>
        <v>504.49113471868276</v>
      </c>
      <c r="J484" s="1132">
        <f>IF(J$46=0,"",IF($D483="",J480*'Exp factors'!$H$54,J480*$D483/$D477))</f>
        <v>504.49113471868276</v>
      </c>
      <c r="K484" s="1132">
        <f>IF(K$46=0,"",IF($D483="",K480*'Exp factors'!$H$54,K480*$D483/$D477))</f>
        <v>504.49113471868276</v>
      </c>
      <c r="L484" s="1116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4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4"/>
        <v>12</v>
      </c>
      <c r="K488" s="1180">
        <f t="shared" si="24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132" t="str">
        <f>IF(C492="","",C487*C488*C492)</f>
        <v/>
      </c>
      <c r="D493" s="1132" t="str">
        <f>IF(D492="","",D487*D488*D492)</f>
        <v/>
      </c>
      <c r="E493" s="1132">
        <f>IF(E492="","",E487*E488*E492)</f>
        <v>7920</v>
      </c>
      <c r="F493" s="1132">
        <f>IF(F492="","",F487*F488*F492)</f>
        <v>7920</v>
      </c>
      <c r="G493" s="1116"/>
      <c r="H493" s="1390">
        <f>IF(H$46=0,"",IF($D492="",H489*'Exp factors'!$H$50,H489*$D492/$D486))</f>
        <v>3611.6706517004445</v>
      </c>
      <c r="I493" s="1390">
        <f>IF(I$46=0,"",IF($D492="",I489*'Exp factors'!$H$50,I489*$D492/$D486))</f>
        <v>3611.6706517004445</v>
      </c>
      <c r="J493" s="1390">
        <f>IF(J$46=0,"",IF($D492="",J489*'Exp factors'!$H$50,J489*$D492/$D486))</f>
        <v>3611.6706517004445</v>
      </c>
      <c r="K493" s="1390">
        <f>IF(K$46=0,"",IF($D492="",K489*'Exp factors'!$H$50,K489*$D492/$D486))</f>
        <v>3611.6706517004445</v>
      </c>
      <c r="L493" s="1116"/>
      <c r="M493" s="963">
        <f>IF(SUM(H493)=SUM(C493),"",SUM(H493)-SUM(C493))</f>
        <v>3611.6706517004445</v>
      </c>
      <c r="N493" s="963">
        <f>IF(SUM(I493)=SUM(D493),"",SUM(I493)-SUM(D493))</f>
        <v>3611.6706517004445</v>
      </c>
      <c r="O493" s="963">
        <f>IF(SUM(J493)=SUM(E493),"",SUM(J493)-SUM(E493))</f>
        <v>-4308.3293482995559</v>
      </c>
      <c r="P493" s="963">
        <f>IF(SUM(K493)=SUM(F493),"",SUM(K493)-SUM(F493))</f>
        <v>-4308.3293482995559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25">IF(SUM(I$46)*SUM(I496)=0,"",SUM($D495)*I496*I497)</f>
        <v>103.15584701112169</v>
      </c>
      <c r="J498" s="1132">
        <f t="shared" si="25"/>
        <v>103.15584701112169</v>
      </c>
      <c r="K498" s="1132">
        <f t="shared" si="25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9">
        <f>IF(H$46=0,"",H498*SUM($D499)/H$46/365/$P$1)</f>
        <v>4.0039884208984376E-2</v>
      </c>
      <c r="I500" s="1389">
        <f>IF(I$46=0,"",I498*SUM($D499)/I$46/365/$P$1)</f>
        <v>4.0039884208984376E-2</v>
      </c>
      <c r="J500" s="1389">
        <f>IF(J$46=0,"",J498*SUM($D499)/J$46/365/$P$1)</f>
        <v>4.0039884208984376E-2</v>
      </c>
      <c r="K500" s="1389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132" t="str">
        <f>IF(C501="","",C498*C501)</f>
        <v/>
      </c>
      <c r="D502" s="1132" t="str">
        <f>IF(D501="","",D498*D501)</f>
        <v/>
      </c>
      <c r="E502" s="1132" t="str">
        <f>IF(E501="","",E498*E501)</f>
        <v/>
      </c>
      <c r="F502" s="1132" t="str">
        <f>IF(F501="","",F498*F501)</f>
        <v/>
      </c>
      <c r="G502" s="1116"/>
      <c r="H502" s="1390">
        <f>IF(H$46=0,"",IF($D501="",H498*'Exp factors'!$H$51,H498*$D501/$D495))</f>
        <v>986.57635947547374</v>
      </c>
      <c r="I502" s="1390">
        <f>IF(I$46=0,"",IF($D501="",I498*'Exp factors'!$H$51,I498*$D501/$D495))</f>
        <v>986.57635947547374</v>
      </c>
      <c r="J502" s="1390">
        <f>IF(J$46=0,"",IF($D501="",J498*'Exp factors'!$H$51,J498*$D501/$D495))</f>
        <v>986.57635947547374</v>
      </c>
      <c r="K502" s="1390">
        <f>IF(K$46=0,"",IF($D501="",K498*'Exp factors'!$H$51,K498*$D501/$D495))</f>
        <v>986.57635947547374</v>
      </c>
      <c r="L502" s="1116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IF(H$46=0,"",IF($D507="",H503*H504*'Exp factors'!$H$61,H503*H504*$D507))</f>
        <v>762.8725799408171</v>
      </c>
      <c r="I508" s="1390">
        <f>IF(I$46=0,"",IF($D507="",I503*I504*'Exp factors'!$H$61,I503*I504*$D507))</f>
        <v>762.8725799408171</v>
      </c>
      <c r="J508" s="1390">
        <f>IF(J$46=0,"",IF($D507="",J503*J504*'Exp factors'!$H$61,J503*J504*$D507))</f>
        <v>762.8725799408171</v>
      </c>
      <c r="K508" s="1390">
        <f>IF(K$46=0,"",IF($D507="",K503*K504*'Exp factors'!$H$61,K503*K504*$D507))</f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IF(H$46=0,"",IF($D513="",H509*H510*'Exp factors'!$H$62,H509*H510*$D513))</f>
        <v>227.33909720405435</v>
      </c>
      <c r="I514" s="1390">
        <f>IF(I$46=0,"",IF($D513="",I509*I510*'Exp factors'!$H$62,I509*I510*$D513))</f>
        <v>227.33909720405435</v>
      </c>
      <c r="J514" s="1390">
        <f>IF(J$46=0,"",IF($D513="",J509*J510*'Exp factors'!$H$62,J509*J510*$D513))</f>
        <v>227.33909720405435</v>
      </c>
      <c r="K514" s="1390">
        <f>IF(K$46=0,"",IF($D513="",K509*K510*'Exp factors'!$H$62,K509*K510*$D513))</f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IF(H$46=0,"",IF($D519="",H515*H516*'Exp factors'!$H$53,H515*H516*$D519))</f>
        <v>1062.1212826447586</v>
      </c>
      <c r="I520" s="1390">
        <f>IF(I$46=0,"",IF($D519="",I515*I516*'Exp factors'!$H$53,I515*I516*$D519))</f>
        <v>1062.1212826447586</v>
      </c>
      <c r="J520" s="1390">
        <f>IF(J$46=0,"",IF($D519="",J515*J516*'Exp factors'!$H$53,J515*J516*$D519))</f>
        <v>1062.1212826447586</v>
      </c>
      <c r="K520" s="1390">
        <f>IF(K$46=0,"",IF($D519="",K515*K516*'Exp factors'!$H$53,K515*K516*$D519))</f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IF(H$46=0,"",IF($D525="",H521*H522*'Exp factors'!$H$44,H521*H522*$D525))</f>
        <v>399.22502680050587</v>
      </c>
      <c r="I526" s="1390">
        <f>IF(I$46=0,"",IF($D525="",I521*I522*'Exp factors'!$H$44,I521*I522*$D525))</f>
        <v>399.22502680050587</v>
      </c>
      <c r="J526" s="1390">
        <f>IF(J$46=0,"",IF($D525="",J521*J522*'Exp factors'!$H$44,J521*J522*$D525))</f>
        <v>399.22502680050587</v>
      </c>
      <c r="K526" s="1390">
        <f>IF(K$46=0,"",IF($D525="",K521*K522*'Exp factors'!$H$44,K521*K522*$D525))</f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26">IF(SUM(D528)=0,"",D528*D529/D$46/365/$P$1)</f>
        <v>5.0343561643835608E-3</v>
      </c>
      <c r="E530" s="1389">
        <f t="shared" si="26"/>
        <v>6.8650311332503098E-3</v>
      </c>
      <c r="F530" s="1389">
        <f t="shared" si="26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27">IF(D531="","",D528*D531)</f>
        <v>440</v>
      </c>
      <c r="E532" s="1390">
        <f t="shared" si="27"/>
        <v>600</v>
      </c>
      <c r="F532" s="1390">
        <f t="shared" si="27"/>
        <v>600</v>
      </c>
      <c r="G532" s="1089"/>
      <c r="H532" s="1390">
        <f>IF(H$46=0,"",IF($D531="",H528*'Exp factors'!$H$45,H528*$D531))</f>
        <v>581.33698047089274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581.33698047089274</v>
      </c>
      <c r="K532" s="1390">
        <f>IF(K$46=0,"",IF($D531="",K528*'Exp factors'!$H$45,K528*$D531))</f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28">IF(SUM(D534)=0,"",D534*D535/D$46/365/$P$1)</f>
        <v>1.8683312577833126E-2</v>
      </c>
      <c r="E536" s="1389">
        <f t="shared" si="28"/>
        <v>2.802496886674969E-2</v>
      </c>
      <c r="F536" s="1389">
        <f t="shared" si="28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29">IF(D537="","",D534*D537)</f>
        <v>1320</v>
      </c>
      <c r="E538" s="1390">
        <f t="shared" si="29"/>
        <v>1980</v>
      </c>
      <c r="F538" s="1390">
        <f t="shared" si="29"/>
        <v>2904</v>
      </c>
      <c r="G538" s="1089"/>
      <c r="H538" s="1390">
        <f>IF(H$46=0,"",IF($D537="",H534*'Exp factors'!$H$46,H534*$D537))</f>
        <v>4609.0399451791309</v>
      </c>
      <c r="I538" s="1390">
        <f>IF(I$46=0,"",IF($D537="",I534*'Exp factors'!$H$46,I534*$D537))</f>
        <v>4609.0399451791309</v>
      </c>
      <c r="J538" s="1390">
        <f>IF(J$46=0,"",IF($D537="",J534*'Exp factors'!$H$46,J534*$D537))</f>
        <v>4609.0399451791309</v>
      </c>
      <c r="K538" s="1390">
        <f>IF(K$46=0,"",IF($D537="",K534*'Exp factors'!$H$46,K534*$D537))</f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IF(H$46=0,"",IF($D543="",H539*H540*'Exp factors'!$H$47,H539*H540*$D543))</f>
        <v>924.17159203810002</v>
      </c>
      <c r="I544" s="1390">
        <f>IF(I$46=0,"",IF($D543="",I539*I540*'Exp factors'!$H$47,I539*I540*$D543))</f>
        <v>924.17159203810002</v>
      </c>
      <c r="J544" s="1390">
        <f>IF(J$46=0,"",IF($D543="",J539*J540*'Exp factors'!$H$47,J539*J540*$D543))</f>
        <v>924.17159203810002</v>
      </c>
      <c r="K544" s="1390">
        <f>IF(K$46=0,"",IF($D543="",K539*K540*'Exp factors'!$H$47,K539*K540*$D543))</f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30">IF(SUM(D546)=0,"",D546*D547/D$46/365/$P$1)</f>
        <v/>
      </c>
      <c r="E548" s="1389" t="str">
        <f t="shared" si="30"/>
        <v/>
      </c>
      <c r="F548" s="1389" t="str">
        <f t="shared" si="30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31">IF(D549="","",D546*D549)</f>
        <v/>
      </c>
      <c r="E550" s="1390" t="str">
        <f t="shared" si="31"/>
        <v/>
      </c>
      <c r="F550" s="1390" t="str">
        <f t="shared" si="31"/>
        <v/>
      </c>
      <c r="G550" s="1089"/>
      <c r="H550" s="1390">
        <f>IF(H$46=0,"",IF($D549="",H546*'Exp factors'!$H$48,H546*$D549))</f>
        <v>544.67333369649464</v>
      </c>
      <c r="I550" s="1390">
        <f>IF(I$46=0,"",IF($D549="",I546*'Exp factors'!$H$48,I546*$D549))</f>
        <v>544.67333369649464</v>
      </c>
      <c r="J550" s="1390">
        <f>IF(J$46=0,"",IF($D549="",J546*'Exp factors'!$H$48,J546*$D549))</f>
        <v>544.67333369649464</v>
      </c>
      <c r="K550" s="1390">
        <f>IF(K$46=0,"",IF($D549="",K546*'Exp factors'!$H$48,K546*$D549))</f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32">IF(SUM(D552)=0,"",D552*D553/D$46/365/$P$1)</f>
        <v>8.211967621419675E-3</v>
      </c>
      <c r="E554" s="1389" t="str">
        <f t="shared" si="32"/>
        <v/>
      </c>
      <c r="F554" s="1389" t="str">
        <f t="shared" si="32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33">IF(D555="","",D552*D555)</f>
        <v>648</v>
      </c>
      <c r="E556" s="1390" t="str">
        <f t="shared" si="33"/>
        <v/>
      </c>
      <c r="F556" s="1390" t="str">
        <f t="shared" si="33"/>
        <v/>
      </c>
      <c r="G556" s="1089"/>
      <c r="H556" s="1390">
        <f>IF(H$46=0,"",IF($D555="",H552*'Exp factors'!$H$49,H552*$D555))</f>
        <v>183.81335740530596</v>
      </c>
      <c r="I556" s="1390">
        <f>IF(I$46=0,"",IF($D555="",I552*'Exp factors'!$H$49,I552*$D555))</f>
        <v>183.81335740530596</v>
      </c>
      <c r="J556" s="1390">
        <f>IF(J$46=0,"",IF($D555="",J552*'Exp factors'!$H$49,J552*$D555))</f>
        <v>183.81335740530596</v>
      </c>
      <c r="K556" s="1390">
        <f>IF(K$46=0,"",IF($D555="",K552*'Exp factors'!$H$49,K552*$D555))</f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34">IF(SUM(D558)=0,"",D558*D559/D$46/365/$P$1)</f>
        <v/>
      </c>
      <c r="E560" s="1389" t="str">
        <f t="shared" si="34"/>
        <v/>
      </c>
      <c r="F560" s="1389" t="str">
        <f t="shared" si="34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35">IF(D561="","",D558*D561)</f>
        <v/>
      </c>
      <c r="E562" s="1390" t="str">
        <f t="shared" si="35"/>
        <v/>
      </c>
      <c r="F562" s="1390" t="str">
        <f t="shared" si="35"/>
        <v/>
      </c>
      <c r="G562" s="1089"/>
      <c r="H562" s="1390">
        <f>IF(H$46=0,"",IF($D561="",H558*'Exp factors'!$H$55,H558*$D561))</f>
        <v>556.82644731898074</v>
      </c>
      <c r="I562" s="1390">
        <f>IF(I$46=0,"",IF($D561="",I558*'Exp factors'!$H$55,I558*$D561))</f>
        <v>556.82644731898074</v>
      </c>
      <c r="J562" s="1390">
        <f>IF(J$46=0,"",IF($D561="",J558*'Exp factors'!$H$55,J558*$D561))</f>
        <v>556.82644731898074</v>
      </c>
      <c r="K562" s="1390">
        <f>IF(K$46=0,"",IF($D561="",K558*'Exp factors'!$H$55,K558*$D561))</f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36">IF(SUM(D564)=0,"",D564*D565/D$46/365/$P$1)</f>
        <v/>
      </c>
      <c r="E566" s="1389" t="str">
        <f t="shared" si="36"/>
        <v/>
      </c>
      <c r="F566" s="1389" t="str">
        <f t="shared" si="36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37">IF(D567="","",D564*D567)</f>
        <v/>
      </c>
      <c r="E568" s="1390" t="str">
        <f t="shared" si="37"/>
        <v/>
      </c>
      <c r="F568" s="1390" t="str">
        <f t="shared" si="37"/>
        <v/>
      </c>
      <c r="G568" s="1089"/>
      <c r="H568" s="1390">
        <f>IF(H$46=0,"",IF($D567="",H564*'Exp factors'!$H$56,H564*$D567))</f>
        <v>313.89464613425918</v>
      </c>
      <c r="I568" s="1390">
        <f>IF(I$46=0,"",IF($D567="",I564*'Exp factors'!$H$56,I564*$D567))</f>
        <v>313.89464613425918</v>
      </c>
      <c r="J568" s="1390">
        <f>IF(J$46=0,"",IF($D567="",J564*'Exp factors'!$H$56,J564*$D567))</f>
        <v>313.89464613425918</v>
      </c>
      <c r="K568" s="1390">
        <f>IF(K$46=0,"",IF($D567="",K564*'Exp factors'!$H$56,K564*$D567))</f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38">IF(SUM(D570)=0,"",D570*D571/D$46/365/$P$1)</f>
        <v/>
      </c>
      <c r="E572" s="1389" t="str">
        <f t="shared" si="38"/>
        <v/>
      </c>
      <c r="F572" s="1389" t="str">
        <f t="shared" si="38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39">IF(D573="","",D570*D573)</f>
        <v/>
      </c>
      <c r="E574" s="1390" t="str">
        <f t="shared" si="39"/>
        <v/>
      </c>
      <c r="F574" s="1390" t="str">
        <f t="shared" si="39"/>
        <v/>
      </c>
      <c r="G574" s="1089"/>
      <c r="H574" s="1390">
        <f>IF(H$46=0,"",IF($D573="",H570*'Exp factors'!$H$57,H570*$D573))</f>
        <v>227.1570622064786</v>
      </c>
      <c r="I574" s="1390">
        <f>IF(I$46=0,"",IF($D573="",I570*'Exp factors'!$H$57,I570*$D573))</f>
        <v>227.1570622064786</v>
      </c>
      <c r="J574" s="1390">
        <f>IF(J$46=0,"",IF($D573="",J570*'Exp factors'!$H$57,J570*$D573))</f>
        <v>227.1570622064786</v>
      </c>
      <c r="K574" s="1390">
        <f>IF(K$46=0,"",IF($D573="",K570*'Exp factors'!$H$57,K570*$D573))</f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IF(H$46=0,"",IF($D579="",H575*H576*'Exp factors'!$H$58,H575*H576*$D579))</f>
        <v>470.84359606719346</v>
      </c>
      <c r="I580" s="1390">
        <f>IF(I$46=0,"",IF($D579="",I575*I576*'Exp factors'!$H$58,I575*I576*$D579))</f>
        <v>470.84359606719346</v>
      </c>
      <c r="J580" s="1390">
        <f>IF(J$46=0,"",IF($D579="",J575*J576*'Exp factors'!$H$58,J575*J576*$D579))</f>
        <v>470.84359606719346</v>
      </c>
      <c r="K580" s="1390">
        <f>IF(K$46=0,"",IF($D579="",K575*K576*'Exp factors'!$H$58,K575*K576*$D579))</f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IF(H$46=0,"",IF($D585="",H581*H582*'Exp factors'!$H$59,H581*H582*$D585))</f>
        <v>2729.8835591221446</v>
      </c>
      <c r="I586" s="1390">
        <f>IF(I$46=0,"",IF($D585="",I581*I582*'Exp factors'!$H$59,I581*I582*$D585))</f>
        <v>2729.8835591221446</v>
      </c>
      <c r="J586" s="1390">
        <f>IF(J$46=0,"",IF($D585="",J581*J582*'Exp factors'!$H$59,J581*J582*$D585))</f>
        <v>2729.8835591221446</v>
      </c>
      <c r="K586" s="1390">
        <f>IF(K$46=0,"",IF($D585="",K581*K582*'Exp factors'!$H$59,K581*K582*$D585))</f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IF(H$46=0,"",IF($D591="",H587*H588*'Exp factors'!$H$60,H587*H588*$D591))</f>
        <v>330.9142678558847</v>
      </c>
      <c r="I592" s="1390">
        <f>IF(I$46=0,"",IF($D591="",I587*I588*'Exp factors'!$H$60,I587*I588*$D591))</f>
        <v>330.9142678558847</v>
      </c>
      <c r="J592" s="1390">
        <f>IF(J$46=0,"",IF($D591="",J587*J588*'Exp factors'!$H$60,J587*J588*$D591))</f>
        <v>330.9142678558847</v>
      </c>
      <c r="K592" s="1390">
        <f>IF(K$46=0,"",IF($D591="",K587*K588*'Exp factors'!$H$60,K587*K588*$D591))</f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IF(H$46=0,"",IF($D604="",H601*[1]ExpFactors!$H$63,H601*$D604))</f>
        <v>250.53788434532191</v>
      </c>
      <c r="I605" s="1390">
        <f>IF(I$46=0,"",IF($D604="",I601*[1]ExpFactors!$H$63,I601*$D604))</f>
        <v>250.53788434532191</v>
      </c>
      <c r="J605" s="1390">
        <f>IF(J$46=0,"",IF($D604="",J601*[1]ExpFactors!$H$63,J601*$D604))</f>
        <v>250.53788434532191</v>
      </c>
      <c r="K605" s="1390">
        <f>IF(K$46=0,"",IF($D604="",K601*[1]ExpFactors!$H$63,K601*$D604))</f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IF(H$46=0,"",IF($D610="",H607*[1]ExpFactors!$H$64,H607*$D610))</f>
        <v>290.29122614183149</v>
      </c>
      <c r="I611" s="1390">
        <f>IF(I$46=0,"",IF($D610="",I607*[1]ExpFactors!$H$64,I607*$D610))</f>
        <v>290.29122614183149</v>
      </c>
      <c r="J611" s="1390">
        <f>IF(J$46=0,"",IF($D610="",J607*[1]ExpFactors!$H$64,J607*$D610))</f>
        <v>290.29122614183149</v>
      </c>
      <c r="K611" s="1390">
        <f>IF(K$46=0,"",IF($D610="",K607*[1]ExpFactors!$H$64,K607*$D610))</f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IF(H$46=0,"",IF($D622="",H619*[1]ExpFactors!$H$43,H619*$D622))</f>
        <v>1783.1713957648421</v>
      </c>
      <c r="I623" s="1390">
        <f>IF(I$46=0,"",IF($D622="",I619*[1]ExpFactors!$H$43,I619*$D622))</f>
        <v>1783.1713957648421</v>
      </c>
      <c r="J623" s="1390">
        <f>IF(J$46=0,"",IF($D622="",J619*[1]ExpFactors!$H$43,J619*$D622))</f>
        <v>1783.1713957648421</v>
      </c>
      <c r="K623" s="1390">
        <f>IF(K$46=0,"",IF($D622="",K619*[1]ExpFactors!$H$43,K619*$D622))</f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132">
        <f>IF(C634="","",C631*C634)</f>
        <v>1200</v>
      </c>
      <c r="D635" s="1132">
        <f>IF(D634="","",D631*D634)</f>
        <v>1200</v>
      </c>
      <c r="E635" s="1132">
        <f>IF(E634="","",E631*E634)</f>
        <v>1200</v>
      </c>
      <c r="F635" s="1132">
        <f>IF(F634="","",F631*F634)</f>
        <v>1200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40">IF(C646&gt;0,C646,"")</f>
        <v/>
      </c>
      <c r="I646" s="1185" t="str">
        <f t="shared" si="40"/>
        <v/>
      </c>
      <c r="J646" s="1185" t="str">
        <f t="shared" si="40"/>
        <v/>
      </c>
      <c r="K646" s="1185" t="str">
        <f t="shared" si="40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40"/>
        <v/>
      </c>
      <c r="I647" s="1185" t="str">
        <f t="shared" si="40"/>
        <v/>
      </c>
      <c r="J647" s="1185" t="str">
        <f t="shared" si="40"/>
        <v/>
      </c>
      <c r="K647" s="1185" t="str">
        <f t="shared" si="40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41">IF(C652&gt;0,C652,"")</f>
        <v/>
      </c>
      <c r="I652" s="1185" t="str">
        <f t="shared" si="41"/>
        <v/>
      </c>
      <c r="J652" s="1185" t="str">
        <f t="shared" si="41"/>
        <v/>
      </c>
      <c r="K652" s="1185" t="str">
        <f t="shared" si="41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41"/>
        <v/>
      </c>
      <c r="I653" s="1185" t="str">
        <f t="shared" si="41"/>
        <v/>
      </c>
      <c r="J653" s="1185" t="str">
        <f t="shared" si="41"/>
        <v/>
      </c>
      <c r="K653" s="1185" t="str">
        <f t="shared" si="41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42">IF(C658&gt;0,C658,"")</f>
        <v/>
      </c>
      <c r="I658" s="1185" t="str">
        <f t="shared" si="42"/>
        <v/>
      </c>
      <c r="J658" s="1185" t="str">
        <f t="shared" si="42"/>
        <v/>
      </c>
      <c r="K658" s="1185" t="str">
        <f t="shared" si="42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42"/>
        <v/>
      </c>
      <c r="I659" s="1185" t="str">
        <f t="shared" si="42"/>
        <v/>
      </c>
      <c r="J659" s="1185" t="str">
        <f t="shared" si="42"/>
        <v/>
      </c>
      <c r="K659" s="1185" t="str">
        <f t="shared" si="42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43">IF(C705&gt;0,C705,"")</f>
        <v/>
      </c>
      <c r="I705" s="1185" t="str">
        <f t="shared" si="43"/>
        <v/>
      </c>
      <c r="J705" s="1185" t="str">
        <f t="shared" si="43"/>
        <v/>
      </c>
      <c r="K705" s="1185" t="str">
        <f t="shared" si="43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43"/>
        <v/>
      </c>
      <c r="I706" s="1185" t="str">
        <f t="shared" si="43"/>
        <v/>
      </c>
      <c r="J706" s="1185" t="str">
        <f t="shared" si="43"/>
        <v/>
      </c>
      <c r="K706" s="1185" t="str">
        <f t="shared" si="43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44">IF(C711&gt;0,C711,"")</f>
        <v/>
      </c>
      <c r="I711" s="1185" t="str">
        <f t="shared" si="44"/>
        <v/>
      </c>
      <c r="J711" s="1185" t="str">
        <f t="shared" si="44"/>
        <v/>
      </c>
      <c r="K711" s="1185" t="str">
        <f t="shared" si="44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44"/>
        <v/>
      </c>
      <c r="I712" s="1185" t="str">
        <f t="shared" si="44"/>
        <v/>
      </c>
      <c r="J712" s="1185" t="str">
        <f t="shared" si="44"/>
        <v/>
      </c>
      <c r="K712" s="1185" t="str">
        <f t="shared" si="44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45">IF(C717&gt;0,C717,"")</f>
        <v/>
      </c>
      <c r="I717" s="1185" t="str">
        <f t="shared" si="45"/>
        <v/>
      </c>
      <c r="J717" s="1185" t="str">
        <f t="shared" si="45"/>
        <v/>
      </c>
      <c r="K717" s="1185" t="str">
        <f t="shared" si="45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45"/>
        <v/>
      </c>
      <c r="I718" s="1185" t="str">
        <f t="shared" si="45"/>
        <v/>
      </c>
      <c r="J718" s="1185" t="str">
        <f t="shared" si="45"/>
        <v/>
      </c>
      <c r="K718" s="1185" t="str">
        <f t="shared" si="45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46">IF(C722&gt;0,C722,"")</f>
        <v/>
      </c>
      <c r="I722" s="1185" t="str">
        <f t="shared" si="46"/>
        <v/>
      </c>
      <c r="J722" s="1185">
        <f t="shared" si="46"/>
        <v>6</v>
      </c>
      <c r="K722" s="1185">
        <f t="shared" si="46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46"/>
        <v/>
      </c>
      <c r="I723" s="1185" t="str">
        <f t="shared" si="46"/>
        <v/>
      </c>
      <c r="J723" s="1185">
        <f t="shared" si="46"/>
        <v>250</v>
      </c>
      <c r="K723" s="1185">
        <f t="shared" si="46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47">IF(SUM(I721)=0,"",I721*I722*I723)</f>
        <v/>
      </c>
      <c r="J724" s="885">
        <f t="shared" si="47"/>
        <v>1500</v>
      </c>
      <c r="K724" s="885">
        <f t="shared" si="47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48">IF(SUM(I725=0),"",I725*I726)</f>
        <v/>
      </c>
      <c r="J727" s="1109">
        <f t="shared" si="48"/>
        <v>4400</v>
      </c>
      <c r="K727" s="1109">
        <f t="shared" si="48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49">IF(C729&gt;0,C729,"")</f>
        <v/>
      </c>
      <c r="I729" s="1185" t="str">
        <f t="shared" si="49"/>
        <v/>
      </c>
      <c r="J729" s="1185" t="str">
        <f t="shared" si="49"/>
        <v/>
      </c>
      <c r="K729" s="1185" t="str">
        <f t="shared" si="49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49"/>
        <v/>
      </c>
      <c r="I730" s="1185" t="str">
        <f t="shared" si="49"/>
        <v/>
      </c>
      <c r="J730" s="1185" t="str">
        <f t="shared" si="49"/>
        <v/>
      </c>
      <c r="K730" s="1185" t="str">
        <f t="shared" si="49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50">IF(C734&gt;0,C734,"")</f>
        <v/>
      </c>
      <c r="I734" s="1185" t="str">
        <f t="shared" si="50"/>
        <v/>
      </c>
      <c r="J734" s="1185">
        <f t="shared" si="50"/>
        <v>1</v>
      </c>
      <c r="K734" s="1185">
        <f t="shared" si="50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50"/>
        <v/>
      </c>
      <c r="I735" s="1185" t="str">
        <f t="shared" si="50"/>
        <v/>
      </c>
      <c r="J735" s="1185" t="str">
        <f t="shared" si="50"/>
        <v/>
      </c>
      <c r="K735" s="1185" t="str">
        <f t="shared" si="50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51">IF(C740&gt;0,C740,"")</f>
        <v/>
      </c>
      <c r="I740" s="1185" t="str">
        <f t="shared" si="51"/>
        <v/>
      </c>
      <c r="J740" s="1185" t="str">
        <f t="shared" si="51"/>
        <v/>
      </c>
      <c r="K740" s="1185" t="str">
        <f t="shared" si="51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51"/>
        <v/>
      </c>
      <c r="I741" s="1185" t="str">
        <f t="shared" si="51"/>
        <v/>
      </c>
      <c r="J741" s="1185" t="str">
        <f t="shared" si="51"/>
        <v/>
      </c>
      <c r="K741" s="1185" t="str">
        <f t="shared" si="51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52">IF(C746&gt;0,C746,"")</f>
        <v/>
      </c>
      <c r="I746" s="1185" t="str">
        <f t="shared" si="52"/>
        <v/>
      </c>
      <c r="J746" s="1185" t="str">
        <f t="shared" si="52"/>
        <v/>
      </c>
      <c r="K746" s="1185" t="str">
        <f t="shared" si="52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52"/>
        <v/>
      </c>
      <c r="I747" s="1185" t="str">
        <f t="shared" si="52"/>
        <v/>
      </c>
      <c r="J747" s="1185" t="str">
        <f t="shared" si="52"/>
        <v/>
      </c>
      <c r="K747" s="1185" t="str">
        <f t="shared" si="52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53">IF(C752&gt;0,C752,"")</f>
        <v/>
      </c>
      <c r="I752" s="1185" t="str">
        <f t="shared" si="53"/>
        <v/>
      </c>
      <c r="J752" s="1185" t="str">
        <f t="shared" si="53"/>
        <v/>
      </c>
      <c r="K752" s="1185" t="str">
        <f t="shared" si="53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53"/>
        <v/>
      </c>
      <c r="I753" s="1185" t="str">
        <f t="shared" si="53"/>
        <v/>
      </c>
      <c r="J753" s="1185" t="str">
        <f t="shared" si="53"/>
        <v/>
      </c>
      <c r="K753" s="1185" t="str">
        <f t="shared" si="53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54">IF(C757&gt;0,C757,"")</f>
        <v/>
      </c>
      <c r="I757" s="1185" t="str">
        <f t="shared" si="54"/>
        <v/>
      </c>
      <c r="J757" s="1185" t="str">
        <f t="shared" si="54"/>
        <v/>
      </c>
      <c r="K757" s="1185" t="str">
        <f t="shared" si="54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54"/>
        <v/>
      </c>
      <c r="I758" s="1185" t="str">
        <f t="shared" si="54"/>
        <v/>
      </c>
      <c r="J758" s="1185" t="str">
        <f t="shared" si="54"/>
        <v/>
      </c>
      <c r="K758" s="1185" t="str">
        <f t="shared" si="54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54"/>
        <v/>
      </c>
      <c r="I759" s="1185" t="str">
        <f t="shared" si="54"/>
        <v/>
      </c>
      <c r="J759" s="1185" t="str">
        <f t="shared" si="54"/>
        <v/>
      </c>
      <c r="K759" s="1185" t="str">
        <f t="shared" si="54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55">IF(C763&gt;0,C763,"")</f>
        <v/>
      </c>
      <c r="I763" s="1185" t="str">
        <f t="shared" si="55"/>
        <v/>
      </c>
      <c r="J763" s="1185" t="str">
        <f t="shared" si="55"/>
        <v/>
      </c>
      <c r="K763" s="1185" t="str">
        <f t="shared" si="55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55"/>
        <v/>
      </c>
      <c r="I764" s="1185" t="str">
        <f t="shared" si="55"/>
        <v/>
      </c>
      <c r="J764" s="1185" t="str">
        <f t="shared" si="55"/>
        <v/>
      </c>
      <c r="K764" s="1185" t="str">
        <f t="shared" si="55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56">IF(H772="","",SUM(H772)-SUM(C772))</f>
        <v>162</v>
      </c>
      <c r="N772" s="1395">
        <f t="shared" si="56"/>
        <v>110</v>
      </c>
      <c r="O772" s="1395">
        <f t="shared" si="56"/>
        <v>108</v>
      </c>
      <c r="P772" s="1395">
        <f t="shared" si="56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56"/>
        <v>52</v>
      </c>
      <c r="N773" s="1395">
        <f t="shared" si="56"/>
        <v>55</v>
      </c>
      <c r="O773" s="1395">
        <f t="shared" si="56"/>
        <v>34</v>
      </c>
      <c r="P773" s="1395">
        <f t="shared" si="56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56"/>
        <v>265</v>
      </c>
      <c r="N774" s="1395">
        <f t="shared" si="56"/>
        <v>314</v>
      </c>
      <c r="O774" s="1395">
        <f t="shared" si="56"/>
        <v>153</v>
      </c>
      <c r="P774" s="1395">
        <f t="shared" si="56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56"/>
        <v>-770</v>
      </c>
      <c r="N775" s="1395">
        <f t="shared" si="56"/>
        <v>-1016</v>
      </c>
      <c r="O775" s="1395">
        <f t="shared" si="56"/>
        <v>-1131</v>
      </c>
      <c r="P775" s="1395">
        <f t="shared" si="56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56"/>
        <v>0</v>
      </c>
      <c r="N776" s="1395">
        <f t="shared" si="56"/>
        <v>0</v>
      </c>
      <c r="O776" s="1395">
        <f t="shared" si="56"/>
        <v>0</v>
      </c>
      <c r="P776" s="1395">
        <f t="shared" si="56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57">IF(H781="","",SUM(H781)-SUM(C781))</f>
        <v>74250</v>
      </c>
      <c r="N781" s="1395">
        <f t="shared" si="57"/>
        <v>95360</v>
      </c>
      <c r="O781" s="1395">
        <f t="shared" si="57"/>
        <v>30192</v>
      </c>
      <c r="P781" s="1395">
        <f t="shared" si="57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57"/>
        <v>1523</v>
      </c>
      <c r="N782" s="1395">
        <f t="shared" si="57"/>
        <v>1330</v>
      </c>
      <c r="O782" s="1395">
        <f t="shared" si="57"/>
        <v>1800</v>
      </c>
      <c r="P782" s="1395">
        <f t="shared" si="57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57"/>
        <v>0</v>
      </c>
      <c r="N783" s="1395">
        <f t="shared" si="57"/>
        <v>0</v>
      </c>
      <c r="O783" s="1395">
        <f t="shared" si="57"/>
        <v>0</v>
      </c>
      <c r="P783" s="1395">
        <f t="shared" si="57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57"/>
        <v>0</v>
      </c>
      <c r="N784" s="1395">
        <f t="shared" si="57"/>
        <v>0</v>
      </c>
      <c r="O784" s="1395">
        <f t="shared" si="57"/>
        <v>0</v>
      </c>
      <c r="P784" s="1395">
        <f t="shared" si="57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57"/>
        <v>0</v>
      </c>
      <c r="N785" s="1395">
        <f t="shared" si="57"/>
        <v>0</v>
      </c>
      <c r="O785" s="1395">
        <f t="shared" si="57"/>
        <v>0</v>
      </c>
      <c r="P785" s="1395">
        <f t="shared" si="57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58">IF(SUM(D789)=0,"",D787*D788*D789)</f>
        <v/>
      </c>
      <c r="E790" s="1109" t="str">
        <f t="shared" si="58"/>
        <v/>
      </c>
      <c r="F790" s="1109" t="str">
        <f t="shared" si="58"/>
        <v/>
      </c>
      <c r="G790" s="1155"/>
      <c r="H790" s="1109" t="str">
        <f>IF(OR(SUM(H788)=0,SUM(C789)=0),"",H787*H788*C789)</f>
        <v/>
      </c>
      <c r="I790" s="1109" t="str">
        <f t="shared" ref="I790:K790" si="59">IF(OR(SUM(I788)=0,SUM(D789)=0),"",I787*I788*D789)</f>
        <v/>
      </c>
      <c r="J790" s="1109" t="str">
        <f t="shared" si="59"/>
        <v/>
      </c>
      <c r="K790" s="1109" t="str">
        <f t="shared" si="59"/>
        <v/>
      </c>
      <c r="L790" s="1397"/>
      <c r="M790" s="1395" t="str">
        <f t="shared" ref="M790:M810" si="60">IF(H790="","",SUM(H790)-SUM(C790))</f>
        <v/>
      </c>
      <c r="N790" s="1395" t="str">
        <f t="shared" ref="N790:P810" si="61">IF(I790="","",SUM(I790)-SUM(D790))</f>
        <v/>
      </c>
      <c r="O790" s="1395" t="str">
        <f t="shared" si="61"/>
        <v/>
      </c>
      <c r="P790" s="1395" t="str">
        <f t="shared" si="61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60"/>
        <v>0</v>
      </c>
      <c r="N791" s="1395">
        <f t="shared" si="61"/>
        <v>0</v>
      </c>
      <c r="O791" s="1395">
        <f t="shared" si="61"/>
        <v>0</v>
      </c>
      <c r="P791" s="1395">
        <f t="shared" si="61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60"/>
        <v>0</v>
      </c>
      <c r="N792" s="1395">
        <f t="shared" si="61"/>
        <v>0</v>
      </c>
      <c r="O792" s="1395">
        <f t="shared" si="61"/>
        <v>0</v>
      </c>
      <c r="P792" s="1395">
        <f t="shared" si="61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60"/>
        <v>0</v>
      </c>
      <c r="N793" s="1395">
        <f t="shared" si="61"/>
        <v>0</v>
      </c>
      <c r="O793" s="1395">
        <f t="shared" si="61"/>
        <v>0</v>
      </c>
      <c r="P793" s="1395">
        <f t="shared" si="61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60"/>
        <v>0</v>
      </c>
      <c r="N794" s="1395">
        <f t="shared" si="61"/>
        <v>0</v>
      </c>
      <c r="O794" s="1395">
        <f t="shared" si="61"/>
        <v>0</v>
      </c>
      <c r="P794" s="1395">
        <f t="shared" si="61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60"/>
        <v>0</v>
      </c>
      <c r="N795" s="1395">
        <f t="shared" si="61"/>
        <v>0</v>
      </c>
      <c r="O795" s="1395">
        <f t="shared" si="61"/>
        <v>0</v>
      </c>
      <c r="P795" s="1395">
        <f t="shared" si="61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60"/>
        <v>0</v>
      </c>
      <c r="N796" s="1395">
        <f t="shared" si="61"/>
        <v>0</v>
      </c>
      <c r="O796" s="1395">
        <f t="shared" si="61"/>
        <v>0</v>
      </c>
      <c r="P796" s="1395">
        <f t="shared" si="61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60"/>
        <v>0</v>
      </c>
      <c r="N797" s="1395">
        <f t="shared" si="61"/>
        <v>0</v>
      </c>
      <c r="O797" s="1395">
        <f t="shared" si="61"/>
        <v>0</v>
      </c>
      <c r="P797" s="1395">
        <f t="shared" si="61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60"/>
        <v>0</v>
      </c>
      <c r="N798" s="1395">
        <f t="shared" si="61"/>
        <v>0</v>
      </c>
      <c r="O798" s="1395">
        <f t="shared" si="61"/>
        <v>0</v>
      </c>
      <c r="P798" s="1395">
        <f t="shared" si="61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60"/>
        <v>-2760</v>
      </c>
      <c r="N799" s="1395">
        <f t="shared" si="61"/>
        <v>-1755</v>
      </c>
      <c r="O799" s="1395">
        <f t="shared" si="61"/>
        <v>-2959</v>
      </c>
      <c r="P799" s="1395">
        <f t="shared" si="61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60"/>
        <v>115</v>
      </c>
      <c r="N800" s="1395">
        <f t="shared" si="61"/>
        <v>407</v>
      </c>
      <c r="O800" s="1395">
        <f t="shared" si="61"/>
        <v>221</v>
      </c>
      <c r="P800" s="1395">
        <f t="shared" si="61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60"/>
        <v>-2330</v>
      </c>
      <c r="N801" s="1395">
        <f t="shared" si="61"/>
        <v>-1470</v>
      </c>
      <c r="O801" s="1395">
        <f t="shared" si="61"/>
        <v>-1980</v>
      </c>
      <c r="P801" s="1395">
        <f t="shared" si="61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60"/>
        <v>-1497</v>
      </c>
      <c r="N802" s="1395">
        <f t="shared" si="61"/>
        <v>-1236</v>
      </c>
      <c r="O802" s="1395">
        <f t="shared" si="61"/>
        <v>-1865</v>
      </c>
      <c r="P802" s="1395">
        <f t="shared" si="61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60"/>
        <v>-449</v>
      </c>
      <c r="N803" s="1395">
        <f t="shared" si="61"/>
        <v>-400</v>
      </c>
      <c r="O803" s="1395">
        <f t="shared" si="61"/>
        <v>-1141</v>
      </c>
      <c r="P803" s="1395">
        <f t="shared" si="61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60"/>
        <v>0</v>
      </c>
      <c r="N804" s="1395">
        <f t="shared" si="61"/>
        <v>0</v>
      </c>
      <c r="O804" s="1395">
        <f t="shared" si="61"/>
        <v>0</v>
      </c>
      <c r="P804" s="1395">
        <f t="shared" si="61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60"/>
        <v>-1182</v>
      </c>
      <c r="N805" s="1395">
        <f t="shared" si="61"/>
        <v>-1236</v>
      </c>
      <c r="O805" s="1395">
        <f t="shared" si="61"/>
        <v>-1942</v>
      </c>
      <c r="P805" s="1395">
        <f t="shared" si="61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60"/>
        <v>67.5</v>
      </c>
      <c r="N806" s="1395">
        <f t="shared" si="61"/>
        <v>67.5</v>
      </c>
      <c r="O806" s="1395">
        <f t="shared" si="61"/>
        <v>67.5</v>
      </c>
      <c r="P806" s="1395">
        <f t="shared" si="61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60"/>
        <v>5551.5000000000018</v>
      </c>
      <c r="N807" s="1395">
        <f t="shared" si="61"/>
        <v>5551.5000000000018</v>
      </c>
      <c r="O807" s="1395">
        <f t="shared" si="61"/>
        <v>5551.5000000000018</v>
      </c>
      <c r="P807" s="1395">
        <f t="shared" si="61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60"/>
        <v>31212</v>
      </c>
      <c r="N808" s="1395">
        <f t="shared" si="61"/>
        <v>31212</v>
      </c>
      <c r="O808" s="1395">
        <f t="shared" si="61"/>
        <v>31212</v>
      </c>
      <c r="P808" s="1395">
        <f t="shared" si="61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60"/>
        <v>0</v>
      </c>
      <c r="N809" s="1395">
        <f t="shared" si="61"/>
        <v>0</v>
      </c>
      <c r="O809" s="1395">
        <f t="shared" si="61"/>
        <v>0</v>
      </c>
      <c r="P809" s="1395">
        <f t="shared" si="61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60"/>
        <v>0</v>
      </c>
      <c r="N810" s="1395">
        <f t="shared" si="61"/>
        <v>-2000</v>
      </c>
      <c r="O810" s="1395">
        <f t="shared" si="61"/>
        <v>0</v>
      </c>
      <c r="P810" s="1395">
        <f t="shared" si="61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62">IF(H811="","",SUM(H811)-SUM(C811))</f>
        <v>0</v>
      </c>
      <c r="N811" s="1195">
        <f t="shared" ref="N811" si="63">IF(I811="","",SUM(I811)-SUM(D811))</f>
        <v>0</v>
      </c>
      <c r="O811" s="1195">
        <f t="shared" ref="O811" si="64">IF(J811="","",SUM(J811)-SUM(E811))</f>
        <v>0</v>
      </c>
      <c r="P811" s="1195">
        <f t="shared" ref="P811" si="65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66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67">IF(MAX(C821:F821,H821:K821)&gt;0,S820+1,S820)</f>
        <v>0</v>
      </c>
      <c r="T821" s="46" t="str">
        <f t="shared" si="66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67"/>
        <v>1</v>
      </c>
      <c r="T822" s="46">
        <f t="shared" si="66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67"/>
        <v>1</v>
      </c>
      <c r="T823" s="46" t="str">
        <f t="shared" si="66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67"/>
        <v>1</v>
      </c>
      <c r="T824" s="46" t="str">
        <f t="shared" si="66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67"/>
        <v>1</v>
      </c>
      <c r="T825" s="46" t="str">
        <f t="shared" si="66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67"/>
        <v>1</v>
      </c>
      <c r="T826" s="46" t="str">
        <f t="shared" si="66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67"/>
        <v>1</v>
      </c>
      <c r="T827" s="46" t="str">
        <f t="shared" si="66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5.1053237858032383E-2</v>
      </c>
      <c r="D828" s="1120">
        <f>SUM($D$183,$D$180,$D$177)</f>
        <v>6.680370485678705E-2</v>
      </c>
      <c r="E828" s="1120">
        <f>SUM($E$183,$E$180,$E$177)</f>
        <v>6.1553549190535496E-2</v>
      </c>
      <c r="F828" s="1120">
        <f>SUM($F$183,$F$180,$F$177)</f>
        <v>6.1553549190535496E-2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67"/>
        <v>2</v>
      </c>
      <c r="T828" s="46">
        <f t="shared" si="66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67"/>
        <v>2</v>
      </c>
      <c r="T829" s="46" t="str">
        <f t="shared" si="6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67"/>
        <v>3</v>
      </c>
      <c r="T830" s="46">
        <f t="shared" si="6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67"/>
        <v>4</v>
      </c>
      <c r="T831" s="46">
        <f t="shared" si="66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67"/>
        <v>5</v>
      </c>
      <c r="T832" s="46">
        <f t="shared" si="66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67"/>
        <v>5</v>
      </c>
      <c r="T833" s="46" t="str">
        <f t="shared" si="66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67"/>
        <v>5</v>
      </c>
      <c r="T834" s="46" t="str">
        <f t="shared" si="6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67"/>
        <v>5</v>
      </c>
      <c r="T835" s="46" t="str">
        <f t="shared" si="6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67"/>
        <v>5</v>
      </c>
      <c r="T836" s="46" t="str">
        <f t="shared" si="6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67"/>
        <v>6</v>
      </c>
      <c r="T837" s="46">
        <f t="shared" si="6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67"/>
        <v>6</v>
      </c>
      <c r="T838" s="46" t="str">
        <f t="shared" si="66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67"/>
        <v>7</v>
      </c>
      <c r="T839" s="46">
        <f t="shared" si="66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67"/>
        <v>7</v>
      </c>
      <c r="T840" s="46" t="str">
        <f t="shared" si="66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67"/>
        <v>7</v>
      </c>
      <c r="T841" s="46" t="str">
        <f t="shared" si="6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67"/>
        <v>7</v>
      </c>
      <c r="T842" s="46" t="str">
        <f t="shared" si="66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67"/>
        <v>7</v>
      </c>
      <c r="T843" s="46" t="str">
        <f t="shared" si="66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67"/>
        <v>8</v>
      </c>
      <c r="T844" s="46">
        <f t="shared" si="66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67"/>
        <v>8</v>
      </c>
      <c r="T845" s="46" t="str">
        <f t="shared" si="66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67"/>
        <v>8</v>
      </c>
      <c r="T846" s="46" t="str">
        <f t="shared" si="66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67"/>
        <v>9</v>
      </c>
      <c r="T847" s="46">
        <f t="shared" si="66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67"/>
        <v>9</v>
      </c>
      <c r="T848" s="46" t="str">
        <f t="shared" si="66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67"/>
        <v>9</v>
      </c>
      <c r="T849" s="46" t="str">
        <f t="shared" si="66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67"/>
        <v>9</v>
      </c>
      <c r="T850" s="46" t="str">
        <f t="shared" si="6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67"/>
        <v>9</v>
      </c>
      <c r="T851" s="46" t="str">
        <f t="shared" si="66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40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67"/>
        <v>9</v>
      </c>
      <c r="T852" s="46" t="str">
        <f t="shared" si="66"/>
        <v/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67"/>
        <v>9</v>
      </c>
      <c r="T853" s="46" t="str">
        <f t="shared" si="6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67"/>
        <v>9</v>
      </c>
      <c r="T854" s="46" t="str">
        <f t="shared" si="6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67"/>
        <v>9</v>
      </c>
      <c r="T855" s="46" t="str">
        <f t="shared" si="6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67"/>
        <v>9</v>
      </c>
      <c r="T856" s="46" t="str">
        <f t="shared" si="6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67"/>
        <v>9</v>
      </c>
      <c r="T857" s="46" t="str">
        <f t="shared" si="66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68">SUM(D$455)</f>
        <v>0.31457484433374844</v>
      </c>
      <c r="E859" s="1120">
        <f t="shared" si="68"/>
        <v>0.31457484433374844</v>
      </c>
      <c r="F859" s="1120">
        <f t="shared" si="68"/>
        <v>0.31457484433374844</v>
      </c>
      <c r="G859" s="940"/>
      <c r="H859" s="1120">
        <f>SUM(H$455)</f>
        <v>0</v>
      </c>
      <c r="I859" s="1120">
        <f t="shared" ref="I859:K859" si="69">SUM(I$455)</f>
        <v>0</v>
      </c>
      <c r="J859" s="1120">
        <f t="shared" si="69"/>
        <v>0</v>
      </c>
      <c r="K859" s="1120">
        <f t="shared" si="69"/>
        <v>0</v>
      </c>
      <c r="L859" s="940"/>
      <c r="M859" s="1120">
        <f>SUM(M$455)</f>
        <v>0</v>
      </c>
      <c r="N859" s="1120">
        <f t="shared" ref="N859:P859" si="70">SUM(N$455)</f>
        <v>0</v>
      </c>
      <c r="O859" s="1120">
        <f t="shared" si="70"/>
        <v>0</v>
      </c>
      <c r="P859" s="1120">
        <f t="shared" si="70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71">SUM(D$464)</f>
        <v>6.3088767123287662E-2</v>
      </c>
      <c r="E860" s="1120">
        <f t="shared" si="71"/>
        <v>6.3088767123287662E-2</v>
      </c>
      <c r="F860" s="1120">
        <f t="shared" si="71"/>
        <v>6.3088767123287662E-2</v>
      </c>
      <c r="G860" s="940"/>
      <c r="H860" s="1120">
        <f>SUM(H$464)</f>
        <v>0</v>
      </c>
      <c r="I860" s="1120">
        <f t="shared" ref="I860:K860" si="72">SUM(I$464)</f>
        <v>0</v>
      </c>
      <c r="J860" s="1120">
        <f t="shared" si="72"/>
        <v>0</v>
      </c>
      <c r="K860" s="1120">
        <f t="shared" si="72"/>
        <v>0</v>
      </c>
      <c r="L860" s="940"/>
      <c r="M860" s="1120">
        <f>SUM(M$464)</f>
        <v>0</v>
      </c>
      <c r="N860" s="1120">
        <f t="shared" ref="N860:P860" si="73">SUM(N$464)</f>
        <v>0</v>
      </c>
      <c r="O860" s="1120">
        <f t="shared" si="73"/>
        <v>0</v>
      </c>
      <c r="P860" s="1120">
        <f t="shared" si="7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74">SUM(D$473)</f>
        <v>6.1524582814445818E-2</v>
      </c>
      <c r="E861" s="1120">
        <f t="shared" si="74"/>
        <v>6.1524582814445818E-2</v>
      </c>
      <c r="F861" s="1120">
        <f t="shared" si="74"/>
        <v>0.15381145703611457</v>
      </c>
      <c r="G861" s="940"/>
      <c r="H861" s="1120">
        <f>SUM(H$473)</f>
        <v>4.174377647644506E-2</v>
      </c>
      <c r="I861" s="1120">
        <f t="shared" ref="I861:K861" si="75">SUM(I$473)</f>
        <v>4.174377647644506E-2</v>
      </c>
      <c r="J861" s="1120">
        <f t="shared" si="75"/>
        <v>4.174377647644506E-2</v>
      </c>
      <c r="K861" s="1120">
        <f t="shared" si="75"/>
        <v>4.174377647644506E-2</v>
      </c>
      <c r="L861" s="940"/>
      <c r="M861" s="1120">
        <f>SUM(M$473)</f>
        <v>-1.9780806338000757E-2</v>
      </c>
      <c r="N861" s="1120">
        <f t="shared" ref="N861:P861" si="76">SUM(N$473)</f>
        <v>-1.9780806338000757E-2</v>
      </c>
      <c r="O861" s="1120">
        <f t="shared" si="76"/>
        <v>-1.9780806338000757E-2</v>
      </c>
      <c r="P861" s="1120">
        <f t="shared" si="76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77">SUM(D$482)</f>
        <v>1.3034869240348693E-2</v>
      </c>
      <c r="E862" s="1120">
        <f t="shared" si="77"/>
        <v>1.3034869240348693E-2</v>
      </c>
      <c r="F862" s="1120">
        <f t="shared" si="77"/>
        <v>1.3034869240348693E-2</v>
      </c>
      <c r="G862" s="940"/>
      <c r="H862" s="1120">
        <f>SUM(H$482)</f>
        <v>6.8499749728887149E-3</v>
      </c>
      <c r="I862" s="1120">
        <f t="shared" ref="I862:K862" si="78">SUM(I$482)</f>
        <v>6.8499749728887149E-3</v>
      </c>
      <c r="J862" s="1120">
        <f t="shared" si="78"/>
        <v>6.8499749728887149E-3</v>
      </c>
      <c r="K862" s="1120">
        <f t="shared" si="78"/>
        <v>6.8499749728887149E-3</v>
      </c>
      <c r="L862" s="940"/>
      <c r="M862" s="1120">
        <f>SUM(M$482)</f>
        <v>-6.1848942674599785E-3</v>
      </c>
      <c r="N862" s="1120">
        <f t="shared" ref="N862:P862" si="79">SUM(N$482)</f>
        <v>-6.1848942674599785E-3</v>
      </c>
      <c r="O862" s="1120">
        <f t="shared" si="79"/>
        <v>-6.1848942674599785E-3</v>
      </c>
      <c r="P862" s="1120">
        <f t="shared" si="79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80">SUM(D$491)</f>
        <v>0</v>
      </c>
      <c r="E863" s="1120">
        <f t="shared" si="80"/>
        <v>0.177378500622665</v>
      </c>
      <c r="F863" s="1120">
        <f t="shared" si="80"/>
        <v>0.177378500622665</v>
      </c>
      <c r="G863" s="940"/>
      <c r="H863" s="1120">
        <f>SUM(H$491)</f>
        <v>0.15239060633791646</v>
      </c>
      <c r="I863" s="1120">
        <f t="shared" ref="I863:K863" si="81">SUM(I$491)</f>
        <v>0.15239060633791646</v>
      </c>
      <c r="J863" s="1120">
        <f t="shared" si="81"/>
        <v>0.15239060633791646</v>
      </c>
      <c r="K863" s="1120">
        <f t="shared" si="81"/>
        <v>0.15239060633791646</v>
      </c>
      <c r="L863" s="940"/>
      <c r="M863" s="1120">
        <f>SUM(M$491)</f>
        <v>0.15239060633791646</v>
      </c>
      <c r="N863" s="1120">
        <f t="shared" ref="N863:P863" si="82">SUM(N$491)</f>
        <v>0.15239060633791646</v>
      </c>
      <c r="O863" s="1120">
        <f t="shared" si="82"/>
        <v>-2.4987894284748541E-2</v>
      </c>
      <c r="P863" s="1120">
        <f t="shared" si="82"/>
        <v>-2.4987894284748541E-2</v>
      </c>
      <c r="Q863" s="1025" t="str">
        <f>$Q$493</f>
        <v>fpl</v>
      </c>
      <c r="R863" s="44" t="str">
        <f t="shared" ref="R863:R887" si="8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84">SUM(D$500)</f>
        <v>0</v>
      </c>
      <c r="E864" s="1120">
        <f t="shared" si="84"/>
        <v>0</v>
      </c>
      <c r="F864" s="1120">
        <f t="shared" si="84"/>
        <v>0</v>
      </c>
      <c r="G864" s="940"/>
      <c r="H864" s="1120">
        <f>SUM(H$500)</f>
        <v>4.0039884208984376E-2</v>
      </c>
      <c r="I864" s="1120">
        <f t="shared" ref="I864:K864" si="85">SUM(I$500)</f>
        <v>4.0039884208984376E-2</v>
      </c>
      <c r="J864" s="1120">
        <f t="shared" si="85"/>
        <v>4.0039884208984376E-2</v>
      </c>
      <c r="K864" s="1120">
        <f t="shared" si="85"/>
        <v>4.0039884208984376E-2</v>
      </c>
      <c r="L864" s="940"/>
      <c r="M864" s="1120">
        <f>SUM(M$500)</f>
        <v>4.0039884208984376E-2</v>
      </c>
      <c r="N864" s="1120">
        <f t="shared" ref="N864:P864" si="86">SUM(N$500)</f>
        <v>4.0039884208984376E-2</v>
      </c>
      <c r="O864" s="1120">
        <f t="shared" si="86"/>
        <v>4.0039884208984376E-2</v>
      </c>
      <c r="P864" s="1120">
        <f t="shared" si="86"/>
        <v>4.0039884208984376E-2</v>
      </c>
      <c r="Q864" s="1025" t="str">
        <f>$Q$502</f>
        <v>fpl</v>
      </c>
      <c r="R864" s="44" t="str">
        <f t="shared" si="8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87">SUM(D$506)</f>
        <v>0</v>
      </c>
      <c r="E865" s="1120">
        <f t="shared" si="87"/>
        <v>0</v>
      </c>
      <c r="F865" s="1120">
        <f t="shared" si="87"/>
        <v>0</v>
      </c>
      <c r="G865" s="940"/>
      <c r="H865" s="1120">
        <f>SUM(H$506)</f>
        <v>2.0254077046125731E-2</v>
      </c>
      <c r="I865" s="1120">
        <f t="shared" ref="I865:K865" si="88">SUM(I$506)</f>
        <v>2.0254077046125731E-2</v>
      </c>
      <c r="J865" s="1120">
        <f t="shared" si="88"/>
        <v>2.0254077046125731E-2</v>
      </c>
      <c r="K865" s="1120">
        <f t="shared" si="88"/>
        <v>2.0254077046125731E-2</v>
      </c>
      <c r="L865" s="940"/>
      <c r="M865" s="1120">
        <f>SUM(M$506)</f>
        <v>2.0254077046125731E-2</v>
      </c>
      <c r="N865" s="1120">
        <f t="shared" ref="N865:P865" si="89">SUM(N$506)</f>
        <v>2.0254077046125731E-2</v>
      </c>
      <c r="O865" s="1120">
        <f t="shared" si="89"/>
        <v>2.0254077046125731E-2</v>
      </c>
      <c r="P865" s="1120">
        <f t="shared" si="89"/>
        <v>2.0254077046125731E-2</v>
      </c>
      <c r="Q865" s="1025" t="str">
        <f>$Q$508</f>
        <v>fpl</v>
      </c>
      <c r="R865" s="44" t="str">
        <f t="shared" si="8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90">SUM(D$512)</f>
        <v>7.0388293897882939E-2</v>
      </c>
      <c r="E866" s="1120">
        <f t="shared" si="90"/>
        <v>7.0388293897882939E-2</v>
      </c>
      <c r="F866" s="1120">
        <f t="shared" si="90"/>
        <v>7.0388293897882939E-2</v>
      </c>
      <c r="G866" s="940"/>
      <c r="H866" s="1120">
        <f>SUM(H$512)</f>
        <v>1.3335009323731963E-2</v>
      </c>
      <c r="I866" s="1120">
        <f t="shared" ref="I866:K866" si="91">SUM(I$512)</f>
        <v>1.3335009323731963E-2</v>
      </c>
      <c r="J866" s="1120">
        <f t="shared" si="91"/>
        <v>1.3335009323731963E-2</v>
      </c>
      <c r="K866" s="1120">
        <f t="shared" si="91"/>
        <v>1.3335009323731963E-2</v>
      </c>
      <c r="L866" s="940"/>
      <c r="M866" s="1120">
        <f>SUM(M$512)</f>
        <v>-5.7053284574150973E-2</v>
      </c>
      <c r="N866" s="1120">
        <f t="shared" ref="N866:P866" si="92">SUM(N$512)</f>
        <v>-5.7053284574150973E-2</v>
      </c>
      <c r="O866" s="1120">
        <f t="shared" si="92"/>
        <v>-5.7053284574150973E-2</v>
      </c>
      <c r="P866" s="1120">
        <f t="shared" si="92"/>
        <v>-5.7053284574150973E-2</v>
      </c>
      <c r="Q866" s="1204" t="str">
        <f>$Q$514</f>
        <v>fpl</v>
      </c>
      <c r="R866" s="44" t="str">
        <f t="shared" si="8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93">SUM(D$518)</f>
        <v>7.8209215442092153E-2</v>
      </c>
      <c r="E867" s="1120">
        <f t="shared" si="93"/>
        <v>7.8209215442092153E-2</v>
      </c>
      <c r="F867" s="1120">
        <f t="shared" si="93"/>
        <v>7.8209215442092153E-2</v>
      </c>
      <c r="G867" s="940"/>
      <c r="H867" s="1120">
        <f>SUM(H$518)</f>
        <v>6.9223060183329313E-2</v>
      </c>
      <c r="I867" s="1120">
        <f t="shared" ref="I867:K867" si="94">SUM(I$518)</f>
        <v>6.9223060183329313E-2</v>
      </c>
      <c r="J867" s="1120">
        <f t="shared" si="94"/>
        <v>6.9223060183329313E-2</v>
      </c>
      <c r="K867" s="1120">
        <f t="shared" si="94"/>
        <v>6.9223060183329313E-2</v>
      </c>
      <c r="L867" s="940"/>
      <c r="M867" s="1120">
        <f>SUM(M$518)</f>
        <v>-8.9861552587628402E-3</v>
      </c>
      <c r="N867" s="1120">
        <f t="shared" ref="N867:P867" si="95">SUM(N$518)</f>
        <v>-8.9861552587628402E-3</v>
      </c>
      <c r="O867" s="1120">
        <f t="shared" si="95"/>
        <v>-8.9861552587628402E-3</v>
      </c>
      <c r="P867" s="1120">
        <f t="shared" si="95"/>
        <v>-8.9861552587628402E-3</v>
      </c>
      <c r="Q867" s="1025" t="str">
        <f>$Q$520</f>
        <v>fpl</v>
      </c>
      <c r="R867" s="44" t="str">
        <f t="shared" si="8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96">SUM(D$524)</f>
        <v>0</v>
      </c>
      <c r="E868" s="1120">
        <f t="shared" si="96"/>
        <v>0</v>
      </c>
      <c r="F868" s="1120">
        <f t="shared" si="96"/>
        <v>0</v>
      </c>
      <c r="G868" s="940"/>
      <c r="H868" s="1120">
        <f>SUM(H$524)</f>
        <v>4.1863769079100461E-3</v>
      </c>
      <c r="I868" s="1120">
        <f t="shared" ref="I868:K868" si="97">SUM(I$524)</f>
        <v>4.1863769079100461E-3</v>
      </c>
      <c r="J868" s="1120">
        <f t="shared" si="97"/>
        <v>4.1863769079100461E-3</v>
      </c>
      <c r="K868" s="1120">
        <f t="shared" si="97"/>
        <v>4.1863769079100461E-3</v>
      </c>
      <c r="L868" s="940"/>
      <c r="M868" s="1120">
        <f>SUM(M$524)</f>
        <v>4.1863769079100461E-3</v>
      </c>
      <c r="N868" s="1120">
        <f t="shared" ref="N868:P868" si="98">SUM(N$524)</f>
        <v>4.1863769079100461E-3</v>
      </c>
      <c r="O868" s="1120">
        <f t="shared" si="98"/>
        <v>4.1863769079100461E-3</v>
      </c>
      <c r="P868" s="1120">
        <f t="shared" si="98"/>
        <v>4.1863769079100461E-3</v>
      </c>
      <c r="Q868" s="1025" t="str">
        <f>$Q$526</f>
        <v>fpl</v>
      </c>
      <c r="R868" s="44" t="str">
        <f t="shared" si="8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99">SUM(D$530)</f>
        <v>5.0343561643835608E-3</v>
      </c>
      <c r="E869" s="1120">
        <f t="shared" si="99"/>
        <v>6.8650311332503098E-3</v>
      </c>
      <c r="F869" s="1120">
        <f t="shared" si="99"/>
        <v>6.8650311332503098E-3</v>
      </c>
      <c r="G869" s="940"/>
      <c r="H869" s="1120">
        <f>SUM(H$530)</f>
        <v>6.6514941164040114E-3</v>
      </c>
      <c r="I869" s="1120">
        <f t="shared" ref="I869:K869" si="100">SUM(I$530)</f>
        <v>6.6514941164040114E-3</v>
      </c>
      <c r="J869" s="1120">
        <f t="shared" si="100"/>
        <v>6.6514941164040114E-3</v>
      </c>
      <c r="K869" s="1120">
        <f t="shared" si="100"/>
        <v>6.6514941164040114E-3</v>
      </c>
      <c r="L869" s="940"/>
      <c r="M869" s="1120">
        <f>SUM(M$530)</f>
        <v>1.6171379520204506E-3</v>
      </c>
      <c r="N869" s="1120">
        <f t="shared" ref="N869:P869" si="101">SUM(N$530)</f>
        <v>1.6171379520204506E-3</v>
      </c>
      <c r="O869" s="1120">
        <f t="shared" si="101"/>
        <v>-2.1353701684629842E-4</v>
      </c>
      <c r="P869" s="1120">
        <f t="shared" si="101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102">SUM(D$536)</f>
        <v>1.8683312577833126E-2</v>
      </c>
      <c r="E870" s="1120">
        <f t="shared" si="102"/>
        <v>2.802496886674969E-2</v>
      </c>
      <c r="F870" s="1120">
        <f t="shared" si="102"/>
        <v>4.110328767123287E-2</v>
      </c>
      <c r="G870" s="940"/>
      <c r="H870" s="1120">
        <f>SUM(H$536)</f>
        <v>6.5236465135985258E-2</v>
      </c>
      <c r="I870" s="1120">
        <f t="shared" ref="I870:K870" si="103">SUM(I$536)</f>
        <v>6.5236465135985258E-2</v>
      </c>
      <c r="J870" s="1120">
        <f t="shared" si="103"/>
        <v>6.5236465135985258E-2</v>
      </c>
      <c r="K870" s="1120">
        <f t="shared" si="103"/>
        <v>6.5236465135985258E-2</v>
      </c>
      <c r="L870" s="940"/>
      <c r="M870" s="1120">
        <f>SUM(M$536)</f>
        <v>4.6553152558152136E-2</v>
      </c>
      <c r="N870" s="1120">
        <f t="shared" ref="N870:P870" si="104">SUM(N$536)</f>
        <v>4.6553152558152136E-2</v>
      </c>
      <c r="O870" s="1120">
        <f t="shared" si="104"/>
        <v>3.7211496269235568E-2</v>
      </c>
      <c r="P870" s="1120">
        <f t="shared" si="104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05">SUM(D$542)</f>
        <v>2.0421295143212951E-2</v>
      </c>
      <c r="E871" s="1120">
        <f t="shared" si="105"/>
        <v>2.8589813200498131E-2</v>
      </c>
      <c r="F871" s="1120">
        <f t="shared" si="105"/>
        <v>4.0842590286425902E-2</v>
      </c>
      <c r="G871" s="940"/>
      <c r="H871" s="1120">
        <f>SUM(H$542)</f>
        <v>1.0484878246657239E-2</v>
      </c>
      <c r="I871" s="1120">
        <f t="shared" ref="I871:K871" si="106">SUM(I$542)</f>
        <v>1.0484878246657239E-2</v>
      </c>
      <c r="J871" s="1120">
        <f t="shared" si="106"/>
        <v>1.0484878246657239E-2</v>
      </c>
      <c r="K871" s="1120">
        <f t="shared" si="106"/>
        <v>1.0484878246657239E-2</v>
      </c>
      <c r="L871" s="940"/>
      <c r="M871" s="1120">
        <f>SUM(M$542)</f>
        <v>-9.9364168965557116E-3</v>
      </c>
      <c r="N871" s="1120">
        <f t="shared" ref="N871:P871" si="107">SUM(N$542)</f>
        <v>-9.9364168965557116E-3</v>
      </c>
      <c r="O871" s="1120">
        <f t="shared" si="107"/>
        <v>-1.8104934953840891E-2</v>
      </c>
      <c r="P871" s="1120">
        <f t="shared" si="107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08">SUM(D$548)</f>
        <v>0</v>
      </c>
      <c r="E872" s="1120">
        <f t="shared" si="108"/>
        <v>0</v>
      </c>
      <c r="F872" s="1120">
        <f t="shared" si="108"/>
        <v>0</v>
      </c>
      <c r="G872" s="940"/>
      <c r="H872" s="1120">
        <f>SUM(H$548)</f>
        <v>4.7146460909842768E-3</v>
      </c>
      <c r="I872" s="1120">
        <f t="shared" ref="I872:K872" si="109">SUM(I$548)</f>
        <v>4.7146460909842768E-3</v>
      </c>
      <c r="J872" s="1120">
        <f t="shared" si="109"/>
        <v>4.7146460909842768E-3</v>
      </c>
      <c r="K872" s="1120">
        <f t="shared" si="109"/>
        <v>4.7146460909842768E-3</v>
      </c>
      <c r="L872" s="940"/>
      <c r="M872" s="1120">
        <f>SUM(M$548)</f>
        <v>4.7146460909842768E-3</v>
      </c>
      <c r="N872" s="1120">
        <f t="shared" ref="N872:P872" si="110">SUM(N$548)</f>
        <v>4.7146460909842768E-3</v>
      </c>
      <c r="O872" s="1120">
        <f t="shared" si="110"/>
        <v>4.7146460909842768E-3</v>
      </c>
      <c r="P872" s="1120">
        <f t="shared" si="110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11">SUM(D$554)</f>
        <v>8.211967621419675E-3</v>
      </c>
      <c r="E873" s="1120">
        <f t="shared" si="111"/>
        <v>0</v>
      </c>
      <c r="F873" s="1120">
        <f t="shared" si="111"/>
        <v>0</v>
      </c>
      <c r="G873" s="940"/>
      <c r="H873" s="1120">
        <f>SUM(H$554)</f>
        <v>2.3294279928963196E-3</v>
      </c>
      <c r="I873" s="1120">
        <f t="shared" ref="I873:K873" si="112">SUM(I$554)</f>
        <v>2.3294279928963196E-3</v>
      </c>
      <c r="J873" s="1120">
        <f t="shared" si="112"/>
        <v>2.3294279928963196E-3</v>
      </c>
      <c r="K873" s="1120">
        <f t="shared" si="112"/>
        <v>2.3294279928963196E-3</v>
      </c>
      <c r="L873" s="940"/>
      <c r="M873" s="1120">
        <f>SUM(M$554)</f>
        <v>-6.490833526406295E-3</v>
      </c>
      <c r="N873" s="1120">
        <f t="shared" ref="N873:P873" si="113">SUM(N$554)</f>
        <v>-5.8825396285233558E-3</v>
      </c>
      <c r="O873" s="1120">
        <f t="shared" si="113"/>
        <v>2.3294279928963196E-3</v>
      </c>
      <c r="P873" s="1120">
        <f t="shared" si="113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14">SUM(D$560)</f>
        <v>0</v>
      </c>
      <c r="E874" s="1120">
        <f t="shared" si="114"/>
        <v>0</v>
      </c>
      <c r="F874" s="1120">
        <f t="shared" si="114"/>
        <v>0</v>
      </c>
      <c r="G874" s="940"/>
      <c r="H874" s="1120">
        <f>SUM(H$560)</f>
        <v>1.1905204609130788E-3</v>
      </c>
      <c r="I874" s="1120">
        <f t="shared" ref="I874:K874" si="115">SUM(I$560)</f>
        <v>1.1905204609130788E-3</v>
      </c>
      <c r="J874" s="1120">
        <f t="shared" si="115"/>
        <v>1.1905204609130788E-3</v>
      </c>
      <c r="K874" s="1120">
        <f t="shared" si="115"/>
        <v>1.1905204609130788E-3</v>
      </c>
      <c r="L874" s="940"/>
      <c r="M874" s="1120">
        <f>SUM(M$560)</f>
        <v>1.1905204609130788E-3</v>
      </c>
      <c r="N874" s="1120">
        <f t="shared" ref="N874:P874" si="116">SUM(N$560)</f>
        <v>1.1905204609130788E-3</v>
      </c>
      <c r="O874" s="1120">
        <f t="shared" si="116"/>
        <v>1.1905204609130788E-3</v>
      </c>
      <c r="P874" s="1120">
        <f t="shared" si="116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17">SUM(D$566)</f>
        <v>0</v>
      </c>
      <c r="E875" s="1120">
        <f t="shared" si="117"/>
        <v>0</v>
      </c>
      <c r="F875" s="1120">
        <f t="shared" si="117"/>
        <v>0</v>
      </c>
      <c r="G875" s="940"/>
      <c r="H875" s="1120">
        <f>SUM(H$566)</f>
        <v>2.54315563055953E-3</v>
      </c>
      <c r="I875" s="1120">
        <f t="shared" ref="I875:K875" si="118">SUM(I$566)</f>
        <v>2.54315563055953E-3</v>
      </c>
      <c r="J875" s="1120">
        <f t="shared" si="118"/>
        <v>2.54315563055953E-3</v>
      </c>
      <c r="K875" s="1120">
        <f t="shared" si="118"/>
        <v>2.54315563055953E-3</v>
      </c>
      <c r="L875" s="940"/>
      <c r="M875" s="1120">
        <f>SUM(M$566)</f>
        <v>2.54315563055953E-3</v>
      </c>
      <c r="N875" s="1120">
        <f t="shared" ref="N875:P875" si="119">SUM(N$566)</f>
        <v>2.54315563055953E-3</v>
      </c>
      <c r="O875" s="1120">
        <f t="shared" si="119"/>
        <v>2.54315563055953E-3</v>
      </c>
      <c r="P875" s="1120">
        <f t="shared" si="119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20">SUM(D$572)</f>
        <v>0</v>
      </c>
      <c r="E876" s="1120">
        <f t="shared" si="120"/>
        <v>0</v>
      </c>
      <c r="F876" s="1120">
        <f t="shared" si="120"/>
        <v>0</v>
      </c>
      <c r="G876" s="940"/>
      <c r="H876" s="1120">
        <f>SUM(H$572)</f>
        <v>6.4452444981512973E-3</v>
      </c>
      <c r="I876" s="1120">
        <f t="shared" ref="I876:K876" si="121">SUM(I$572)</f>
        <v>6.4452444981512973E-3</v>
      </c>
      <c r="J876" s="1120">
        <f t="shared" si="121"/>
        <v>6.4452444981512973E-3</v>
      </c>
      <c r="K876" s="1120">
        <f t="shared" si="121"/>
        <v>6.4452444981512973E-3</v>
      </c>
      <c r="L876" s="940"/>
      <c r="M876" s="1120">
        <f>SUM(M$572)</f>
        <v>6.4452444981512973E-3</v>
      </c>
      <c r="N876" s="1120">
        <f t="shared" ref="N876:P876" si="122">SUM(N$572)</f>
        <v>6.4452444981512973E-3</v>
      </c>
      <c r="O876" s="1120">
        <f t="shared" si="122"/>
        <v>6.4452444981512973E-3</v>
      </c>
      <c r="P876" s="1120">
        <f t="shared" si="122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23">SUM(D$578)</f>
        <v>0</v>
      </c>
      <c r="E877" s="1120">
        <f t="shared" si="123"/>
        <v>0</v>
      </c>
      <c r="F877" s="1120">
        <f t="shared" si="123"/>
        <v>0</v>
      </c>
      <c r="G877" s="940"/>
      <c r="H877" s="1120">
        <f>SUM(H$578)</f>
        <v>1.7428331246525798E-3</v>
      </c>
      <c r="I877" s="1120">
        <f t="shared" ref="I877:K877" si="124">SUM(I$578)</f>
        <v>1.7428331246525798E-3</v>
      </c>
      <c r="J877" s="1120">
        <f t="shared" si="124"/>
        <v>1.7428331246525798E-3</v>
      </c>
      <c r="K877" s="1120">
        <f t="shared" si="124"/>
        <v>1.7428331246525798E-3</v>
      </c>
      <c r="L877" s="940"/>
      <c r="M877" s="1120">
        <f>SUM(M$578)</f>
        <v>1.7428331246525798E-3</v>
      </c>
      <c r="N877" s="1120">
        <f t="shared" ref="N877:P877" si="125">SUM(N$578)</f>
        <v>1.7428331246525798E-3</v>
      </c>
      <c r="O877" s="1120">
        <f t="shared" si="125"/>
        <v>1.7428331246525798E-3</v>
      </c>
      <c r="P877" s="1120">
        <f t="shared" si="125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26">SUM(D$584)</f>
        <v>0</v>
      </c>
      <c r="E878" s="1120">
        <f t="shared" si="126"/>
        <v>0</v>
      </c>
      <c r="F878" s="1120">
        <f t="shared" si="126"/>
        <v>0</v>
      </c>
      <c r="G878" s="940"/>
      <c r="H878" s="1120">
        <f>SUM(H$584)</f>
        <v>1.8095648906604107E-2</v>
      </c>
      <c r="I878" s="1120">
        <f t="shared" ref="I878:K878" si="127">SUM(I$584)</f>
        <v>1.8095648906604107E-2</v>
      </c>
      <c r="J878" s="1120">
        <f t="shared" si="127"/>
        <v>1.8095648906604107E-2</v>
      </c>
      <c r="K878" s="1120">
        <f t="shared" si="127"/>
        <v>1.8095648906604107E-2</v>
      </c>
      <c r="L878" s="940"/>
      <c r="M878" s="1120">
        <f>SUM(M$584)</f>
        <v>1.8095648906604107E-2</v>
      </c>
      <c r="N878" s="1120">
        <f t="shared" ref="N878:P878" si="128">SUM(N$584)</f>
        <v>1.8095648906604107E-2</v>
      </c>
      <c r="O878" s="1120">
        <f t="shared" si="128"/>
        <v>1.8095648906604107E-2</v>
      </c>
      <c r="P878" s="1120">
        <f t="shared" si="12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29">SUM(D$590)</f>
        <v>0</v>
      </c>
      <c r="E879" s="1120">
        <f t="shared" si="129"/>
        <v>0</v>
      </c>
      <c r="F879" s="1120">
        <f t="shared" si="129"/>
        <v>0</v>
      </c>
      <c r="G879" s="940"/>
      <c r="H879" s="1120">
        <f>SUM(H$590)</f>
        <v>1.8469185559062884E-3</v>
      </c>
      <c r="I879" s="1120">
        <f t="shared" ref="I879:K879" si="130">SUM(I$590)</f>
        <v>1.8469185559062884E-3</v>
      </c>
      <c r="J879" s="1120">
        <f t="shared" si="130"/>
        <v>1.8469185559062884E-3</v>
      </c>
      <c r="K879" s="1120">
        <f t="shared" si="130"/>
        <v>1.8469185559062884E-3</v>
      </c>
      <c r="L879" s="940"/>
      <c r="M879" s="1120">
        <f>SUM(M$590)</f>
        <v>1.8469185559062884E-3</v>
      </c>
      <c r="N879" s="1120">
        <f t="shared" ref="N879:P879" si="131">SUM(N$590)</f>
        <v>1.8469185559062884E-3</v>
      </c>
      <c r="O879" s="1120">
        <f t="shared" si="131"/>
        <v>1.8469185559062884E-3</v>
      </c>
      <c r="P879" s="1120">
        <f t="shared" si="131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32">SUM(D$597)</f>
        <v>0</v>
      </c>
      <c r="E880" s="1120">
        <f t="shared" si="132"/>
        <v>0</v>
      </c>
      <c r="F880" s="1120">
        <f t="shared" si="132"/>
        <v>0</v>
      </c>
      <c r="G880" s="940"/>
      <c r="H880" s="1120">
        <f>SUM(H$597)</f>
        <v>0</v>
      </c>
      <c r="I880" s="1120">
        <f t="shared" ref="I880:K880" si="133">SUM(I$597)</f>
        <v>0</v>
      </c>
      <c r="J880" s="1120">
        <f t="shared" si="133"/>
        <v>0</v>
      </c>
      <c r="K880" s="1120">
        <f t="shared" si="133"/>
        <v>0</v>
      </c>
      <c r="L880" s="940"/>
      <c r="M880" s="1120">
        <f>SUM(M$597)</f>
        <v>0</v>
      </c>
      <c r="N880" s="1120">
        <f t="shared" ref="N880:P880" si="134">SUM(N$597)</f>
        <v>0</v>
      </c>
      <c r="O880" s="1120">
        <f t="shared" si="134"/>
        <v>0</v>
      </c>
      <c r="P880" s="1120">
        <f t="shared" si="134"/>
        <v>0</v>
      </c>
      <c r="Q880" s="1025" t="str">
        <f>$Q$599</f>
        <v>des</v>
      </c>
      <c r="R880" s="44" t="str">
        <f t="shared" si="8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35">SUM(D$603)</f>
        <v>0</v>
      </c>
      <c r="E881" s="1120">
        <f t="shared" si="135"/>
        <v>0</v>
      </c>
      <c r="F881" s="1120">
        <f t="shared" si="135"/>
        <v>0</v>
      </c>
      <c r="G881" s="940"/>
      <c r="H881" s="1120">
        <f>SUM(H$603)</f>
        <v>1.6008841220431971E-3</v>
      </c>
      <c r="I881" s="1120">
        <f t="shared" ref="I881:K881" si="136">SUM(I$603)</f>
        <v>1.6008841220431971E-3</v>
      </c>
      <c r="J881" s="1120">
        <f t="shared" si="136"/>
        <v>1.6008841220431971E-3</v>
      </c>
      <c r="K881" s="1120">
        <f t="shared" si="136"/>
        <v>1.6008841220431971E-3</v>
      </c>
      <c r="L881" s="940"/>
      <c r="M881" s="1120">
        <f>SUM(M$603)</f>
        <v>1.6008841220431971E-3</v>
      </c>
      <c r="N881" s="1120">
        <f t="shared" ref="N881:P881" si="137">SUM(N$603)</f>
        <v>1.6008841220431971E-3</v>
      </c>
      <c r="O881" s="1120">
        <f t="shared" si="137"/>
        <v>1.6008841220431971E-3</v>
      </c>
      <c r="P881" s="1120">
        <f t="shared" si="137"/>
        <v>1.6008841220431971E-3</v>
      </c>
      <c r="Q881" s="1025" t="str">
        <f>$Q$605</f>
        <v>fpl</v>
      </c>
      <c r="R881" s="44" t="str">
        <f t="shared" si="8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38">SUM(D$609)</f>
        <v>0</v>
      </c>
      <c r="E882" s="1120">
        <f t="shared" si="138"/>
        <v>0</v>
      </c>
      <c r="F882" s="1120">
        <f t="shared" si="138"/>
        <v>0</v>
      </c>
      <c r="G882" s="940"/>
      <c r="H882" s="1120">
        <f>SUM(H$609)</f>
        <v>7.37994481039518E-3</v>
      </c>
      <c r="I882" s="1120">
        <f t="shared" ref="I882:K882" si="139">SUM(I$609)</f>
        <v>7.37994481039518E-3</v>
      </c>
      <c r="J882" s="1120">
        <f t="shared" si="139"/>
        <v>7.37994481039518E-3</v>
      </c>
      <c r="K882" s="1120">
        <f t="shared" si="139"/>
        <v>7.37994481039518E-3</v>
      </c>
      <c r="L882" s="940"/>
      <c r="M882" s="1120">
        <f>SUM(M$609)</f>
        <v>7.37994481039518E-3</v>
      </c>
      <c r="N882" s="1120">
        <f t="shared" ref="N882:P882" si="140">SUM(N$609)</f>
        <v>7.37994481039518E-3</v>
      </c>
      <c r="O882" s="1120">
        <f t="shared" si="140"/>
        <v>7.37994481039518E-3</v>
      </c>
      <c r="P882" s="1120">
        <f t="shared" si="140"/>
        <v>7.37994481039518E-3</v>
      </c>
      <c r="Q882" s="1025" t="str">
        <f>$Q$611</f>
        <v>fpl</v>
      </c>
      <c r="R882" s="44" t="str">
        <f t="shared" si="8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41">SUM(D$615)</f>
        <v>0</v>
      </c>
      <c r="E883" s="1120">
        <f t="shared" si="141"/>
        <v>0</v>
      </c>
      <c r="F883" s="1120">
        <f t="shared" si="141"/>
        <v>0</v>
      </c>
      <c r="G883" s="940"/>
      <c r="H883" s="1120">
        <f>SUM(H$615)</f>
        <v>0</v>
      </c>
      <c r="I883" s="1120">
        <f t="shared" ref="I883:K883" si="142">SUM(I$615)</f>
        <v>0</v>
      </c>
      <c r="J883" s="1120">
        <f t="shared" si="142"/>
        <v>0</v>
      </c>
      <c r="K883" s="1120">
        <f t="shared" si="142"/>
        <v>0</v>
      </c>
      <c r="L883" s="940"/>
      <c r="M883" s="1120">
        <f>SUM(M$615)</f>
        <v>0</v>
      </c>
      <c r="N883" s="1120">
        <f t="shared" ref="N883:P883" si="143">SUM(N$615)</f>
        <v>0</v>
      </c>
      <c r="O883" s="1120">
        <f t="shared" si="143"/>
        <v>0</v>
      </c>
      <c r="P883" s="1120">
        <f t="shared" si="143"/>
        <v>0</v>
      </c>
      <c r="Q883" s="1025" t="str">
        <f>$Q$617</f>
        <v>des</v>
      </c>
      <c r="R883" s="44" t="str">
        <f t="shared" si="8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44">SUM(D$621)</f>
        <v>0</v>
      </c>
      <c r="E884" s="1120">
        <f t="shared" si="144"/>
        <v>0</v>
      </c>
      <c r="F884" s="1120">
        <f t="shared" si="144"/>
        <v>0</v>
      </c>
      <c r="G884" s="940"/>
      <c r="H884" s="1120">
        <f>SUM(H$621)</f>
        <v>8.4622877826154574E-3</v>
      </c>
      <c r="I884" s="1120">
        <f t="shared" ref="I884:K884" si="145">SUM(I$621)</f>
        <v>8.4622877826154574E-3</v>
      </c>
      <c r="J884" s="1120">
        <f t="shared" si="145"/>
        <v>8.4622877826154574E-3</v>
      </c>
      <c r="K884" s="1120">
        <f t="shared" si="145"/>
        <v>8.4622877826154574E-3</v>
      </c>
      <c r="L884" s="940"/>
      <c r="M884" s="1120">
        <f>SUM(M$621)</f>
        <v>8.4622877826154574E-3</v>
      </c>
      <c r="N884" s="1120">
        <f t="shared" ref="N884:P884" si="146">SUM(N$621)</f>
        <v>8.4622877826154574E-3</v>
      </c>
      <c r="O884" s="1120">
        <f t="shared" si="146"/>
        <v>8.4622877826154574E-3</v>
      </c>
      <c r="P884" s="1120">
        <f t="shared" si="146"/>
        <v>8.4622877826154574E-3</v>
      </c>
      <c r="Q884" s="1025" t="str">
        <f>$Q$623</f>
        <v>fpl</v>
      </c>
      <c r="R884" s="44" t="str">
        <f t="shared" si="8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47">SUM(D$627)</f>
        <v>0</v>
      </c>
      <c r="E885" s="1120">
        <f t="shared" si="147"/>
        <v>0</v>
      </c>
      <c r="F885" s="1120">
        <f t="shared" si="147"/>
        <v>0</v>
      </c>
      <c r="G885" s="940"/>
      <c r="H885" s="1120">
        <f>SUM(H$627)</f>
        <v>0</v>
      </c>
      <c r="I885" s="1120">
        <f t="shared" ref="I885:K885" si="148">SUM(I$627)</f>
        <v>0</v>
      </c>
      <c r="J885" s="1120">
        <f t="shared" si="148"/>
        <v>0</v>
      </c>
      <c r="K885" s="1120">
        <f t="shared" si="148"/>
        <v>0</v>
      </c>
      <c r="L885" s="940"/>
      <c r="M885" s="1120">
        <f>SUM(M$627)</f>
        <v>0</v>
      </c>
      <c r="N885" s="1120">
        <f t="shared" ref="N885:P885" si="149">SUM(N$627)</f>
        <v>0</v>
      </c>
      <c r="O885" s="1120">
        <f t="shared" si="149"/>
        <v>0</v>
      </c>
      <c r="P885" s="1120">
        <f t="shared" si="149"/>
        <v>0</v>
      </c>
      <c r="Q885" s="1025" t="str">
        <f>$Q$629</f>
        <v>des</v>
      </c>
      <c r="R885" s="44" t="str">
        <f t="shared" si="8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50">SUM(D$633)</f>
        <v>6.0134196762141955E-2</v>
      </c>
      <c r="E886" s="1120">
        <f t="shared" si="150"/>
        <v>6.0134196762141955E-2</v>
      </c>
      <c r="F886" s="1120">
        <f t="shared" si="150"/>
        <v>6.0134196762141955E-2</v>
      </c>
      <c r="G886" s="940"/>
      <c r="H886" s="1120">
        <f>SUM(H$633)</f>
        <v>0</v>
      </c>
      <c r="I886" s="1120">
        <f t="shared" ref="I886:K886" si="151">SUM(I$633)</f>
        <v>0</v>
      </c>
      <c r="J886" s="1120">
        <f t="shared" si="151"/>
        <v>0</v>
      </c>
      <c r="K886" s="1120">
        <f t="shared" si="151"/>
        <v>0</v>
      </c>
      <c r="L886" s="940"/>
      <c r="M886" s="1120">
        <f>SUM(M$633)</f>
        <v>-6.0134196762141955E-2</v>
      </c>
      <c r="N886" s="1120">
        <f t="shared" ref="N886:P886" si="152">SUM(N$633)</f>
        <v>-6.0134196762141955E-2</v>
      </c>
      <c r="O886" s="1120">
        <f t="shared" si="152"/>
        <v>-6.0134196762141955E-2</v>
      </c>
      <c r="P886" s="1120">
        <f t="shared" si="152"/>
        <v>-6.0134196762141955E-2</v>
      </c>
      <c r="Q886" s="1025" t="str">
        <f>$Q$635</f>
        <v>des</v>
      </c>
      <c r="R886" s="44" t="str">
        <f t="shared" si="83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53">SUM(D$640)</f>
        <v>0</v>
      </c>
      <c r="E887" s="1120">
        <f t="shared" si="153"/>
        <v>0</v>
      </c>
      <c r="F887" s="1120">
        <f t="shared" si="153"/>
        <v>0</v>
      </c>
      <c r="G887" s="940"/>
      <c r="H887" s="1120">
        <f>SUM(H$640)</f>
        <v>0</v>
      </c>
      <c r="I887" s="1120">
        <f t="shared" ref="I887:K887" si="154">SUM(I$640)</f>
        <v>0</v>
      </c>
      <c r="J887" s="1120">
        <f t="shared" si="154"/>
        <v>0</v>
      </c>
      <c r="K887" s="1120">
        <f t="shared" si="154"/>
        <v>0</v>
      </c>
      <c r="L887" s="940"/>
      <c r="M887" s="1120">
        <f>SUM(M$640)</f>
        <v>0</v>
      </c>
      <c r="N887" s="1120">
        <f t="shared" ref="N887:P887" si="155">SUM(N$640)</f>
        <v>0</v>
      </c>
      <c r="O887" s="1120">
        <f t="shared" si="155"/>
        <v>0</v>
      </c>
      <c r="P887" s="1120">
        <f t="shared" si="155"/>
        <v>0</v>
      </c>
      <c r="Q887" s="1025" t="str">
        <f>$Q$642</f>
        <v>dis</v>
      </c>
      <c r="R887" s="44" t="str">
        <f t="shared" si="8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1.2480448350563695</v>
      </c>
      <c r="D900" s="1120">
        <f>SUM($D$820:$D$899)</f>
        <v>1.3263900177047712</v>
      </c>
      <c r="E900" s="1120">
        <f>SUM($E$820:$E$899)</f>
        <v>1.4559870672412318</v>
      </c>
      <c r="F900" s="1120">
        <f>SUM($F$820:$F$899)</f>
        <v>1.6112009748100711</v>
      </c>
      <c r="G900" s="940"/>
      <c r="H900" s="1120">
        <f>SUM($H$820:$H$899)</f>
        <v>0.53624898292711809</v>
      </c>
      <c r="I900" s="1120">
        <f>SUM($I$820:$I$899)</f>
        <v>0.77024073607503551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0.19174828803297125</v>
      </c>
      <c r="N900" s="1120">
        <f>SUM($N$820:$N$899)</f>
        <v>0.24027786323706687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56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57">IF(MAX(C905:F905,H905:K905)&gt;0,S904+1,S904)</f>
        <v>0</v>
      </c>
      <c r="T905" s="46" t="str">
        <f t="shared" si="156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57"/>
        <v>0</v>
      </c>
      <c r="T906" s="46" t="str">
        <f t="shared" si="156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57"/>
        <v>0</v>
      </c>
      <c r="T907" s="46" t="str">
        <f t="shared" si="156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57"/>
        <v>0</v>
      </c>
      <c r="T908" s="46" t="str">
        <f t="shared" si="156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57"/>
        <v>0</v>
      </c>
      <c r="T909" s="46" t="str">
        <f t="shared" si="156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57"/>
        <v>0</v>
      </c>
      <c r="T910" s="46" t="str">
        <f t="shared" si="156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57"/>
        <v>0</v>
      </c>
      <c r="T911" s="46" t="str">
        <f t="shared" si="156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57"/>
        <v>0</v>
      </c>
      <c r="T912" s="46" t="str">
        <f t="shared" si="156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57"/>
        <v>0</v>
      </c>
      <c r="T913" s="46" t="str">
        <f t="shared" si="156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57"/>
        <v>0</v>
      </c>
      <c r="T914" s="46" t="str">
        <f t="shared" si="156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57"/>
        <v>0</v>
      </c>
      <c r="T915" s="46" t="str">
        <f t="shared" si="15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57"/>
        <v>0</v>
      </c>
      <c r="T916" s="46" t="str">
        <f t="shared" si="15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57"/>
        <v>0</v>
      </c>
      <c r="T917" s="46" t="str">
        <f t="shared" si="15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57"/>
        <v>0</v>
      </c>
      <c r="T918" s="46" t="str">
        <f t="shared" si="156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57"/>
        <v>0</v>
      </c>
      <c r="T919" s="46" t="str">
        <f t="shared" si="156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57"/>
        <v>0</v>
      </c>
      <c r="T920" s="46" t="str">
        <f t="shared" si="15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57"/>
        <v>0</v>
      </c>
      <c r="T921" s="46" t="str">
        <f t="shared" si="15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57"/>
        <v>0</v>
      </c>
      <c r="T922" s="46" t="str">
        <f t="shared" si="15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57"/>
        <v>0</v>
      </c>
      <c r="T923" s="46" t="str">
        <f t="shared" si="15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57"/>
        <v>1</v>
      </c>
      <c r="T924" s="46">
        <f t="shared" si="15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57"/>
        <v>1</v>
      </c>
      <c r="T925" s="46" t="str">
        <f t="shared" si="15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57"/>
        <v>2</v>
      </c>
      <c r="T926" s="46">
        <f t="shared" si="15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57"/>
        <v>2</v>
      </c>
      <c r="T927" s="46" t="str">
        <f t="shared" si="15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57"/>
        <v>2</v>
      </c>
      <c r="T928" s="46" t="str">
        <f t="shared" si="15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57"/>
        <v>3</v>
      </c>
      <c r="T929" s="46">
        <f t="shared" si="156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57"/>
        <v>3</v>
      </c>
      <c r="T930" s="46" t="str">
        <f t="shared" si="15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57"/>
        <v>4</v>
      </c>
      <c r="T931" s="46">
        <f t="shared" si="156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57"/>
        <v>5</v>
      </c>
      <c r="T932" s="46">
        <f t="shared" si="156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57"/>
        <v>5</v>
      </c>
      <c r="T933" s="46" t="str">
        <f t="shared" si="156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57"/>
        <v>5</v>
      </c>
      <c r="T934" s="46" t="str">
        <f t="shared" si="15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57"/>
        <v>5</v>
      </c>
      <c r="T935" s="46" t="str">
        <f t="shared" si="15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57"/>
        <v>5</v>
      </c>
      <c r="T936" s="46" t="str">
        <f t="shared" si="15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57"/>
        <v>6</v>
      </c>
      <c r="T937" s="46">
        <f t="shared" si="15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57"/>
        <v>6</v>
      </c>
      <c r="T938" s="46" t="str">
        <f t="shared" si="156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57"/>
        <v>7</v>
      </c>
      <c r="T939" s="46">
        <f t="shared" si="156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57"/>
        <v>7</v>
      </c>
      <c r="T940" s="46" t="str">
        <f t="shared" si="156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57"/>
        <v>7</v>
      </c>
      <c r="T941" s="46" t="str">
        <f t="shared" si="15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57"/>
        <v>7</v>
      </c>
      <c r="T942" s="46" t="str">
        <f t="shared" si="156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57"/>
        <v>7</v>
      </c>
      <c r="T943" s="46" t="str">
        <f t="shared" si="156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57"/>
        <v>8</v>
      </c>
      <c r="T944" s="46">
        <f t="shared" si="15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57"/>
        <v>8</v>
      </c>
      <c r="T945" s="46" t="str">
        <f t="shared" si="156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57"/>
        <v>8</v>
      </c>
      <c r="T946" s="46" t="str">
        <f t="shared" si="156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57"/>
        <v>9</v>
      </c>
      <c r="T947" s="46">
        <f t="shared" si="156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57"/>
        <v>9</v>
      </c>
      <c r="T948" s="46" t="str">
        <f t="shared" si="156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57"/>
        <v>9</v>
      </c>
      <c r="T949" s="46" t="str">
        <f t="shared" si="156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57"/>
        <v>9</v>
      </c>
      <c r="T950" s="46" t="str">
        <f t="shared" si="156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57"/>
        <v>9</v>
      </c>
      <c r="T951" s="46" t="str">
        <f t="shared" si="156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57"/>
        <v>9</v>
      </c>
      <c r="T952" s="46" t="str">
        <f t="shared" si="156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57"/>
        <v>9</v>
      </c>
      <c r="T953" s="46" t="str">
        <f t="shared" si="156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57"/>
        <v>9</v>
      </c>
      <c r="T954" s="46" t="str">
        <f t="shared" si="156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57"/>
        <v>9</v>
      </c>
      <c r="T955" s="46" t="str">
        <f t="shared" si="156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57"/>
        <v>9</v>
      </c>
      <c r="T956" s="46" t="str">
        <f t="shared" si="156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57"/>
        <v>9</v>
      </c>
      <c r="T957" s="46" t="str">
        <f t="shared" si="156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57"/>
        <v>9</v>
      </c>
      <c r="T958" s="46" t="str">
        <f t="shared" si="15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57"/>
        <v>9</v>
      </c>
      <c r="T959" s="46" t="str">
        <f t="shared" si="15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57"/>
        <v>9</v>
      </c>
      <c r="T960" s="46" t="str">
        <f t="shared" si="156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57"/>
        <v>9</v>
      </c>
      <c r="T961" s="46" t="str">
        <f t="shared" si="15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57"/>
        <v>9</v>
      </c>
      <c r="T962" s="46" t="str">
        <f t="shared" si="15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0</v>
      </c>
      <c r="I963" s="1368">
        <f>I445</f>
        <v>0</v>
      </c>
      <c r="J963" s="1368">
        <f>J445</f>
        <v>0</v>
      </c>
      <c r="K963" s="1368">
        <f>K445</f>
        <v>0</v>
      </c>
      <c r="L963" s="1366"/>
      <c r="M963" s="1368">
        <f>M445</f>
        <v>0</v>
      </c>
      <c r="N963" s="1368">
        <f>N445</f>
        <v>0</v>
      </c>
      <c r="O963" s="1368">
        <f>O445</f>
        <v>0</v>
      </c>
      <c r="P963" s="1368">
        <f>P445</f>
        <v>0</v>
      </c>
      <c r="R963" s="44">
        <v>29</v>
      </c>
      <c r="S963" s="46">
        <f t="shared" si="157"/>
        <v>9</v>
      </c>
      <c r="T963" s="46" t="str">
        <f t="shared" si="156"/>
        <v/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57"/>
        <v>9</v>
      </c>
      <c r="T964" s="46" t="str">
        <f t="shared" si="156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57"/>
        <v>9</v>
      </c>
      <c r="T965" s="46" t="str">
        <f t="shared" si="156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57"/>
        <v>9</v>
      </c>
      <c r="T966" s="46" t="str">
        <f t="shared" si="156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57"/>
        <v>9</v>
      </c>
      <c r="T967" s="46" t="str">
        <f t="shared" si="156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57"/>
        <v>9</v>
      </c>
      <c r="T968" s="46" t="str">
        <f t="shared" ref="T968:T983" si="158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59">IF(MAX(C969:F969,H969:K969)&gt;0,S968+1,S968)</f>
        <v>10</v>
      </c>
      <c r="T969" s="46">
        <f t="shared" si="158"/>
        <v>10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59"/>
        <v>10</v>
      </c>
      <c r="T970" s="46" t="str">
        <f t="shared" si="158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59"/>
        <v>10</v>
      </c>
      <c r="T971" s="46" t="str">
        <f t="shared" si="15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59"/>
        <v>10</v>
      </c>
      <c r="T972" s="46" t="str">
        <f t="shared" si="158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59"/>
        <v>10</v>
      </c>
      <c r="T973" s="46" t="str">
        <f t="shared" si="158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59"/>
        <v>10</v>
      </c>
      <c r="T974" s="46" t="str">
        <f t="shared" si="15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59"/>
        <v>11</v>
      </c>
      <c r="T975" s="46">
        <f t="shared" si="158"/>
        <v>11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59"/>
        <v>11</v>
      </c>
      <c r="T976" s="46" t="str">
        <f t="shared" si="15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59"/>
        <v>12</v>
      </c>
      <c r="T977" s="46">
        <f t="shared" si="158"/>
        <v>12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59"/>
        <v>12</v>
      </c>
      <c r="T978" s="46" t="str">
        <f t="shared" si="15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59"/>
        <v>13</v>
      </c>
      <c r="T979" s="46">
        <f t="shared" si="158"/>
        <v>13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59"/>
        <v>13</v>
      </c>
      <c r="T980" s="46" t="str">
        <f t="shared" si="15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59"/>
        <v>13</v>
      </c>
      <c r="T981" s="46" t="str">
        <f t="shared" si="15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59"/>
        <v>14</v>
      </c>
      <c r="T982" s="46">
        <f t="shared" si="158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59"/>
        <v>15</v>
      </c>
      <c r="T983" s="46">
        <f t="shared" si="158"/>
        <v>15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0</v>
      </c>
      <c r="I985" s="1107">
        <f>SUM($I$904:$I$984)</f>
        <v>3575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-1250</v>
      </c>
      <c r="N985" s="1107">
        <f>SUM($N$904:$N$984)</f>
        <v>-4475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60">SUM(D457,D466,D475,D484,D493,D502,D635)</f>
        <v>8580</v>
      </c>
      <c r="E988" s="789">
        <f t="shared" si="160"/>
        <v>16620</v>
      </c>
      <c r="F988" s="789">
        <f t="shared" si="160"/>
        <v>18420</v>
      </c>
      <c r="G988" s="1192"/>
      <c r="H988" s="789">
        <f>SUM(H457,H466,H475,H484,H493,H502,H635)</f>
        <v>5176.0149996857581</v>
      </c>
      <c r="I988" s="789">
        <f t="shared" ref="I988:K988" si="161">SUM(I457,I466,I475,I484,I493,I502,I635)</f>
        <v>5176.0149996857581</v>
      </c>
      <c r="J988" s="789">
        <f t="shared" si="161"/>
        <v>5176.0149996857581</v>
      </c>
      <c r="K988" s="789">
        <f t="shared" si="161"/>
        <v>5176.0149996857581</v>
      </c>
      <c r="L988" s="1192"/>
      <c r="M988" s="789">
        <f>SUM(M457,M466,M475,M484,M493,M502,M635)</f>
        <v>1936.0149996857581</v>
      </c>
      <c r="N988" s="789">
        <f t="shared" ref="N988:P988" si="162">SUM(N457,N466,N475,N484,N493,N502,N635)</f>
        <v>1936.0149996857581</v>
      </c>
      <c r="O988" s="789">
        <f t="shared" si="162"/>
        <v>-6103.9850003142428</v>
      </c>
      <c r="P988" s="789">
        <f t="shared" si="162"/>
        <v>-7903.9850003142428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63">SUM(D508,D514,D520,D526,D532,D538,D544,D550,D556,D562,D568,D574,D580,D586,D592,D605,D611,D623,D772:D773)</f>
        <v>6938</v>
      </c>
      <c r="E989" s="789">
        <f t="shared" si="163"/>
        <v>7853</v>
      </c>
      <c r="F989" s="789">
        <f t="shared" si="163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64">SUM(I508,I514,I520,I526,I532,I538,I544,I550,I556,I562,I568,I574,I580,I586,I592,I605,I611,I623,I772:I773)</f>
        <v>16743.113280336998</v>
      </c>
      <c r="J989" s="789">
        <f t="shared" si="164"/>
        <v>16743.113280336998</v>
      </c>
      <c r="K989" s="789">
        <f t="shared" si="164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65">SUM(N508,N514,N520,N526,N532,N538,N544,N550,N556,N562,N568,N574,N580,N586,N592,N605,N611,N623,N772:N773)</f>
        <v>9805.1132803369965</v>
      </c>
      <c r="O989" s="789">
        <f t="shared" si="165"/>
        <v>8890.1132803369965</v>
      </c>
      <c r="P989" s="789">
        <f t="shared" si="165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66">SUM(D599,D617,D629)</f>
        <v>0</v>
      </c>
      <c r="E990" s="789">
        <f t="shared" si="166"/>
        <v>0</v>
      </c>
      <c r="F990" s="789">
        <f t="shared" si="166"/>
        <v>0</v>
      </c>
      <c r="G990" s="1192"/>
      <c r="H990" s="789">
        <f>SUM(H599,H617,H629)</f>
        <v>0</v>
      </c>
      <c r="I990" s="789">
        <f t="shared" ref="I990:K990" si="167">SUM(I599,I617,I629)</f>
        <v>0</v>
      </c>
      <c r="J990" s="789">
        <f t="shared" si="167"/>
        <v>0</v>
      </c>
      <c r="K990" s="789">
        <f t="shared" si="167"/>
        <v>0</v>
      </c>
      <c r="L990" s="1192"/>
      <c r="M990" s="789">
        <f>SUM(M599,M617,M629)</f>
        <v>0</v>
      </c>
      <c r="N990" s="789">
        <f t="shared" ref="N990:P990" si="168">SUM(N599,N617,N629)</f>
        <v>0</v>
      </c>
      <c r="O990" s="789">
        <f t="shared" si="168"/>
        <v>0</v>
      </c>
      <c r="P990" s="789">
        <f t="shared" si="168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69">SUM(C642)</f>
        <v>0</v>
      </c>
      <c r="D991" s="789">
        <f t="shared" si="169"/>
        <v>0</v>
      </c>
      <c r="E991" s="789">
        <f t="shared" si="169"/>
        <v>0</v>
      </c>
      <c r="F991" s="789">
        <f t="shared" si="169"/>
        <v>0</v>
      </c>
      <c r="G991" s="1192"/>
      <c r="H991" s="789">
        <f t="shared" ref="H991:K991" si="170">SUM(H642)</f>
        <v>0</v>
      </c>
      <c r="I991" s="789">
        <f t="shared" si="170"/>
        <v>0</v>
      </c>
      <c r="J991" s="789">
        <f t="shared" si="170"/>
        <v>0</v>
      </c>
      <c r="K991" s="789">
        <f t="shared" si="170"/>
        <v>0</v>
      </c>
      <c r="L991" s="1192"/>
      <c r="M991" s="789">
        <f t="shared" ref="M991:P991" si="171">SUM(M642)</f>
        <v>0</v>
      </c>
      <c r="N991" s="789">
        <f t="shared" si="171"/>
        <v>0</v>
      </c>
      <c r="O991" s="789">
        <f t="shared" si="171"/>
        <v>0</v>
      </c>
      <c r="P991" s="789">
        <f t="shared" si="171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72">SUM(D774,D775,D776,D782:D783,D806)</f>
        <v>3739</v>
      </c>
      <c r="E992" s="789">
        <f t="shared" si="172"/>
        <v>3704</v>
      </c>
      <c r="F992" s="789">
        <f t="shared" si="172"/>
        <v>4717</v>
      </c>
      <c r="G992" s="1188"/>
      <c r="H992" s="789">
        <f>SUM(H774,H775,H776,H782:H783,H806)</f>
        <v>4453.5</v>
      </c>
      <c r="I992" s="789">
        <f t="shared" ref="I992:K992" si="173">SUM(I774,I775,I776,I782:I783,I806)</f>
        <v>4434.5</v>
      </c>
      <c r="J992" s="789">
        <f t="shared" si="173"/>
        <v>4593.5</v>
      </c>
      <c r="K992" s="789">
        <f t="shared" si="173"/>
        <v>4081.5</v>
      </c>
      <c r="L992" s="1188"/>
      <c r="M992" s="789">
        <f>SUM(M774,M775,M776,M782:M783,M806)</f>
        <v>1085.5</v>
      </c>
      <c r="N992" s="789">
        <f t="shared" ref="N992:P992" si="174">SUM(N774,N775,N776,N782:N783,N806)</f>
        <v>695.5</v>
      </c>
      <c r="O992" s="789">
        <f t="shared" si="174"/>
        <v>889.5</v>
      </c>
      <c r="P992" s="789">
        <f t="shared" si="174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175">SUM(C781,C790)</f>
        <v>750</v>
      </c>
      <c r="D993" s="789">
        <f t="shared" si="175"/>
        <v>640</v>
      </c>
      <c r="E993" s="789">
        <f t="shared" si="175"/>
        <v>408</v>
      </c>
      <c r="F993" s="789">
        <f t="shared" si="175"/>
        <v>1930</v>
      </c>
      <c r="G993" s="1188"/>
      <c r="H993" s="789">
        <f t="shared" ref="H993:K993" si="176">SUM(H781,H790)</f>
        <v>75000</v>
      </c>
      <c r="I993" s="789">
        <f t="shared" si="176"/>
        <v>96000</v>
      </c>
      <c r="J993" s="789">
        <f t="shared" si="176"/>
        <v>30600</v>
      </c>
      <c r="K993" s="789">
        <f t="shared" si="176"/>
        <v>231600</v>
      </c>
      <c r="L993" s="1188"/>
      <c r="M993" s="789">
        <f t="shared" ref="M993:P993" si="177">SUM(M781,M790)</f>
        <v>74250</v>
      </c>
      <c r="N993" s="789">
        <f t="shared" si="177"/>
        <v>95360</v>
      </c>
      <c r="O993" s="789">
        <f t="shared" si="177"/>
        <v>30192</v>
      </c>
      <c r="P993" s="789">
        <f t="shared" si="177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78">SUM(C784:C785,C791:C798)</f>
        <v>2526</v>
      </c>
      <c r="D994" s="789">
        <f t="shared" si="178"/>
        <v>3210</v>
      </c>
      <c r="E994" s="789">
        <f t="shared" si="178"/>
        <v>2857</v>
      </c>
      <c r="F994" s="789">
        <f t="shared" si="178"/>
        <v>4402</v>
      </c>
      <c r="G994" s="1188"/>
      <c r="H994" s="789">
        <f t="shared" ref="H994:K994" si="179">SUM(H784:H785,H791:H798)</f>
        <v>2526</v>
      </c>
      <c r="I994" s="789">
        <f t="shared" si="179"/>
        <v>3210</v>
      </c>
      <c r="J994" s="789">
        <f t="shared" si="179"/>
        <v>2857</v>
      </c>
      <c r="K994" s="789">
        <f t="shared" si="179"/>
        <v>4402</v>
      </c>
      <c r="L994" s="1188"/>
      <c r="M994" s="789">
        <f t="shared" ref="M994:P994" si="180">SUM(M784:M785,M791:M798)</f>
        <v>0</v>
      </c>
      <c r="N994" s="789">
        <f t="shared" si="180"/>
        <v>0</v>
      </c>
      <c r="O994" s="789">
        <f t="shared" si="180"/>
        <v>0</v>
      </c>
      <c r="P994" s="789">
        <f t="shared" si="180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D995:F995" si="181">SUM(D799,D800)</f>
        <v>3328</v>
      </c>
      <c r="E995" s="789">
        <f t="shared" si="181"/>
        <v>4718</v>
      </c>
      <c r="F995" s="789">
        <f t="shared" si="181"/>
        <v>3338</v>
      </c>
      <c r="G995" s="1188"/>
      <c r="H995" s="789">
        <f t="shared" ref="H995:K995" si="182">SUM(H799,H800)</f>
        <v>1980</v>
      </c>
      <c r="I995" s="789">
        <f t="shared" si="182"/>
        <v>1980</v>
      </c>
      <c r="J995" s="789">
        <f t="shared" si="182"/>
        <v>1980</v>
      </c>
      <c r="K995" s="789">
        <f t="shared" si="182"/>
        <v>1980</v>
      </c>
      <c r="L995" s="1188"/>
      <c r="M995" s="789">
        <f t="shared" ref="M995:P995" si="183">SUM(M799,M800)</f>
        <v>-2645</v>
      </c>
      <c r="N995" s="789">
        <f t="shared" si="183"/>
        <v>-1348</v>
      </c>
      <c r="O995" s="789">
        <f t="shared" si="183"/>
        <v>-2738</v>
      </c>
      <c r="P995" s="789">
        <f t="shared" si="183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84">SUM(C801)</f>
        <v>5030</v>
      </c>
      <c r="D996" s="789">
        <f t="shared" si="184"/>
        <v>4170</v>
      </c>
      <c r="E996" s="789">
        <f t="shared" si="184"/>
        <v>4680</v>
      </c>
      <c r="F996" s="789">
        <f t="shared" si="184"/>
        <v>2800</v>
      </c>
      <c r="G996" s="1192"/>
      <c r="H996" s="789">
        <f t="shared" ref="H996:K996" si="185">SUM(H801)</f>
        <v>2700</v>
      </c>
      <c r="I996" s="789">
        <f t="shared" si="185"/>
        <v>2700</v>
      </c>
      <c r="J996" s="789">
        <f t="shared" si="185"/>
        <v>2700</v>
      </c>
      <c r="K996" s="789">
        <f t="shared" si="185"/>
        <v>2700</v>
      </c>
      <c r="L996" s="1192"/>
      <c r="M996" s="789">
        <f t="shared" ref="M996:P996" si="186">SUM(M801)</f>
        <v>-2330</v>
      </c>
      <c r="N996" s="789">
        <f t="shared" si="186"/>
        <v>-1470</v>
      </c>
      <c r="O996" s="789">
        <f t="shared" si="186"/>
        <v>-1980</v>
      </c>
      <c r="P996" s="789">
        <f t="shared" si="186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187">SUM(D804)</f>
        <v>1504</v>
      </c>
      <c r="E997" s="789">
        <f t="shared" si="187"/>
        <v>1985</v>
      </c>
      <c r="F997" s="789">
        <f t="shared" si="187"/>
        <v>2400</v>
      </c>
      <c r="G997" s="1192"/>
      <c r="H997" s="789">
        <f>SUM(H804)</f>
        <v>720</v>
      </c>
      <c r="I997" s="789">
        <f t="shared" ref="I997:K997" si="188">SUM(I804)</f>
        <v>1504</v>
      </c>
      <c r="J997" s="789">
        <f t="shared" si="188"/>
        <v>1985</v>
      </c>
      <c r="K997" s="789">
        <f t="shared" si="188"/>
        <v>2400</v>
      </c>
      <c r="L997" s="1192"/>
      <c r="M997" s="789">
        <f>SUM(M804)</f>
        <v>0</v>
      </c>
      <c r="N997" s="789">
        <f t="shared" ref="N997:P997" si="189">SUM(N804)</f>
        <v>0</v>
      </c>
      <c r="O997" s="789">
        <f t="shared" si="189"/>
        <v>0</v>
      </c>
      <c r="P997" s="789">
        <f t="shared" si="18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190">D803</f>
        <v>1192</v>
      </c>
      <c r="E998" s="789">
        <f t="shared" si="190"/>
        <v>1933</v>
      </c>
      <c r="F998" s="789">
        <f t="shared" si="190"/>
        <v>2444</v>
      </c>
      <c r="G998" s="1192"/>
      <c r="H998" s="789">
        <f>SUM(H802,H803)</f>
        <v>1332</v>
      </c>
      <c r="I998" s="789">
        <f t="shared" ref="I998:K998" si="191">I803</f>
        <v>792</v>
      </c>
      <c r="J998" s="789">
        <f t="shared" si="191"/>
        <v>792</v>
      </c>
      <c r="K998" s="789">
        <f t="shared" si="191"/>
        <v>792</v>
      </c>
      <c r="L998" s="1192"/>
      <c r="M998" s="789">
        <f>SUM(M802,M803)</f>
        <v>-1946</v>
      </c>
      <c r="N998" s="789">
        <f t="shared" ref="N998:P998" si="192">N803</f>
        <v>-400</v>
      </c>
      <c r="O998" s="789">
        <f t="shared" si="192"/>
        <v>-1141</v>
      </c>
      <c r="P998" s="789">
        <f t="shared" si="192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193">SUM(D805,D809:D810)</f>
        <v>3236</v>
      </c>
      <c r="E999" s="789">
        <f t="shared" si="193"/>
        <v>1942</v>
      </c>
      <c r="F999" s="789">
        <f t="shared" si="193"/>
        <v>1442</v>
      </c>
      <c r="G999" s="1192"/>
      <c r="H999" s="789">
        <f>SUM(H805,H809:H810)</f>
        <v>0</v>
      </c>
      <c r="I999" s="789">
        <f t="shared" ref="I999:K999" si="194">SUM(I805,I809:I810)</f>
        <v>0</v>
      </c>
      <c r="J999" s="789">
        <f t="shared" si="194"/>
        <v>0</v>
      </c>
      <c r="K999" s="789">
        <f t="shared" si="194"/>
        <v>0</v>
      </c>
      <c r="L999" s="1192"/>
      <c r="M999" s="789">
        <f>SUM(M805,M809:M810)</f>
        <v>-1182</v>
      </c>
      <c r="N999" s="789">
        <f t="shared" ref="N999:P999" si="195">SUM(N805,N809:N810)</f>
        <v>-3236</v>
      </c>
      <c r="O999" s="789">
        <f t="shared" si="195"/>
        <v>-1942</v>
      </c>
      <c r="P999" s="789">
        <f t="shared" si="195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196">SUM(C807)</f>
        <v>0</v>
      </c>
      <c r="D1000" s="789">
        <f t="shared" si="196"/>
        <v>0</v>
      </c>
      <c r="E1000" s="789">
        <f t="shared" si="196"/>
        <v>0</v>
      </c>
      <c r="F1000" s="789">
        <f t="shared" si="196"/>
        <v>0</v>
      </c>
      <c r="G1000" s="1192"/>
      <c r="H1000" s="789">
        <f t="shared" ref="H1000:K1000" si="197">SUM(H807)</f>
        <v>5551.5000000000018</v>
      </c>
      <c r="I1000" s="789">
        <f t="shared" si="197"/>
        <v>5551.5000000000018</v>
      </c>
      <c r="J1000" s="789">
        <f t="shared" si="197"/>
        <v>5551.5000000000018</v>
      </c>
      <c r="K1000" s="789">
        <f t="shared" si="197"/>
        <v>5551.5000000000018</v>
      </c>
      <c r="L1000" s="1192"/>
      <c r="M1000" s="789">
        <f t="shared" ref="M1000:P1000" si="198">SUM(M807)</f>
        <v>5551.5000000000018</v>
      </c>
      <c r="N1000" s="789">
        <f t="shared" si="198"/>
        <v>5551.5000000000018</v>
      </c>
      <c r="O1000" s="789">
        <f t="shared" si="198"/>
        <v>5551.5000000000018</v>
      </c>
      <c r="P1000" s="789">
        <f t="shared" si="19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196"/>
        <v>0</v>
      </c>
      <c r="D1001" s="789">
        <f t="shared" si="196"/>
        <v>0</v>
      </c>
      <c r="E1001" s="789">
        <f t="shared" si="196"/>
        <v>0</v>
      </c>
      <c r="F1001" s="789">
        <f t="shared" si="196"/>
        <v>0</v>
      </c>
      <c r="G1001" s="1192"/>
      <c r="H1001" s="789">
        <f t="shared" ref="H1001:K1001" si="199">SUM(H808)</f>
        <v>31212</v>
      </c>
      <c r="I1001" s="789">
        <f t="shared" si="199"/>
        <v>31212</v>
      </c>
      <c r="J1001" s="789">
        <f t="shared" si="199"/>
        <v>31212</v>
      </c>
      <c r="K1001" s="789">
        <f t="shared" si="199"/>
        <v>31212</v>
      </c>
      <c r="L1001" s="1192"/>
      <c r="M1001" s="789">
        <f t="shared" ref="M1001:P1001" si="200">SUM(M808)</f>
        <v>31212</v>
      </c>
      <c r="N1001" s="789">
        <f t="shared" si="200"/>
        <v>31212</v>
      </c>
      <c r="O1001" s="789">
        <f t="shared" si="200"/>
        <v>31212</v>
      </c>
      <c r="P1001" s="789">
        <f t="shared" si="20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201">C985-SUM(C988:C999)</f>
        <v>3194</v>
      </c>
      <c r="D1002" s="789">
        <f t="shared" si="201"/>
        <v>7484</v>
      </c>
      <c r="E1002" s="789">
        <f t="shared" si="201"/>
        <v>30785</v>
      </c>
      <c r="F1002" s="789">
        <f t="shared" si="201"/>
        <v>85787</v>
      </c>
      <c r="G1002" s="1192"/>
      <c r="H1002" s="789">
        <f t="shared" ref="H1002:K1002" si="202">H985-SUM(H988:H999)</f>
        <v>-110630.62828002276</v>
      </c>
      <c r="I1002" s="789">
        <f t="shared" si="202"/>
        <v>-128964.62828002276</v>
      </c>
      <c r="J1002" s="789">
        <f t="shared" si="202"/>
        <v>-48206.628280022764</v>
      </c>
      <c r="K1002" s="789">
        <f t="shared" si="202"/>
        <v>-211674.62828002276</v>
      </c>
      <c r="L1002" s="1192"/>
      <c r="M1002" s="789">
        <f t="shared" ref="M1002:P1002" si="203">M985-SUM(M988:M999)</f>
        <v>-80464.628280022749</v>
      </c>
      <c r="N1002" s="789">
        <f t="shared" si="203"/>
        <v>-105817.62828002275</v>
      </c>
      <c r="O1002" s="789">
        <f t="shared" si="203"/>
        <v>-32286.628280022756</v>
      </c>
      <c r="P1002" s="789">
        <f t="shared" si="203"/>
        <v>-233594.62828002276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36763.5</v>
      </c>
      <c r="I1004" s="1196">
        <f>SUM(I988:I1003)</f>
        <v>40338.5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35513.5</v>
      </c>
      <c r="N1004" s="1107">
        <f>SUM(N988:N1003)</f>
        <v>32288.500000000015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 t="shared" ref="M1044:M1055" si="204">IF(LOOKUP(R1044,R$1071:R$1096,R$1071:R$1096)=R1044,R1044,"")</f>
        <v/>
      </c>
      <c r="N1044" s="832"/>
      <c r="O1044" s="832"/>
      <c r="P1044" s="832"/>
      <c r="Q1044" s="438"/>
      <c r="R1044" s="832">
        <f t="shared" ref="R1044:R1063" si="20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06">IF(OR(A1044="",LOOKUP(B1045,$T$820:$T$898,A$820:A$898)=A1044),"",LOOKUP(B1045,$T$820:$T$898,A$820:A$898))</f>
        <v>Own meat</v>
      </c>
      <c r="B1045" s="1209">
        <v>2</v>
      </c>
      <c r="C1045" s="876">
        <f t="shared" ref="C1045:C1063" si="207">IF($A1045="","",LOOKUP($B1045,$T$820:$T$898,C$820:C$898))</f>
        <v>5.1053237858032383E-2</v>
      </c>
      <c r="D1045" s="876">
        <f t="shared" ref="D1045:D1055" si="208">IF($A1045="","",LOOKUP($B1045,$T$820:$T$898,M$820:M$898))</f>
        <v>0</v>
      </c>
      <c r="E1045" s="876">
        <f t="shared" ref="E1045:E1055" si="209">IF($A1045="","",LOOKUP($B1045,$T$820:$T$898,D$820:D$898))</f>
        <v>6.680370485678705E-2</v>
      </c>
      <c r="F1045" s="876">
        <f t="shared" ref="F1045:F1055" si="210">IF($A1045="","",LOOKUP($B1045,$T$820:$T$898,N$820:N$898))</f>
        <v>0</v>
      </c>
      <c r="G1045" s="832"/>
      <c r="H1045" s="1236">
        <f t="shared" ref="H1045:H1055" si="211">IF($A1045="","",LOOKUP($B1045,$T$820:$T$898,E$820:E$898))</f>
        <v>6.1553549190535496E-2</v>
      </c>
      <c r="I1045" s="1236">
        <f t="shared" ref="I1045:I1055" si="212">IF($A1045="","",LOOKUP($B1045,$T$820:$T$898,O$820:O$898))</f>
        <v>0</v>
      </c>
      <c r="J1045" s="1236">
        <f t="shared" ref="J1045:J1055" si="213">IF($A1045="","",LOOKUP($B1045,$T$820:$T$898,F$820:F$898))</f>
        <v>6.1553549190535496E-2</v>
      </c>
      <c r="K1045" s="1236">
        <f t="shared" ref="K1045:K1055" si="214">IF($A1045="","",LOOKUP($B1045,$T$820:$T$898,P$820:P$898))</f>
        <v>0</v>
      </c>
      <c r="L1045" s="832"/>
      <c r="M1045" s="1219" t="str">
        <f t="shared" si="204"/>
        <v/>
      </c>
      <c r="N1045" s="832"/>
      <c r="O1045" s="832"/>
      <c r="P1045" s="832"/>
      <c r="Q1045" s="438"/>
      <c r="R1045" s="832" t="str">
        <f t="shared" si="205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06"/>
        <v>Green cons - Season 1: no of months</v>
      </c>
      <c r="B1046" s="1209">
        <v>3</v>
      </c>
      <c r="C1046" s="876">
        <f t="shared" si="207"/>
        <v>2.8333333333333335E-2</v>
      </c>
      <c r="D1046" s="876">
        <f t="shared" si="208"/>
        <v>0</v>
      </c>
      <c r="E1046" s="876">
        <f t="shared" si="209"/>
        <v>1.1666666666666667E-2</v>
      </c>
      <c r="F1046" s="876">
        <f t="shared" si="210"/>
        <v>0</v>
      </c>
      <c r="G1046" s="832"/>
      <c r="H1046" s="1236">
        <f t="shared" si="211"/>
        <v>1.1666666666666667E-2</v>
      </c>
      <c r="I1046" s="1236">
        <f t="shared" si="212"/>
        <v>0</v>
      </c>
      <c r="J1046" s="1236">
        <f t="shared" si="213"/>
        <v>1.1666666666666667E-2</v>
      </c>
      <c r="K1046" s="1236">
        <f t="shared" si="214"/>
        <v>0</v>
      </c>
      <c r="L1046" s="832"/>
      <c r="M1046" s="1219">
        <f t="shared" si="204"/>
        <v>9</v>
      </c>
      <c r="N1046" s="832"/>
      <c r="O1046" s="832"/>
      <c r="P1046" s="832"/>
      <c r="Q1046" s="438"/>
      <c r="R1046" s="832">
        <f t="shared" si="205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06"/>
        <v xml:space="preserve">Green beans </v>
      </c>
      <c r="B1047" s="1209">
        <v>4</v>
      </c>
      <c r="C1047" s="876">
        <f t="shared" si="207"/>
        <v>6.25E-2</v>
      </c>
      <c r="D1047" s="876">
        <f t="shared" si="208"/>
        <v>0</v>
      </c>
      <c r="E1047" s="876">
        <f t="shared" si="209"/>
        <v>2.8333333333333335E-2</v>
      </c>
      <c r="F1047" s="876">
        <f t="shared" si="210"/>
        <v>0</v>
      </c>
      <c r="G1047" s="832"/>
      <c r="H1047" s="1236">
        <f t="shared" si="211"/>
        <v>2.8333333333333335E-2</v>
      </c>
      <c r="I1047" s="1236">
        <f t="shared" si="212"/>
        <v>0</v>
      </c>
      <c r="J1047" s="1236">
        <f t="shared" si="213"/>
        <v>2.8333333333333335E-2</v>
      </c>
      <c r="K1047" s="1236">
        <f t="shared" si="214"/>
        <v>0</v>
      </c>
      <c r="L1047" s="832"/>
      <c r="M1047" s="1219" t="str">
        <f t="shared" si="204"/>
        <v/>
      </c>
      <c r="N1047" s="832"/>
      <c r="O1047" s="832"/>
      <c r="P1047" s="832"/>
      <c r="Q1047" s="438"/>
      <c r="R1047" s="832" t="str">
        <f t="shared" si="205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06"/>
        <v>Maize: kg produced</v>
      </c>
      <c r="B1048" s="1209">
        <v>5</v>
      </c>
      <c r="C1048" s="876">
        <f t="shared" si="207"/>
        <v>0.15772191780821915</v>
      </c>
      <c r="D1048" s="876">
        <f t="shared" si="208"/>
        <v>0</v>
      </c>
      <c r="E1048" s="876">
        <f t="shared" si="209"/>
        <v>0.15772191780821915</v>
      </c>
      <c r="F1048" s="876">
        <f t="shared" si="210"/>
        <v>5.2573972602739716E-2</v>
      </c>
      <c r="G1048" s="832"/>
      <c r="H1048" s="1236">
        <f t="shared" si="211"/>
        <v>0.10514794520547943</v>
      </c>
      <c r="I1048" s="1236">
        <f t="shared" si="212"/>
        <v>0.42059178082191773</v>
      </c>
      <c r="J1048" s="1236">
        <f t="shared" si="213"/>
        <v>0.12617753424657532</v>
      </c>
      <c r="K1048" s="1236">
        <f t="shared" si="214"/>
        <v>0.50471013698630129</v>
      </c>
      <c r="L1048" s="832"/>
      <c r="M1048" s="1219">
        <f t="shared" si="204"/>
        <v>10</v>
      </c>
      <c r="N1048" s="832"/>
      <c r="O1048" s="832"/>
      <c r="P1048" s="832"/>
      <c r="Q1048" s="438"/>
      <c r="R1048" s="832">
        <f t="shared" si="205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06"/>
        <v>Beans: kg produced</v>
      </c>
      <c r="B1049" s="1209">
        <v>6</v>
      </c>
      <c r="C1049" s="876">
        <f t="shared" si="207"/>
        <v>2.4549003735990036E-2</v>
      </c>
      <c r="D1049" s="876">
        <f t="shared" si="208"/>
        <v>0</v>
      </c>
      <c r="E1049" s="876">
        <f t="shared" si="209"/>
        <v>4.9098007471980072E-2</v>
      </c>
      <c r="F1049" s="876">
        <f t="shared" si="210"/>
        <v>0</v>
      </c>
      <c r="G1049" s="832"/>
      <c r="H1049" s="1236">
        <f t="shared" si="211"/>
        <v>4.9098007471980072E-2</v>
      </c>
      <c r="I1049" s="1236">
        <f t="shared" si="212"/>
        <v>0</v>
      </c>
      <c r="J1049" s="1236">
        <f t="shared" si="213"/>
        <v>4.9098007471980072E-2</v>
      </c>
      <c r="K1049" s="1236">
        <f t="shared" si="214"/>
        <v>0</v>
      </c>
      <c r="L1049" s="832"/>
      <c r="M1049" s="1219">
        <f t="shared" si="204"/>
        <v>15</v>
      </c>
      <c r="N1049" s="832"/>
      <c r="O1049" s="832"/>
      <c r="P1049" s="832"/>
      <c r="Q1049" s="438"/>
      <c r="R1049" s="832">
        <f t="shared" si="205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06"/>
        <v>Potato: kg produced</v>
      </c>
      <c r="B1050" s="1209">
        <v>7</v>
      </c>
      <c r="C1050" s="876">
        <f t="shared" si="207"/>
        <v>5.4310225543102251E-3</v>
      </c>
      <c r="D1050" s="876">
        <f t="shared" si="208"/>
        <v>0</v>
      </c>
      <c r="E1050" s="876">
        <f t="shared" si="209"/>
        <v>5.4310225543102251E-3</v>
      </c>
      <c r="F1050" s="876">
        <f t="shared" si="210"/>
        <v>0</v>
      </c>
      <c r="G1050" s="832"/>
      <c r="H1050" s="1236">
        <f t="shared" si="211"/>
        <v>4.3448180434481802E-3</v>
      </c>
      <c r="I1050" s="1236">
        <f t="shared" si="212"/>
        <v>8.6896360868963622E-3</v>
      </c>
      <c r="J1050" s="1236">
        <f t="shared" si="213"/>
        <v>1.086204510862045E-2</v>
      </c>
      <c r="K1050" s="1236">
        <f t="shared" si="214"/>
        <v>4.3448180434481801E-2</v>
      </c>
      <c r="L1050" s="832"/>
      <c r="M1050" s="1219">
        <f t="shared" si="204"/>
        <v>17</v>
      </c>
      <c r="N1050" s="832"/>
      <c r="O1050" s="832"/>
      <c r="P1050" s="832"/>
      <c r="Q1050" s="438"/>
      <c r="R1050" s="832">
        <f t="shared" si="205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06"/>
        <v>Other root crops: no. local meas( Sweet potato)</v>
      </c>
      <c r="B1051" s="1209">
        <v>8</v>
      </c>
      <c r="C1051" s="876">
        <f t="shared" si="207"/>
        <v>8.2503113325031133E-3</v>
      </c>
      <c r="D1051" s="876">
        <f t="shared" si="208"/>
        <v>4.1251556662515572E-2</v>
      </c>
      <c r="E1051" s="876">
        <f t="shared" si="209"/>
        <v>3.3001245330012453E-2</v>
      </c>
      <c r="F1051" s="876">
        <f t="shared" si="210"/>
        <v>3.3001245330012453E-2</v>
      </c>
      <c r="G1051" s="832"/>
      <c r="H1051" s="1236">
        <f t="shared" si="211"/>
        <v>3.3001245330012453E-2</v>
      </c>
      <c r="I1051" s="1236">
        <f t="shared" si="212"/>
        <v>3.3001245330012453E-2</v>
      </c>
      <c r="J1051" s="1236">
        <f t="shared" si="213"/>
        <v>4.1251556662515572E-2</v>
      </c>
      <c r="K1051" s="1236">
        <f t="shared" si="214"/>
        <v>8.250311332503113E-2</v>
      </c>
      <c r="L1051" s="832"/>
      <c r="M1051" s="1219">
        <f t="shared" si="204"/>
        <v>22</v>
      </c>
      <c r="N1051" s="832"/>
      <c r="O1051" s="832"/>
      <c r="P1051" s="832"/>
      <c r="Q1051" s="438"/>
      <c r="R1051" s="832">
        <f t="shared" si="205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06"/>
        <v>Other crop: Amadumbe</v>
      </c>
      <c r="B1052" s="1209">
        <v>9</v>
      </c>
      <c r="C1052" s="876">
        <f t="shared" si="207"/>
        <v>1.4390480143904802E-3</v>
      </c>
      <c r="D1052" s="876">
        <f t="shared" si="208"/>
        <v>0</v>
      </c>
      <c r="E1052" s="876">
        <f t="shared" si="209"/>
        <v>3.5976200359762E-3</v>
      </c>
      <c r="F1052" s="876">
        <f t="shared" si="210"/>
        <v>3.5976200359762E-3</v>
      </c>
      <c r="G1052" s="1209"/>
      <c r="H1052" s="1236">
        <f t="shared" si="211"/>
        <v>3.5976200359762E-3</v>
      </c>
      <c r="I1052" s="1236">
        <f t="shared" si="212"/>
        <v>3.5976200359762E-3</v>
      </c>
      <c r="J1052" s="1236">
        <f t="shared" si="213"/>
        <v>5.3964300539642998E-3</v>
      </c>
      <c r="K1052" s="1236">
        <f t="shared" si="214"/>
        <v>8.9940500899404995E-3</v>
      </c>
      <c r="L1052" s="832"/>
      <c r="M1052" s="1219">
        <f t="shared" si="204"/>
        <v>25</v>
      </c>
      <c r="N1052" s="832"/>
      <c r="O1052" s="832"/>
      <c r="P1052" s="832"/>
      <c r="Q1052" s="438"/>
      <c r="R1052" s="832">
        <f t="shared" si="205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06"/>
        <v/>
      </c>
      <c r="B1053" s="1209">
        <v>10</v>
      </c>
      <c r="C1053" s="876" t="str">
        <f t="shared" si="207"/>
        <v/>
      </c>
      <c r="D1053" s="876" t="str">
        <f t="shared" si="208"/>
        <v/>
      </c>
      <c r="E1053" s="876" t="str">
        <f t="shared" si="209"/>
        <v/>
      </c>
      <c r="F1053" s="876" t="str">
        <f t="shared" si="210"/>
        <v/>
      </c>
      <c r="G1053" s="832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832"/>
      <c r="M1053" s="1219" t="str">
        <f t="shared" si="204"/>
        <v/>
      </c>
      <c r="N1053" s="832"/>
      <c r="O1053" s="832"/>
      <c r="P1053" s="832"/>
      <c r="Q1053" s="438"/>
      <c r="R1053" s="832" t="str">
        <f t="shared" si="205"/>
        <v/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06"/>
        <v/>
      </c>
      <c r="B1054" s="1209">
        <v>11</v>
      </c>
      <c r="C1054" s="876" t="str">
        <f t="shared" si="207"/>
        <v/>
      </c>
      <c r="D1054" s="876" t="str">
        <f t="shared" si="208"/>
        <v/>
      </c>
      <c r="E1054" s="876" t="str">
        <f t="shared" si="209"/>
        <v/>
      </c>
      <c r="F1054" s="876" t="str">
        <f t="shared" si="210"/>
        <v/>
      </c>
      <c r="G1054" s="832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832"/>
      <c r="M1054" s="1219" t="str">
        <f t="shared" si="204"/>
        <v/>
      </c>
      <c r="N1054" s="832"/>
      <c r="O1054" s="832"/>
      <c r="P1054" s="832"/>
      <c r="Q1054" s="438"/>
      <c r="R1054" s="832" t="str">
        <f t="shared" si="205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06"/>
        <v/>
      </c>
      <c r="B1055" s="1209">
        <v>12</v>
      </c>
      <c r="C1055" s="876" t="str">
        <f t="shared" si="207"/>
        <v/>
      </c>
      <c r="D1055" s="876" t="str">
        <f t="shared" si="208"/>
        <v/>
      </c>
      <c r="E1055" s="876" t="str">
        <f t="shared" si="209"/>
        <v/>
      </c>
      <c r="F1055" s="876" t="str">
        <f t="shared" si="210"/>
        <v/>
      </c>
      <c r="G1055" s="832"/>
      <c r="H1055" s="1236" t="str">
        <f t="shared" si="211"/>
        <v/>
      </c>
      <c r="I1055" s="1236" t="str">
        <f t="shared" si="212"/>
        <v/>
      </c>
      <c r="J1055" s="1236" t="str">
        <f t="shared" si="213"/>
        <v/>
      </c>
      <c r="K1055" s="1236" t="str">
        <f t="shared" si="214"/>
        <v/>
      </c>
      <c r="L1055" s="832"/>
      <c r="M1055" s="1219" t="str">
        <f t="shared" si="204"/>
        <v/>
      </c>
      <c r="N1055" s="832"/>
      <c r="O1055" s="832"/>
      <c r="P1055" s="832"/>
      <c r="Q1055" s="438"/>
      <c r="R1055" s="832" t="str">
        <f t="shared" si="205"/>
        <v/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15">IF(OR(A1055="",LOOKUP(B1056,$T$820:$T$898,A$820:A$898)=A1055),"",LOOKUP(B1056,$T$820:$T$898,A$820:A$898))</f>
        <v/>
      </c>
      <c r="B1056" s="1209">
        <v>13</v>
      </c>
      <c r="C1056" s="876" t="str">
        <f t="shared" si="207"/>
        <v/>
      </c>
      <c r="D1056" s="876" t="str">
        <f t="shared" ref="D1056:D1063" si="216">IF($A1056="","",LOOKUP($B1056,$T$820:$T$898,M$820:M$898))</f>
        <v/>
      </c>
      <c r="E1056" s="876" t="str">
        <f t="shared" ref="E1056:E1063" si="217">IF($A1056="","",LOOKUP($B1056,$T$820:$T$898,D$820:D$898))</f>
        <v/>
      </c>
      <c r="F1056" s="876" t="str">
        <f t="shared" ref="F1056:F1063" si="218">IF($A1056="","",LOOKUP($B1056,$T$820:$T$898,N$820:N$898))</f>
        <v/>
      </c>
      <c r="G1056" s="832"/>
      <c r="H1056" s="1236" t="str">
        <f t="shared" ref="H1056:H1063" si="219">IF($A1056="","",LOOKUP($B1056,$T$820:$T$898,E$820:E$898))</f>
        <v/>
      </c>
      <c r="I1056" s="1236" t="str">
        <f t="shared" ref="I1056:I1063" si="220">IF($A1056="","",LOOKUP($B1056,$T$820:$T$898,O$820:O$898))</f>
        <v/>
      </c>
      <c r="J1056" s="1236" t="str">
        <f t="shared" ref="J1056:J1063" si="221">IF($A1056="","",LOOKUP($B1056,$T$820:$T$898,F$820:F$898))</f>
        <v/>
      </c>
      <c r="K1056" s="1236" t="str">
        <f t="shared" ref="K1056:K1063" si="222">IF($A1056="","",LOOKUP($B1056,$T$820:$T$898,P$820:P$898))</f>
        <v/>
      </c>
      <c r="L1056" s="832"/>
      <c r="M1056" s="1219" t="str">
        <f t="shared" ref="M1056:M1063" si="223">IF(LOOKUP(R1056,R$1071:R$1096,R$1071:R$1096)=R1056,R1056,"")</f>
        <v/>
      </c>
      <c r="N1056" s="832"/>
      <c r="O1056" s="832"/>
      <c r="P1056" s="832"/>
      <c r="Q1056" s="438"/>
      <c r="R1056" s="832" t="str">
        <f t="shared" si="205"/>
        <v/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15"/>
        <v/>
      </c>
      <c r="B1057" s="1209">
        <v>14</v>
      </c>
      <c r="C1057" s="876" t="str">
        <f t="shared" si="207"/>
        <v/>
      </c>
      <c r="D1057" s="876" t="str">
        <f t="shared" si="216"/>
        <v/>
      </c>
      <c r="E1057" s="876" t="str">
        <f t="shared" si="217"/>
        <v/>
      </c>
      <c r="F1057" s="876" t="str">
        <f t="shared" si="218"/>
        <v/>
      </c>
      <c r="G1057" s="832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832"/>
      <c r="M1057" s="1219" t="str">
        <f t="shared" si="223"/>
        <v/>
      </c>
      <c r="N1057" s="832"/>
      <c r="O1057" s="832"/>
      <c r="P1057" s="832"/>
      <c r="Q1057" s="438"/>
      <c r="R1057" s="832" t="str">
        <f t="shared" si="205"/>
        <v/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15"/>
        <v/>
      </c>
      <c r="B1058" s="1209">
        <v>15</v>
      </c>
      <c r="C1058" s="876" t="str">
        <f t="shared" si="207"/>
        <v/>
      </c>
      <c r="D1058" s="876" t="str">
        <f t="shared" si="216"/>
        <v/>
      </c>
      <c r="E1058" s="876" t="str">
        <f t="shared" si="217"/>
        <v/>
      </c>
      <c r="F1058" s="876" t="str">
        <f t="shared" si="218"/>
        <v/>
      </c>
      <c r="G1058" s="832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832"/>
      <c r="M1058" s="1219" t="str">
        <f t="shared" si="223"/>
        <v/>
      </c>
      <c r="N1058" s="832"/>
      <c r="O1058" s="832"/>
      <c r="P1058" s="832"/>
      <c r="Q1058" s="438"/>
      <c r="R1058" s="832" t="str">
        <f t="shared" si="205"/>
        <v/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15"/>
        <v/>
      </c>
      <c r="B1059" s="1209">
        <v>16</v>
      </c>
      <c r="C1059" s="876" t="str">
        <f t="shared" si="207"/>
        <v/>
      </c>
      <c r="D1059" s="876" t="str">
        <f t="shared" si="216"/>
        <v/>
      </c>
      <c r="E1059" s="876" t="str">
        <f t="shared" si="217"/>
        <v/>
      </c>
      <c r="F1059" s="876" t="str">
        <f t="shared" si="218"/>
        <v/>
      </c>
      <c r="G1059" s="832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832"/>
      <c r="M1059" s="1219" t="str">
        <f t="shared" si="223"/>
        <v/>
      </c>
      <c r="N1059" s="832"/>
      <c r="O1059" s="832"/>
      <c r="P1059" s="832"/>
      <c r="Q1059" s="438"/>
      <c r="R1059" s="832" t="str">
        <f t="shared" si="205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15"/>
        <v/>
      </c>
      <c r="B1060" s="1209">
        <v>17</v>
      </c>
      <c r="C1060" s="876" t="str">
        <f t="shared" si="207"/>
        <v/>
      </c>
      <c r="D1060" s="876" t="str">
        <f t="shared" si="216"/>
        <v/>
      </c>
      <c r="E1060" s="876" t="str">
        <f t="shared" si="217"/>
        <v/>
      </c>
      <c r="F1060" s="876" t="str">
        <f t="shared" si="218"/>
        <v/>
      </c>
      <c r="G1060" s="832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832"/>
      <c r="M1060" s="1219" t="str">
        <f t="shared" si="223"/>
        <v/>
      </c>
      <c r="N1060" s="832"/>
      <c r="O1060" s="832"/>
      <c r="P1060" s="832"/>
      <c r="Q1060" s="438"/>
      <c r="R1060" s="832" t="str">
        <f t="shared" si="205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15"/>
        <v/>
      </c>
      <c r="B1061" s="1209">
        <v>18</v>
      </c>
      <c r="C1061" s="876" t="str">
        <f t="shared" si="207"/>
        <v/>
      </c>
      <c r="D1061" s="876" t="str">
        <f t="shared" si="216"/>
        <v/>
      </c>
      <c r="E1061" s="876" t="str">
        <f t="shared" si="217"/>
        <v/>
      </c>
      <c r="F1061" s="876" t="str">
        <f t="shared" si="218"/>
        <v/>
      </c>
      <c r="G1061" s="832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832"/>
      <c r="M1061" s="1219" t="str">
        <f t="shared" si="223"/>
        <v/>
      </c>
      <c r="N1061" s="832"/>
      <c r="O1061" s="832"/>
      <c r="P1061" s="832"/>
      <c r="Q1061" s="438"/>
      <c r="R1061" s="832" t="str">
        <f t="shared" si="205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15"/>
        <v/>
      </c>
      <c r="B1062" s="1209">
        <v>19</v>
      </c>
      <c r="C1062" s="876" t="str">
        <f t="shared" si="207"/>
        <v/>
      </c>
      <c r="D1062" s="876" t="str">
        <f t="shared" si="216"/>
        <v/>
      </c>
      <c r="E1062" s="876" t="str">
        <f t="shared" si="217"/>
        <v/>
      </c>
      <c r="F1062" s="876" t="str">
        <f t="shared" si="218"/>
        <v/>
      </c>
      <c r="G1062" s="832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832"/>
      <c r="M1062" s="1219" t="str">
        <f t="shared" si="223"/>
        <v/>
      </c>
      <c r="N1062" s="832"/>
      <c r="O1062" s="832"/>
      <c r="P1062" s="832"/>
      <c r="Q1062" s="438"/>
      <c r="R1062" s="832" t="str">
        <f t="shared" si="205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15"/>
        <v/>
      </c>
      <c r="B1063" s="1209">
        <v>20</v>
      </c>
      <c r="C1063" s="876" t="str">
        <f t="shared" si="207"/>
        <v/>
      </c>
      <c r="D1063" s="876" t="str">
        <f t="shared" si="216"/>
        <v/>
      </c>
      <c r="E1063" s="876" t="str">
        <f t="shared" si="217"/>
        <v/>
      </c>
      <c r="F1063" s="876" t="str">
        <f t="shared" si="218"/>
        <v/>
      </c>
      <c r="G1063" s="832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832"/>
      <c r="M1063" s="1219" t="str">
        <f t="shared" si="223"/>
        <v/>
      </c>
      <c r="N1063" s="832"/>
      <c r="O1063" s="832"/>
      <c r="P1063" s="832"/>
      <c r="Q1063" s="438"/>
      <c r="R1063" s="832" t="str">
        <f t="shared" si="205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536</v>
      </c>
      <c r="B1064" s="1209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711</v>
      </c>
      <c r="B1065" s="1209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712</v>
      </c>
      <c r="B1066" s="1209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713</v>
      </c>
      <c r="B1067" s="1209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537</v>
      </c>
      <c r="B1068" s="1209"/>
      <c r="C1068" s="876">
        <f>SUM(C859:C860)</f>
        <v>0.37766361145703609</v>
      </c>
      <c r="D1068" s="1238">
        <f>SUM(M859:M860)</f>
        <v>0</v>
      </c>
      <c r="E1068" s="876">
        <f>SUM(D859:D860)</f>
        <v>0.37766361145703609</v>
      </c>
      <c r="F1068" s="1238">
        <f>SUM(N859:N860)</f>
        <v>0</v>
      </c>
      <c r="G1068" s="832"/>
      <c r="H1068" s="876">
        <f>SUM(E859:E860)</f>
        <v>0.37766361145703609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74</v>
      </c>
      <c r="B1069" s="1209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40"/>
      <c r="H1069" s="1236">
        <f>SUM(H1044:H1068)</f>
        <v>1.4559870672412316</v>
      </c>
      <c r="I1069" s="1236">
        <f>SUM(I1044:I1068)</f>
        <v>0.42847792522682759</v>
      </c>
      <c r="J1069" s="1236">
        <f>SUM(J1044:J1068)</f>
        <v>1.6112009748100706</v>
      </c>
      <c r="K1069" s="1236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8"/>
      <c r="R1070" s="832" t="s">
        <v>534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534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3" si="224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2750</v>
      </c>
      <c r="F1072" s="1112">
        <f>LOOKUP($B1072,$T$904:$T$983,N$904:N$983)</f>
        <v>0</v>
      </c>
      <c r="G1072" s="832"/>
      <c r="H1072" s="1219">
        <f>LOOKUP($B1072,$T$904:$T$983,E$904:E$983)</f>
        <v>9000</v>
      </c>
      <c r="I1072" s="1219">
        <f>LOOKUP($B1072,$T$904:$T$983,O$904:O$983)</f>
        <v>0</v>
      </c>
      <c r="J1072" s="1219">
        <f>LOOKUP($B1072,$T$904:$T$983,F$904:F$983)</f>
        <v>12000</v>
      </c>
      <c r="K1072" s="1219">
        <f>LOOKUP($B1072,$T$904:$T$983,P$904:P$983)</f>
        <v>3000</v>
      </c>
      <c r="L1072" s="832"/>
      <c r="M1072" s="996" t="str">
        <f t="shared" ref="M1072:M1096" si="225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24"/>
        <v>Goat sales - local: no. sold</v>
      </c>
      <c r="B1073" s="1209">
        <v>2</v>
      </c>
      <c r="C1073" s="1112">
        <f t="shared" ref="C1073:C1096" si="226">IF($A1073="","",LOOKUP($B1073,$T$904:$T$983,C$904:C$983))</f>
        <v>0</v>
      </c>
      <c r="D1073" s="1112">
        <f t="shared" ref="D1073:D1096" si="227">IF($A1073="","",LOOKUP($B1073,$T$904:$T$983,M$904:M$983))</f>
        <v>0</v>
      </c>
      <c r="E1073" s="1112">
        <f t="shared" ref="E1073:E1096" si="228">IF($A1073="","",LOOKUP($B1073,$T$904:$T$983,D$904:D$983))</f>
        <v>3300</v>
      </c>
      <c r="F1073" s="1112">
        <f t="shared" ref="F1073:F1096" si="229">IF($A1073="","",LOOKUP($B1073,$T$904:$T$983,N$904:N$983))</f>
        <v>-2475</v>
      </c>
      <c r="G1073" s="832"/>
      <c r="H1073" s="1219">
        <f t="shared" ref="H1073:H1096" si="230">IF($A1073="","",LOOKUP($B1073,$T$904:$T$983,E$904:E$983))</f>
        <v>4320</v>
      </c>
      <c r="I1073" s="1219">
        <f t="shared" ref="I1073:I1096" si="231">IF($A1073="","",LOOKUP($B1073,$T$904:$T$983,O$904:O$983))</f>
        <v>0</v>
      </c>
      <c r="J1073" s="1219">
        <f t="shared" ref="J1073:J1096" si="232">IF($A1073="","",LOOKUP($B1073,$T$904:$T$983,F$904:F$983))</f>
        <v>6000</v>
      </c>
      <c r="K1073" s="1219">
        <f t="shared" ref="K1073:K1096" si="233">IF($A1073="","",LOOKUP($B1073,$T$904:$T$983,P$904:P$983))</f>
        <v>-1000</v>
      </c>
      <c r="L1073" s="832"/>
      <c r="M1073" s="996" t="str">
        <f t="shared" si="225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24"/>
        <v>Chicken sales: no. sold</v>
      </c>
      <c r="B1074" s="1209">
        <v>3</v>
      </c>
      <c r="C1074" s="1112">
        <f t="shared" si="226"/>
        <v>0</v>
      </c>
      <c r="D1074" s="1112">
        <f t="shared" si="227"/>
        <v>0</v>
      </c>
      <c r="E1074" s="1112">
        <f t="shared" si="228"/>
        <v>11</v>
      </c>
      <c r="F1074" s="1112">
        <f t="shared" si="229"/>
        <v>0</v>
      </c>
      <c r="G1074" s="832"/>
      <c r="H1074" s="1219">
        <f t="shared" si="230"/>
        <v>1050</v>
      </c>
      <c r="I1074" s="1219">
        <f t="shared" si="231"/>
        <v>0</v>
      </c>
      <c r="J1074" s="1219">
        <f t="shared" si="232"/>
        <v>2475</v>
      </c>
      <c r="K1074" s="1219">
        <f t="shared" si="233"/>
        <v>0</v>
      </c>
      <c r="L1074" s="832"/>
      <c r="M1074" s="996" t="str">
        <f t="shared" si="225"/>
        <v/>
      </c>
      <c r="N1074" s="832"/>
      <c r="O1074" s="832"/>
      <c r="P1074" s="832"/>
      <c r="Q1074" s="438"/>
      <c r="R1074" s="832" t="str">
        <f t="shared" ref="R1074:R1096" si="23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24"/>
        <v>Green maize sold: quantity</v>
      </c>
      <c r="B1075" s="1209">
        <v>4</v>
      </c>
      <c r="C1075" s="1112">
        <f t="shared" si="226"/>
        <v>0</v>
      </c>
      <c r="D1075" s="1112">
        <f t="shared" si="227"/>
        <v>0</v>
      </c>
      <c r="E1075" s="1112">
        <f t="shared" si="228"/>
        <v>0</v>
      </c>
      <c r="F1075" s="1112">
        <f t="shared" si="229"/>
        <v>0</v>
      </c>
      <c r="G1075" s="832"/>
      <c r="H1075" s="1219">
        <f t="shared" si="230"/>
        <v>25675</v>
      </c>
      <c r="I1075" s="1219">
        <f t="shared" si="231"/>
        <v>0</v>
      </c>
      <c r="J1075" s="1219">
        <f t="shared" si="232"/>
        <v>30000</v>
      </c>
      <c r="K1075" s="1219">
        <f t="shared" si="233"/>
        <v>0</v>
      </c>
      <c r="L1075" s="832"/>
      <c r="M1075" s="996">
        <f t="shared" si="225"/>
        <v>9</v>
      </c>
      <c r="N1075" s="832"/>
      <c r="O1075" s="832"/>
      <c r="P1075" s="832"/>
      <c r="Q1075" s="438"/>
      <c r="R1075" s="832">
        <f t="shared" si="234"/>
        <v>9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24"/>
        <v>Maize: kg produced</v>
      </c>
      <c r="B1076" s="1209">
        <v>5</v>
      </c>
      <c r="C1076" s="1112">
        <f t="shared" si="226"/>
        <v>0</v>
      </c>
      <c r="D1076" s="1112">
        <f t="shared" si="227"/>
        <v>0</v>
      </c>
      <c r="E1076" s="1112">
        <f t="shared" si="228"/>
        <v>500</v>
      </c>
      <c r="F1076" s="1112">
        <f t="shared" si="229"/>
        <v>-500</v>
      </c>
      <c r="G1076" s="832"/>
      <c r="H1076" s="1219">
        <f t="shared" si="230"/>
        <v>4000</v>
      </c>
      <c r="I1076" s="1219">
        <f t="shared" si="231"/>
        <v>-4000</v>
      </c>
      <c r="J1076" s="1219">
        <f t="shared" si="232"/>
        <v>4800</v>
      </c>
      <c r="K1076" s="1219">
        <f t="shared" si="233"/>
        <v>-4800</v>
      </c>
      <c r="L1076" s="832"/>
      <c r="M1076" s="996">
        <f t="shared" si="225"/>
        <v>10</v>
      </c>
      <c r="N1076" s="832"/>
      <c r="O1076" s="832"/>
      <c r="P1076" s="832"/>
      <c r="Q1076" s="438"/>
      <c r="R1076" s="832">
        <f t="shared" si="234"/>
        <v>10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24"/>
        <v>Beans: kg produced</v>
      </c>
      <c r="B1077" s="1209">
        <v>6</v>
      </c>
      <c r="C1077" s="1112">
        <f t="shared" si="226"/>
        <v>0</v>
      </c>
      <c r="D1077" s="1112">
        <f t="shared" si="227"/>
        <v>0</v>
      </c>
      <c r="E1077" s="1112">
        <f t="shared" si="228"/>
        <v>0</v>
      </c>
      <c r="F1077" s="1112">
        <f t="shared" si="229"/>
        <v>0</v>
      </c>
      <c r="G1077" s="832"/>
      <c r="H1077" s="1219">
        <f t="shared" si="230"/>
        <v>0</v>
      </c>
      <c r="I1077" s="1219">
        <f t="shared" si="231"/>
        <v>0</v>
      </c>
      <c r="J1077" s="1219">
        <f t="shared" si="232"/>
        <v>2200</v>
      </c>
      <c r="K1077" s="1219">
        <f t="shared" si="233"/>
        <v>0</v>
      </c>
      <c r="L1077" s="832"/>
      <c r="M1077" s="996">
        <f t="shared" si="225"/>
        <v>15</v>
      </c>
      <c r="N1077" s="832"/>
      <c r="O1077" s="832"/>
      <c r="P1077" s="832"/>
      <c r="Q1077" s="438"/>
      <c r="R1077" s="832">
        <f t="shared" si="234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24"/>
        <v>Potato: kg produced</v>
      </c>
      <c r="B1078" s="1209">
        <v>7</v>
      </c>
      <c r="C1078" s="1112">
        <f t="shared" si="226"/>
        <v>0</v>
      </c>
      <c r="D1078" s="1112">
        <f t="shared" si="227"/>
        <v>0</v>
      </c>
      <c r="E1078" s="1112">
        <f t="shared" si="228"/>
        <v>0</v>
      </c>
      <c r="F1078" s="1112">
        <f t="shared" si="229"/>
        <v>0</v>
      </c>
      <c r="G1078" s="832"/>
      <c r="H1078" s="1219">
        <f t="shared" si="230"/>
        <v>720</v>
      </c>
      <c r="I1078" s="1219">
        <f t="shared" si="231"/>
        <v>-720</v>
      </c>
      <c r="J1078" s="1219">
        <f t="shared" si="232"/>
        <v>3600</v>
      </c>
      <c r="K1078" s="1219">
        <f t="shared" si="233"/>
        <v>-3600</v>
      </c>
      <c r="L1078" s="832"/>
      <c r="M1078" s="996">
        <f t="shared" si="225"/>
        <v>17</v>
      </c>
      <c r="N1078" s="832"/>
      <c r="O1078" s="832"/>
      <c r="P1078" s="832"/>
      <c r="Q1078" s="438"/>
      <c r="R1078" s="832">
        <f t="shared" si="234"/>
        <v>17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24"/>
        <v>Other root crops: no. local meas( Sweet potato)</v>
      </c>
      <c r="B1079" s="1209">
        <v>8</v>
      </c>
      <c r="C1079" s="1112">
        <f t="shared" si="226"/>
        <v>1250</v>
      </c>
      <c r="D1079" s="1112">
        <f t="shared" si="227"/>
        <v>-1250</v>
      </c>
      <c r="E1079" s="1112">
        <f t="shared" si="228"/>
        <v>1000</v>
      </c>
      <c r="F1079" s="1112">
        <f t="shared" si="229"/>
        <v>-1000</v>
      </c>
      <c r="G1079" s="832"/>
      <c r="H1079" s="1219">
        <f t="shared" si="230"/>
        <v>1000</v>
      </c>
      <c r="I1079" s="1219">
        <f t="shared" si="231"/>
        <v>-1000</v>
      </c>
      <c r="J1079" s="1219">
        <f t="shared" si="232"/>
        <v>2500</v>
      </c>
      <c r="K1079" s="1219">
        <f t="shared" si="233"/>
        <v>-2500</v>
      </c>
      <c r="L1079" s="832"/>
      <c r="M1079" s="996">
        <f t="shared" si="225"/>
        <v>22</v>
      </c>
      <c r="N1079" s="832"/>
      <c r="O1079" s="832"/>
      <c r="P1079" s="832"/>
      <c r="Q1079" s="438"/>
      <c r="R1079" s="832">
        <f t="shared" si="234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24"/>
        <v>Other crop: Amadumbe</v>
      </c>
      <c r="B1080" s="1209">
        <v>9</v>
      </c>
      <c r="C1080" s="1112">
        <f t="shared" si="226"/>
        <v>0</v>
      </c>
      <c r="D1080" s="1112">
        <f t="shared" si="227"/>
        <v>0</v>
      </c>
      <c r="E1080" s="1112">
        <f t="shared" si="228"/>
        <v>500</v>
      </c>
      <c r="F1080" s="1112">
        <f t="shared" si="229"/>
        <v>-500</v>
      </c>
      <c r="G1080" s="832"/>
      <c r="H1080" s="1219">
        <f t="shared" si="230"/>
        <v>500</v>
      </c>
      <c r="I1080" s="1219">
        <f t="shared" si="231"/>
        <v>-500</v>
      </c>
      <c r="J1080" s="1219">
        <f t="shared" si="232"/>
        <v>1250</v>
      </c>
      <c r="K1080" s="1219">
        <f t="shared" si="233"/>
        <v>-1250</v>
      </c>
      <c r="L1080" s="832"/>
      <c r="M1080" s="996">
        <f t="shared" si="225"/>
        <v>25</v>
      </c>
      <c r="N1080" s="832"/>
      <c r="O1080" s="832"/>
      <c r="P1080" s="832"/>
      <c r="Q1080" s="438"/>
      <c r="R1080" s="832">
        <f t="shared" si="234"/>
        <v>25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24"/>
        <v>Labour migration(formal employment): no. people per HH</v>
      </c>
      <c r="B1081" s="1209">
        <v>10</v>
      </c>
      <c r="C1081" s="1112">
        <f t="shared" si="226"/>
        <v>0</v>
      </c>
      <c r="D1081" s="1112">
        <f t="shared" si="227"/>
        <v>0</v>
      </c>
      <c r="E1081" s="1112">
        <f t="shared" si="228"/>
        <v>0</v>
      </c>
      <c r="F1081" s="1112">
        <f t="shared" si="229"/>
        <v>0</v>
      </c>
      <c r="G1081" s="832"/>
      <c r="H1081" s="1219">
        <f t="shared" si="230"/>
        <v>1500</v>
      </c>
      <c r="I1081" s="1219">
        <f t="shared" si="231"/>
        <v>0</v>
      </c>
      <c r="J1081" s="1219">
        <f t="shared" si="232"/>
        <v>24000</v>
      </c>
      <c r="K1081" s="1219">
        <f t="shared" si="233"/>
        <v>0</v>
      </c>
      <c r="L1081" s="832"/>
      <c r="M1081" s="996" t="str">
        <f t="shared" si="225"/>
        <v/>
      </c>
      <c r="N1081" s="832"/>
      <c r="O1081" s="832"/>
      <c r="P1081" s="832"/>
      <c r="Q1081" s="438"/>
      <c r="R1081" s="832">
        <f t="shared" si="234"/>
        <v>30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24"/>
        <v>Small business -- see Data2</v>
      </c>
      <c r="B1082" s="1209">
        <v>11</v>
      </c>
      <c r="C1082" s="1112">
        <f t="shared" si="226"/>
        <v>0</v>
      </c>
      <c r="D1082" s="1112">
        <f t="shared" si="227"/>
        <v>0</v>
      </c>
      <c r="E1082" s="1112">
        <f t="shared" si="228"/>
        <v>0</v>
      </c>
      <c r="F1082" s="1112">
        <f t="shared" si="229"/>
        <v>0</v>
      </c>
      <c r="G1082" s="832"/>
      <c r="H1082" s="1219">
        <f t="shared" si="230"/>
        <v>4400</v>
      </c>
      <c r="I1082" s="1219">
        <f t="shared" si="231"/>
        <v>0</v>
      </c>
      <c r="J1082" s="1219">
        <f t="shared" si="232"/>
        <v>21732</v>
      </c>
      <c r="K1082" s="1219">
        <f t="shared" si="233"/>
        <v>0</v>
      </c>
      <c r="L1082" s="832"/>
      <c r="M1082" s="996" t="str">
        <f t="shared" si="225"/>
        <v/>
      </c>
      <c r="N1082" s="832"/>
      <c r="O1082" s="832"/>
      <c r="P1082" s="832"/>
      <c r="Q1082" s="438"/>
      <c r="R1082" s="832" t="str">
        <f t="shared" si="234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24"/>
        <v>Social development -- see Data2</v>
      </c>
      <c r="B1083" s="1209">
        <v>12</v>
      </c>
      <c r="C1083" s="1112">
        <f t="shared" si="226"/>
        <v>28320</v>
      </c>
      <c r="D1083" s="1112">
        <f t="shared" si="227"/>
        <v>0</v>
      </c>
      <c r="E1083" s="1112">
        <f t="shared" si="228"/>
        <v>28320</v>
      </c>
      <c r="F1083" s="1112">
        <f t="shared" si="229"/>
        <v>0</v>
      </c>
      <c r="G1083" s="832"/>
      <c r="H1083" s="1219">
        <f t="shared" si="230"/>
        <v>8520</v>
      </c>
      <c r="I1083" s="1219">
        <f t="shared" si="231"/>
        <v>0</v>
      </c>
      <c r="J1083" s="1219">
        <f t="shared" si="232"/>
        <v>8520</v>
      </c>
      <c r="K1083" s="1219">
        <f t="shared" si="233"/>
        <v>0</v>
      </c>
      <c r="L1083" s="832"/>
      <c r="M1083" s="996" t="str">
        <f t="shared" si="225"/>
        <v/>
      </c>
      <c r="N1083" s="832"/>
      <c r="O1083" s="832"/>
      <c r="P1083" s="832"/>
      <c r="Q1083" s="438"/>
      <c r="R1083" s="832" t="str">
        <f t="shared" si="234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24"/>
        <v>Public works -- see Data2</v>
      </c>
      <c r="B1084" s="1209">
        <v>13</v>
      </c>
      <c r="C1084" s="1112">
        <f t="shared" si="226"/>
        <v>10380</v>
      </c>
      <c r="D1084" s="1112">
        <f t="shared" si="227"/>
        <v>0</v>
      </c>
      <c r="E1084" s="1112">
        <f t="shared" si="228"/>
        <v>7640</v>
      </c>
      <c r="F1084" s="1112">
        <f t="shared" si="229"/>
        <v>0</v>
      </c>
      <c r="G1084" s="832"/>
      <c r="H1084" s="1219">
        <f t="shared" si="230"/>
        <v>4000</v>
      </c>
      <c r="I1084" s="1219">
        <f t="shared" si="231"/>
        <v>0</v>
      </c>
      <c r="J1084" s="1219">
        <f t="shared" si="232"/>
        <v>0</v>
      </c>
      <c r="K1084" s="1219">
        <f t="shared" si="233"/>
        <v>0</v>
      </c>
      <c r="L1084" s="832"/>
      <c r="M1084" s="996" t="str">
        <f t="shared" si="225"/>
        <v/>
      </c>
      <c r="N1084" s="832"/>
      <c r="O1084" s="832"/>
      <c r="P1084" s="832"/>
      <c r="Q1084" s="438"/>
      <c r="R1084" s="832" t="str">
        <f t="shared" si="234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24"/>
        <v>Other income: e.g. Credit (cotton loans)</v>
      </c>
      <c r="B1085" s="1209">
        <v>14</v>
      </c>
      <c r="C1085" s="1112">
        <f t="shared" si="226"/>
        <v>0</v>
      </c>
      <c r="D1085" s="1112">
        <f t="shared" si="227"/>
        <v>0</v>
      </c>
      <c r="E1085" s="1112">
        <f t="shared" si="228"/>
        <v>0</v>
      </c>
      <c r="F1085" s="1112">
        <f t="shared" si="229"/>
        <v>0</v>
      </c>
      <c r="G1085" s="832"/>
      <c r="H1085" s="1219">
        <f t="shared" si="230"/>
        <v>8400</v>
      </c>
      <c r="I1085" s="1219">
        <f t="shared" si="231"/>
        <v>0</v>
      </c>
      <c r="J1085" s="1219">
        <f t="shared" si="232"/>
        <v>6480</v>
      </c>
      <c r="K1085" s="1219">
        <f t="shared" si="233"/>
        <v>0</v>
      </c>
      <c r="L1085" s="832"/>
      <c r="M1085" s="996" t="str">
        <f t="shared" si="225"/>
        <v/>
      </c>
      <c r="N1085" s="832"/>
      <c r="O1085" s="832"/>
      <c r="P1085" s="832"/>
      <c r="Q1085" s="438"/>
      <c r="R1085" s="832" t="str">
        <f t="shared" si="234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24"/>
        <v>Remittances: no. times per year</v>
      </c>
      <c r="B1086" s="1209">
        <v>15</v>
      </c>
      <c r="C1086" s="1112">
        <f t="shared" si="226"/>
        <v>0</v>
      </c>
      <c r="D1086" s="1112">
        <f t="shared" si="227"/>
        <v>0</v>
      </c>
      <c r="E1086" s="1112">
        <f t="shared" si="228"/>
        <v>0</v>
      </c>
      <c r="F1086" s="1112">
        <f t="shared" si="229"/>
        <v>0</v>
      </c>
      <c r="G1086" s="832"/>
      <c r="H1086" s="1219">
        <f t="shared" si="230"/>
        <v>4400</v>
      </c>
      <c r="I1086" s="1219">
        <f t="shared" si="231"/>
        <v>0</v>
      </c>
      <c r="J1086" s="1219">
        <f t="shared" si="232"/>
        <v>12000</v>
      </c>
      <c r="K1086" s="1219">
        <f t="shared" si="233"/>
        <v>0</v>
      </c>
      <c r="L1086" s="832"/>
      <c r="M1086" s="996" t="str">
        <f t="shared" si="225"/>
        <v/>
      </c>
      <c r="N1086" s="832"/>
      <c r="O1086" s="832"/>
      <c r="P1086" s="832"/>
      <c r="Q1086" s="438"/>
      <c r="R1086" s="832" t="str">
        <f t="shared" si="234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24"/>
        <v/>
      </c>
      <c r="B1087" s="1209">
        <v>16</v>
      </c>
      <c r="C1087" s="1112" t="str">
        <f t="shared" si="226"/>
        <v/>
      </c>
      <c r="D1087" s="1112" t="str">
        <f t="shared" si="227"/>
        <v/>
      </c>
      <c r="E1087" s="1112" t="str">
        <f t="shared" si="228"/>
        <v/>
      </c>
      <c r="F1087" s="1112" t="str">
        <f t="shared" si="229"/>
        <v/>
      </c>
      <c r="G1087" s="832"/>
      <c r="H1087" s="1219" t="str">
        <f t="shared" si="230"/>
        <v/>
      </c>
      <c r="I1087" s="1219" t="str">
        <f t="shared" si="231"/>
        <v/>
      </c>
      <c r="J1087" s="1219" t="str">
        <f t="shared" si="232"/>
        <v/>
      </c>
      <c r="K1087" s="1219" t="str">
        <f t="shared" si="233"/>
        <v/>
      </c>
      <c r="L1087" s="832"/>
      <c r="M1087" s="996" t="str">
        <f t="shared" si="225"/>
        <v/>
      </c>
      <c r="N1087" s="832"/>
      <c r="O1087" s="832"/>
      <c r="P1087" s="832"/>
      <c r="Q1087" s="438"/>
      <c r="R1087" s="832" t="str">
        <f t="shared" si="234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24"/>
        <v/>
      </c>
      <c r="B1088" s="1209">
        <v>17</v>
      </c>
      <c r="C1088" s="1112" t="str">
        <f t="shared" si="226"/>
        <v/>
      </c>
      <c r="D1088" s="1112" t="str">
        <f t="shared" si="227"/>
        <v/>
      </c>
      <c r="E1088" s="1112" t="str">
        <f t="shared" si="228"/>
        <v/>
      </c>
      <c r="F1088" s="1112" t="str">
        <f t="shared" si="229"/>
        <v/>
      </c>
      <c r="G1088" s="832"/>
      <c r="H1088" s="1219" t="str">
        <f t="shared" si="230"/>
        <v/>
      </c>
      <c r="I1088" s="1219" t="str">
        <f t="shared" si="231"/>
        <v/>
      </c>
      <c r="J1088" s="1219" t="str">
        <f t="shared" si="232"/>
        <v/>
      </c>
      <c r="K1088" s="1219" t="str">
        <f t="shared" si="233"/>
        <v/>
      </c>
      <c r="L1088" s="832"/>
      <c r="M1088" s="996" t="str">
        <f t="shared" si="225"/>
        <v/>
      </c>
      <c r="N1088" s="832"/>
      <c r="O1088" s="832"/>
      <c r="P1088" s="832"/>
      <c r="Q1088" s="438"/>
      <c r="R1088" s="832" t="str">
        <f t="shared" si="234"/>
        <v/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24"/>
        <v/>
      </c>
      <c r="B1089" s="1209">
        <v>18</v>
      </c>
      <c r="C1089" s="1112" t="str">
        <f t="shared" si="226"/>
        <v/>
      </c>
      <c r="D1089" s="1112" t="str">
        <f t="shared" si="227"/>
        <v/>
      </c>
      <c r="E1089" s="1112" t="str">
        <f t="shared" si="228"/>
        <v/>
      </c>
      <c r="F1089" s="1112" t="str">
        <f t="shared" si="229"/>
        <v/>
      </c>
      <c r="G1089" s="832"/>
      <c r="H1089" s="1219" t="str">
        <f t="shared" si="230"/>
        <v/>
      </c>
      <c r="I1089" s="1219" t="str">
        <f t="shared" si="231"/>
        <v/>
      </c>
      <c r="J1089" s="1219" t="str">
        <f t="shared" si="232"/>
        <v/>
      </c>
      <c r="K1089" s="1219" t="str">
        <f t="shared" si="233"/>
        <v/>
      </c>
      <c r="L1089" s="832"/>
      <c r="M1089" s="996" t="str">
        <f t="shared" si="225"/>
        <v/>
      </c>
      <c r="N1089" s="832"/>
      <c r="O1089" s="832"/>
      <c r="P1089" s="832"/>
      <c r="Q1089" s="438"/>
      <c r="R1089" s="832" t="str">
        <f t="shared" si="234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24"/>
        <v/>
      </c>
      <c r="B1090" s="1209">
        <v>19</v>
      </c>
      <c r="C1090" s="1112" t="str">
        <f t="shared" si="226"/>
        <v/>
      </c>
      <c r="D1090" s="1112" t="str">
        <f t="shared" si="227"/>
        <v/>
      </c>
      <c r="E1090" s="1112" t="str">
        <f t="shared" si="228"/>
        <v/>
      </c>
      <c r="F1090" s="1112" t="str">
        <f t="shared" si="229"/>
        <v/>
      </c>
      <c r="G1090" s="832"/>
      <c r="H1090" s="1219" t="str">
        <f t="shared" si="230"/>
        <v/>
      </c>
      <c r="I1090" s="1219" t="str">
        <f t="shared" si="231"/>
        <v/>
      </c>
      <c r="J1090" s="1219" t="str">
        <f t="shared" si="232"/>
        <v/>
      </c>
      <c r="K1090" s="1219" t="str">
        <f t="shared" si="233"/>
        <v/>
      </c>
      <c r="L1090" s="832"/>
      <c r="M1090" s="996" t="str">
        <f t="shared" si="225"/>
        <v/>
      </c>
      <c r="N1090" s="832"/>
      <c r="O1090" s="832"/>
      <c r="P1090" s="832"/>
      <c r="Q1090" s="438"/>
      <c r="R1090" s="832" t="str">
        <f t="shared" si="234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24"/>
        <v/>
      </c>
      <c r="B1091" s="1209">
        <v>20</v>
      </c>
      <c r="C1091" s="1112" t="str">
        <f t="shared" si="226"/>
        <v/>
      </c>
      <c r="D1091" s="1112" t="str">
        <f t="shared" si="227"/>
        <v/>
      </c>
      <c r="E1091" s="1112" t="str">
        <f t="shared" si="228"/>
        <v/>
      </c>
      <c r="F1091" s="1112" t="str">
        <f t="shared" si="229"/>
        <v/>
      </c>
      <c r="G1091" s="832"/>
      <c r="H1091" s="1219" t="str">
        <f t="shared" si="230"/>
        <v/>
      </c>
      <c r="I1091" s="1219" t="str">
        <f t="shared" si="231"/>
        <v/>
      </c>
      <c r="J1091" s="1219" t="str">
        <f t="shared" si="232"/>
        <v/>
      </c>
      <c r="K1091" s="1219" t="str">
        <f t="shared" si="233"/>
        <v/>
      </c>
      <c r="L1091" s="832"/>
      <c r="M1091" s="996" t="str">
        <f t="shared" si="225"/>
        <v/>
      </c>
      <c r="N1091" s="832"/>
      <c r="O1091" s="832"/>
      <c r="P1091" s="832"/>
      <c r="Q1091" s="438"/>
      <c r="R1091" s="832" t="str">
        <f t="shared" si="234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24"/>
        <v/>
      </c>
      <c r="B1092" s="1209">
        <v>21</v>
      </c>
      <c r="C1092" s="1112" t="str">
        <f t="shared" si="226"/>
        <v/>
      </c>
      <c r="D1092" s="1112" t="str">
        <f t="shared" si="227"/>
        <v/>
      </c>
      <c r="E1092" s="1112" t="str">
        <f t="shared" si="228"/>
        <v/>
      </c>
      <c r="F1092" s="1112" t="str">
        <f t="shared" si="229"/>
        <v/>
      </c>
      <c r="G1092" s="832"/>
      <c r="H1092" s="1219" t="str">
        <f t="shared" si="230"/>
        <v/>
      </c>
      <c r="I1092" s="1219" t="str">
        <f t="shared" si="231"/>
        <v/>
      </c>
      <c r="J1092" s="1219" t="str">
        <f t="shared" si="232"/>
        <v/>
      </c>
      <c r="K1092" s="1219" t="str">
        <f t="shared" si="233"/>
        <v/>
      </c>
      <c r="L1092" s="832"/>
      <c r="M1092" s="996" t="str">
        <f t="shared" si="225"/>
        <v/>
      </c>
      <c r="N1092" s="832"/>
      <c r="O1092" s="832"/>
      <c r="P1092" s="832"/>
      <c r="Q1092" s="438"/>
      <c r="R1092" s="832" t="str">
        <f t="shared" si="234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24"/>
        <v/>
      </c>
      <c r="B1093" s="1209">
        <v>22</v>
      </c>
      <c r="C1093" s="1112" t="str">
        <f t="shared" si="226"/>
        <v/>
      </c>
      <c r="D1093" s="1112" t="str">
        <f t="shared" si="227"/>
        <v/>
      </c>
      <c r="E1093" s="1112" t="str">
        <f t="shared" si="228"/>
        <v/>
      </c>
      <c r="F1093" s="1112" t="str">
        <f t="shared" si="229"/>
        <v/>
      </c>
      <c r="G1093" s="832"/>
      <c r="H1093" s="1219" t="str">
        <f t="shared" si="230"/>
        <v/>
      </c>
      <c r="I1093" s="1219" t="str">
        <f t="shared" si="231"/>
        <v/>
      </c>
      <c r="J1093" s="1219" t="str">
        <f t="shared" si="232"/>
        <v/>
      </c>
      <c r="K1093" s="1219" t="str">
        <f t="shared" si="233"/>
        <v/>
      </c>
      <c r="L1093" s="832"/>
      <c r="M1093" s="996" t="str">
        <f t="shared" si="225"/>
        <v/>
      </c>
      <c r="N1093" s="832"/>
      <c r="O1093" s="832"/>
      <c r="P1093" s="832"/>
      <c r="Q1093" s="438"/>
      <c r="R1093" s="832" t="str">
        <f t="shared" si="234"/>
        <v/>
      </c>
      <c r="S1093" s="46"/>
      <c r="T1093" s="46"/>
      <c r="U1093" s="1052">
        <v>1093</v>
      </c>
      <c r="V1093" s="46"/>
    </row>
    <row r="1094" spans="1:22" ht="15.75" customHeight="1">
      <c r="A1094" s="1235"/>
      <c r="B1094" s="1209">
        <v>23</v>
      </c>
      <c r="C1094" s="1112" t="str">
        <f t="shared" si="226"/>
        <v/>
      </c>
      <c r="D1094" s="1112" t="str">
        <f t="shared" ref="D1094:D1095" si="235">IF($A1094="","",LOOKUP($B1094,$T$904:$T$983,M$904:M$983))</f>
        <v/>
      </c>
      <c r="E1094" s="1112" t="str">
        <f t="shared" ref="E1094:E1095" si="236">IF($A1094="","",LOOKUP($B1094,$T$904:$T$983,D$904:D$983))</f>
        <v/>
      </c>
      <c r="F1094" s="1112" t="str">
        <f t="shared" ref="F1094:F1095" si="237">IF($A1094="","",LOOKUP($B1094,$T$904:$T$983,N$904:N$983))</f>
        <v/>
      </c>
      <c r="G1094" s="832"/>
      <c r="H1094" s="1219" t="str">
        <f t="shared" ref="H1094:H1095" si="238">IF($A1094="","",LOOKUP($B1094,$T$904:$T$983,E$904:E$983))</f>
        <v/>
      </c>
      <c r="I1094" s="1219" t="str">
        <f t="shared" ref="I1094:I1095" si="239">IF($A1094="","",LOOKUP($B1094,$T$904:$T$983,O$904:O$983))</f>
        <v/>
      </c>
      <c r="J1094" s="1219" t="str">
        <f t="shared" ref="J1094:J1095" si="240">IF($A1094="","",LOOKUP($B1094,$T$904:$T$983,F$904:F$983))</f>
        <v/>
      </c>
      <c r="K1094" s="1219" t="str">
        <f t="shared" ref="K1094:K1095" si="241">IF($A1094="","",LOOKUP($B1094,$T$904:$T$983,P$904:P$983))</f>
        <v/>
      </c>
      <c r="L1094" s="832"/>
      <c r="M1094" s="996" t="str">
        <f t="shared" si="225"/>
        <v/>
      </c>
      <c r="N1094" s="832"/>
      <c r="O1094" s="832"/>
      <c r="P1094" s="832"/>
      <c r="Q1094" s="438"/>
      <c r="R1094" s="832" t="str">
        <f t="shared" si="234"/>
        <v/>
      </c>
      <c r="S1094" s="46"/>
      <c r="T1094" s="46"/>
      <c r="U1094" s="1052">
        <v>1094</v>
      </c>
      <c r="V1094" s="46"/>
    </row>
    <row r="1095" spans="1:22" ht="15.75" customHeight="1">
      <c r="A1095" s="1235"/>
      <c r="B1095" s="1209">
        <v>24</v>
      </c>
      <c r="C1095" s="1112" t="str">
        <f t="shared" si="226"/>
        <v/>
      </c>
      <c r="D1095" s="1112" t="str">
        <f t="shared" si="235"/>
        <v/>
      </c>
      <c r="E1095" s="1112" t="str">
        <f t="shared" si="236"/>
        <v/>
      </c>
      <c r="F1095" s="1112" t="str">
        <f t="shared" si="237"/>
        <v/>
      </c>
      <c r="G1095" s="832"/>
      <c r="H1095" s="1219" t="str">
        <f t="shared" si="238"/>
        <v/>
      </c>
      <c r="I1095" s="1219" t="str">
        <f t="shared" si="239"/>
        <v/>
      </c>
      <c r="J1095" s="1219" t="str">
        <f t="shared" si="240"/>
        <v/>
      </c>
      <c r="K1095" s="1219" t="str">
        <f t="shared" si="241"/>
        <v/>
      </c>
      <c r="L1095" s="832"/>
      <c r="M1095" s="996" t="str">
        <f t="shared" si="225"/>
        <v/>
      </c>
      <c r="N1095" s="832"/>
      <c r="O1095" s="832"/>
      <c r="P1095" s="832"/>
      <c r="Q1095" s="438"/>
      <c r="R1095" s="832" t="str">
        <f t="shared" si="234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>IF(OR(A1093="",LOOKUP(B1096,$T$904:$T$983,A$904:A$983)=A1093),"",LOOKUP(B1096,$T$904:$T$983,A$904:A$983))</f>
        <v/>
      </c>
      <c r="B1096" s="1209">
        <v>25</v>
      </c>
      <c r="C1096" s="1112" t="str">
        <f t="shared" si="226"/>
        <v/>
      </c>
      <c r="D1096" s="1112" t="str">
        <f t="shared" si="227"/>
        <v/>
      </c>
      <c r="E1096" s="1112" t="str">
        <f t="shared" si="228"/>
        <v/>
      </c>
      <c r="F1096" s="1112" t="str">
        <f t="shared" si="229"/>
        <v/>
      </c>
      <c r="G1096" s="832"/>
      <c r="H1096" s="1219" t="str">
        <f t="shared" si="230"/>
        <v/>
      </c>
      <c r="I1096" s="1219" t="str">
        <f t="shared" si="231"/>
        <v/>
      </c>
      <c r="J1096" s="1219" t="str">
        <f t="shared" si="232"/>
        <v/>
      </c>
      <c r="K1096" s="1219" t="str">
        <f t="shared" si="233"/>
        <v/>
      </c>
      <c r="L1096" s="832"/>
      <c r="M1096" s="996" t="str">
        <f t="shared" si="225"/>
        <v/>
      </c>
      <c r="N1096" s="832"/>
      <c r="O1096" s="832"/>
      <c r="P1096" s="832"/>
      <c r="Q1096" s="438"/>
      <c r="R1096" s="832" t="str">
        <f t="shared" si="234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74</v>
      </c>
      <c r="B1097" s="1209"/>
      <c r="C1097" s="1112">
        <f>SUM(C1072:C1096)</f>
        <v>39950</v>
      </c>
      <c r="D1097" s="1112">
        <f>SUM(D1072:D1096)</f>
        <v>-1250</v>
      </c>
      <c r="E1097" s="1112">
        <f>SUM(E1072:E1096)</f>
        <v>44021</v>
      </c>
      <c r="F1097" s="1112">
        <f>SUM(F1072:F1096)</f>
        <v>-4475</v>
      </c>
      <c r="G1097" s="832"/>
      <c r="H1097" s="1219">
        <f>SUM(H1072:H1096)</f>
        <v>77485</v>
      </c>
      <c r="I1097" s="1219">
        <f>SUM(I1072:I1096)</f>
        <v>-6220</v>
      </c>
      <c r="J1097" s="1219">
        <f>SUM(J1072:J1096)</f>
        <v>137557</v>
      </c>
      <c r="K1097" s="1219">
        <f>SUM(K1072:K1096)</f>
        <v>-10150</v>
      </c>
      <c r="L1097" s="832"/>
      <c r="M1097" s="832"/>
      <c r="N1097" s="832"/>
      <c r="O1097" s="832"/>
      <c r="P1097" s="832"/>
      <c r="Q1097" s="438"/>
      <c r="R1097" s="438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44" t="s">
        <v>538</v>
      </c>
      <c r="B1100" s="1209"/>
      <c r="C1100" s="1243">
        <f>C900</f>
        <v>1.2480448350563695</v>
      </c>
      <c r="D1100" s="1243">
        <f>M900</f>
        <v>0.19174828803297125</v>
      </c>
      <c r="E1100" s="1243">
        <f>D900</f>
        <v>1.3263900177047712</v>
      </c>
      <c r="F1100" s="1243">
        <f>N900</f>
        <v>0.24027786323706687</v>
      </c>
      <c r="G1100" s="832"/>
      <c r="H1100" s="1244">
        <f>E900</f>
        <v>1.4559870672412318</v>
      </c>
      <c r="I1100" s="1244">
        <f>O900</f>
        <v>0.42847792522682748</v>
      </c>
      <c r="J1100" s="1244">
        <f>F900</f>
        <v>1.6112009748100711</v>
      </c>
      <c r="K1100" s="1244">
        <f>P900</f>
        <v>0.48463515367569976</v>
      </c>
      <c r="L1100" s="832"/>
      <c r="M1100" s="832"/>
      <c r="N1100" s="832"/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44" t="s">
        <v>539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>
        <f>IF(SUM(I1043:I1068)=I1100,"OK",SUM(I1043:I1068))</f>
        <v>0.42847792522682759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44" t="s">
        <v>540</v>
      </c>
      <c r="B1102" s="1209"/>
      <c r="C1102" s="1210">
        <f>C985</f>
        <v>39950</v>
      </c>
      <c r="D1102" s="1210">
        <f>M985</f>
        <v>-1250</v>
      </c>
      <c r="E1102" s="1210">
        <f>D985</f>
        <v>44021</v>
      </c>
      <c r="F1102" s="1210">
        <f>N985</f>
        <v>-4475</v>
      </c>
      <c r="G1102" s="832"/>
      <c r="H1102" s="1245">
        <f>E985</f>
        <v>77485</v>
      </c>
      <c r="I1102" s="1245">
        <f>O985</f>
        <v>-6220</v>
      </c>
      <c r="J1102" s="1245">
        <f>F985</f>
        <v>137557</v>
      </c>
      <c r="K1102" s="1245">
        <f>P985</f>
        <v>-10150</v>
      </c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539</v>
      </c>
      <c r="B1103" s="1209"/>
      <c r="C1103" s="1210" t="str">
        <f>IF(SUM(C1071:C1096)=C1102,"OK",SUM(C1071:C1096))</f>
        <v>OK</v>
      </c>
      <c r="D1103" s="1210" t="str">
        <f>IF(SUM(D1071:D1096)=D1102,"OK",SUM(D1071:D1096))</f>
        <v>OK</v>
      </c>
      <c r="E1103" s="1210" t="str">
        <f>IF(SUM(E1071:E1096)=E1102,"OK",SUM(E1071:E1096))</f>
        <v>OK</v>
      </c>
      <c r="F1103" s="1210" t="str">
        <f>IF(SUM(F1071:F1096)=F1102,"OK",SUM(F1071:F1096))</f>
        <v>OK</v>
      </c>
      <c r="G1103" s="832"/>
      <c r="H1103" s="1210" t="str">
        <f>IF(SUM(H1071:H1096)=H1102,"OK",SUM(H1071:H1096))</f>
        <v>OK</v>
      </c>
      <c r="I1103" s="1210" t="str">
        <f>IF(SUM(I1071:I1096)=I1102,"OK",SUM(I1071:I1096))</f>
        <v>OK</v>
      </c>
      <c r="J1103" s="1210" t="str">
        <f>IF(SUM(J1071:J1096)=J1102,"OK",SUM(J1071:J1096))</f>
        <v>OK</v>
      </c>
      <c r="K1103" s="1210" t="str">
        <f>IF(SUM(K1071:K1096)=K1102,"OK",SUM(K1071:K1096))</f>
        <v>OK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145" t="s">
        <v>541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145" t="s">
        <v>542</v>
      </c>
      <c r="B1106" s="1209"/>
      <c r="C1106" s="682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14495.755404911095</v>
      </c>
      <c r="D1108" s="1210">
        <f>E1038*365*E1039*E1040</f>
        <v>14495.755404911095</v>
      </c>
      <c r="E1108" s="1210">
        <f>H1038*365*H1039*H1040</f>
        <v>14495.755404911095</v>
      </c>
      <c r="F1108" s="1210">
        <f>J1038*365*J1039*J1040</f>
        <v>14495.755404911095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543</v>
      </c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145" t="s">
        <v>544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545</v>
      </c>
      <c r="N1110" s="1248" t="s">
        <v>357</v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43" t="str">
        <f t="shared" ref="A1111:A1130" si="242">A830</f>
        <v>Green cons - Season 1: no of months</v>
      </c>
      <c r="B1111" s="832"/>
      <c r="C1111" s="1241">
        <f t="shared" ref="C1111:F1112" si="243">MAX(SUM(C830,M830),SUM(C830))</f>
        <v>2.8333333333333335E-2</v>
      </c>
      <c r="D1111" s="1241">
        <f t="shared" si="243"/>
        <v>1.1666666666666667E-2</v>
      </c>
      <c r="E1111" s="1241">
        <f t="shared" si="243"/>
        <v>1.1666666666666667E-2</v>
      </c>
      <c r="F1111" s="1241">
        <f t="shared" si="243"/>
        <v>1.1666666666666667E-2</v>
      </c>
      <c r="G1111" s="832"/>
      <c r="H1111" s="46"/>
      <c r="I1111" s="46"/>
      <c r="J1111" s="46"/>
      <c r="K1111" s="46"/>
      <c r="L1111" s="44"/>
      <c r="M1111" s="1232" t="str">
        <f t="shared" ref="M1111:M1144" si="244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43" t="str">
        <f t="shared" si="242"/>
        <v xml:space="preserve">Green beans </v>
      </c>
      <c r="B1112" s="832"/>
      <c r="C1112" s="1241">
        <f t="shared" si="243"/>
        <v>6.25E-2</v>
      </c>
      <c r="D1112" s="1241">
        <f t="shared" si="243"/>
        <v>2.8333333333333335E-2</v>
      </c>
      <c r="E1112" s="1241">
        <f t="shared" si="243"/>
        <v>2.8333333333333335E-2</v>
      </c>
      <c r="F1112" s="1241">
        <f t="shared" si="243"/>
        <v>2.8333333333333335E-2</v>
      </c>
      <c r="G1112" s="832"/>
      <c r="H1112" s="46"/>
      <c r="I1112" s="46"/>
      <c r="J1112" s="46"/>
      <c r="K1112" s="46"/>
      <c r="L1112" s="44"/>
      <c r="M1112" s="1232" t="str">
        <f t="shared" si="244"/>
        <v/>
      </c>
      <c r="N1112" s="1249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42"/>
        <v>Maize: kg produced</v>
      </c>
      <c r="B1113" s="832"/>
      <c r="C1113" s="1241">
        <f t="shared" ref="C1113:C1130" si="245">IF(C$1108=0,0,MAX((SUM(C832,M832)+SUM(C932,M932)/C$1108),(SUM(C832)+SUM(C932)/C$1108)))</f>
        <v>0.15772191780821915</v>
      </c>
      <c r="D1113" s="1241">
        <f t="shared" ref="D1113:D1130" si="246">IF(D$1108=0,0,MAX((SUM(D832,N832)+SUM(D932,N932)/D$1108),(SUM(D832)+SUM(D932)/D$1108)))</f>
        <v>0.21029589041095886</v>
      </c>
      <c r="E1113" s="1241">
        <f t="shared" ref="E1113:E1130" si="247">IF(E$1108=0,0,MAX((SUM(E832,O832)+SUM(E932,O932)/E$1108),(SUM(E832)+SUM(E932)/E$1108)))</f>
        <v>0.52573972602739716</v>
      </c>
      <c r="F1113" s="1241">
        <f t="shared" ref="F1113:F1130" si="248">IF(F$1108=0,0,MAX((SUM(F832,P832)+SUM(F932,P932)/F$1108),(SUM(F832)+SUM(F932)/F$1108)))</f>
        <v>0.63088767123287659</v>
      </c>
      <c r="G1113" s="832"/>
      <c r="H1113" s="1242">
        <f t="shared" ref="H1113:H1130" si="249">IF(C$1108=0,0,MAX(SUM(C932,M932)/C$1108,SUM(C932)/C$1108))</f>
        <v>0</v>
      </c>
      <c r="I1113" s="1242">
        <f t="shared" ref="I1113:I1130" si="250">IF(D$1108=0,0,MAX(SUM(D932,N932)/D$1108,SUM(D932)/D$1108))</f>
        <v>3.4492855738349606E-2</v>
      </c>
      <c r="J1113" s="1242">
        <f t="shared" ref="J1113:J1130" si="251">IF(E$1108=0,0,MAX(SUM(E932,O932)/E$1108,SUM(E932)/E$1108))</f>
        <v>0.27594284590679685</v>
      </c>
      <c r="K1113" s="1242">
        <f t="shared" ref="K1113:K1130" si="252">IF(F$1108=0,0,MAX(SUM(F932,P932)/F$1108,SUM(F932)/F$1108))</f>
        <v>0.33113141508815624</v>
      </c>
      <c r="L1113" s="44"/>
      <c r="M1113" s="1232" t="str">
        <f t="shared" si="244"/>
        <v>yes</v>
      </c>
      <c r="N1113" s="1246" t="str">
        <f t="shared" ref="N1113:N1132" si="253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42"/>
        <v>Sorghum: kg produced</v>
      </c>
      <c r="B1114" s="832"/>
      <c r="C1114" s="1241">
        <f t="shared" si="245"/>
        <v>0</v>
      </c>
      <c r="D1114" s="1241">
        <f t="shared" si="246"/>
        <v>0</v>
      </c>
      <c r="E1114" s="1241">
        <f t="shared" si="247"/>
        <v>0</v>
      </c>
      <c r="F1114" s="1241">
        <f t="shared" si="248"/>
        <v>0</v>
      </c>
      <c r="G1114" s="832"/>
      <c r="H1114" s="1242">
        <f t="shared" si="249"/>
        <v>0</v>
      </c>
      <c r="I1114" s="1242">
        <f t="shared" si="250"/>
        <v>0</v>
      </c>
      <c r="J1114" s="1242">
        <f t="shared" si="251"/>
        <v>0</v>
      </c>
      <c r="K1114" s="1242">
        <f t="shared" si="252"/>
        <v>0</v>
      </c>
      <c r="L1114" s="44"/>
      <c r="M1114" s="1232" t="str">
        <f t="shared" si="244"/>
        <v/>
      </c>
      <c r="N1114" s="1246" t="str">
        <f t="shared" si="253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42"/>
        <v>High value cereal: kg produced</v>
      </c>
      <c r="B1115" s="832"/>
      <c r="C1115" s="1241">
        <f t="shared" si="245"/>
        <v>0</v>
      </c>
      <c r="D1115" s="1241">
        <f t="shared" si="246"/>
        <v>0</v>
      </c>
      <c r="E1115" s="1241">
        <f t="shared" si="247"/>
        <v>0</v>
      </c>
      <c r="F1115" s="1241">
        <f t="shared" si="248"/>
        <v>0</v>
      </c>
      <c r="G1115" s="832"/>
      <c r="H1115" s="1242">
        <f t="shared" si="249"/>
        <v>0</v>
      </c>
      <c r="I1115" s="1242">
        <f t="shared" si="250"/>
        <v>0</v>
      </c>
      <c r="J1115" s="1242">
        <f t="shared" si="251"/>
        <v>0</v>
      </c>
      <c r="K1115" s="1242">
        <f t="shared" si="252"/>
        <v>0</v>
      </c>
      <c r="L1115" s="44"/>
      <c r="M1115" s="1232" t="str">
        <f t="shared" si="244"/>
        <v/>
      </c>
      <c r="N1115" s="1246" t="str">
        <f t="shared" si="253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42"/>
        <v>High value cereal: kg produced</v>
      </c>
      <c r="B1116" s="832"/>
      <c r="C1116" s="1241">
        <f t="shared" si="245"/>
        <v>0</v>
      </c>
      <c r="D1116" s="1241">
        <f t="shared" si="246"/>
        <v>0</v>
      </c>
      <c r="E1116" s="1241">
        <f t="shared" si="247"/>
        <v>0</v>
      </c>
      <c r="F1116" s="1241">
        <f t="shared" si="248"/>
        <v>0</v>
      </c>
      <c r="G1116" s="832"/>
      <c r="H1116" s="1242">
        <f t="shared" si="249"/>
        <v>0</v>
      </c>
      <c r="I1116" s="1242">
        <f t="shared" si="250"/>
        <v>0</v>
      </c>
      <c r="J1116" s="1242">
        <f t="shared" si="251"/>
        <v>0</v>
      </c>
      <c r="K1116" s="1242">
        <f t="shared" si="252"/>
        <v>0</v>
      </c>
      <c r="L1116" s="44"/>
      <c r="M1116" s="1232" t="str">
        <f t="shared" si="244"/>
        <v/>
      </c>
      <c r="N1116" s="1246" t="str">
        <f t="shared" si="253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42"/>
        <v>Cowpeas: kg produced</v>
      </c>
      <c r="B1117" s="832"/>
      <c r="C1117" s="1241">
        <f t="shared" si="245"/>
        <v>0</v>
      </c>
      <c r="D1117" s="1241">
        <f t="shared" si="246"/>
        <v>0</v>
      </c>
      <c r="E1117" s="1241">
        <f t="shared" si="247"/>
        <v>0</v>
      </c>
      <c r="F1117" s="1241">
        <f t="shared" si="248"/>
        <v>0</v>
      </c>
      <c r="G1117" s="832"/>
      <c r="H1117" s="1242">
        <f t="shared" si="249"/>
        <v>0</v>
      </c>
      <c r="I1117" s="1242">
        <f t="shared" si="250"/>
        <v>0</v>
      </c>
      <c r="J1117" s="1242">
        <f t="shared" si="251"/>
        <v>0</v>
      </c>
      <c r="K1117" s="1242">
        <f t="shared" si="252"/>
        <v>0</v>
      </c>
      <c r="L1117" s="44"/>
      <c r="M1117" s="1232" t="str">
        <f t="shared" si="244"/>
        <v/>
      </c>
      <c r="N1117" s="1246" t="str">
        <f t="shared" si="253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42"/>
        <v>Beans: kg produced</v>
      </c>
      <c r="B1118" s="832"/>
      <c r="C1118" s="1241">
        <f t="shared" si="245"/>
        <v>2.4549003735990036E-2</v>
      </c>
      <c r="D1118" s="1241">
        <f t="shared" si="246"/>
        <v>4.9098007471980072E-2</v>
      </c>
      <c r="E1118" s="1241">
        <f t="shared" si="247"/>
        <v>4.9098007471980072E-2</v>
      </c>
      <c r="F1118" s="1241">
        <f t="shared" si="248"/>
        <v>0.20086657272071834</v>
      </c>
      <c r="G1118" s="832"/>
      <c r="H1118" s="1242">
        <f t="shared" si="249"/>
        <v>0</v>
      </c>
      <c r="I1118" s="1242">
        <f t="shared" si="250"/>
        <v>0</v>
      </c>
      <c r="J1118" s="1242">
        <f t="shared" si="251"/>
        <v>0</v>
      </c>
      <c r="K1118" s="1242">
        <f t="shared" si="252"/>
        <v>0.15176856524873827</v>
      </c>
      <c r="L1118" s="44"/>
      <c r="M1118" s="1232" t="str">
        <f t="shared" si="244"/>
        <v>yes</v>
      </c>
      <c r="N1118" s="1246" t="str">
        <f t="shared" si="253"/>
        <v>yes</v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42"/>
        <v>Millet: kg produced</v>
      </c>
      <c r="B1119" s="832"/>
      <c r="C1119" s="1241">
        <f t="shared" si="245"/>
        <v>0</v>
      </c>
      <c r="D1119" s="1241">
        <f t="shared" si="246"/>
        <v>0</v>
      </c>
      <c r="E1119" s="1241">
        <f t="shared" si="247"/>
        <v>0</v>
      </c>
      <c r="F1119" s="1241">
        <f t="shared" si="248"/>
        <v>0</v>
      </c>
      <c r="G1119" s="832"/>
      <c r="H1119" s="1242">
        <f t="shared" si="249"/>
        <v>0</v>
      </c>
      <c r="I1119" s="1242">
        <f t="shared" si="250"/>
        <v>0</v>
      </c>
      <c r="J1119" s="1242">
        <f t="shared" si="251"/>
        <v>0</v>
      </c>
      <c r="K1119" s="1242">
        <f t="shared" si="252"/>
        <v>0</v>
      </c>
      <c r="L1119" s="44"/>
      <c r="M1119" s="1232" t="str">
        <f t="shared" si="244"/>
        <v/>
      </c>
      <c r="N1119" s="1246" t="str">
        <f t="shared" si="253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42"/>
        <v>Potato: kg produced</v>
      </c>
      <c r="B1120" s="832"/>
      <c r="C1120" s="1241">
        <f t="shared" si="245"/>
        <v>5.4310225543102251E-3</v>
      </c>
      <c r="D1120" s="1241">
        <f t="shared" si="246"/>
        <v>5.4310225543102251E-3</v>
      </c>
      <c r="E1120" s="1241">
        <f t="shared" si="247"/>
        <v>5.4014530306671617E-2</v>
      </c>
      <c r="F1120" s="1241">
        <f t="shared" si="248"/>
        <v>0.25921060642473764</v>
      </c>
      <c r="G1120" s="832"/>
      <c r="H1120" s="1242">
        <f t="shared" si="249"/>
        <v>0</v>
      </c>
      <c r="I1120" s="1242">
        <f t="shared" si="250"/>
        <v>0</v>
      </c>
      <c r="J1120" s="1242">
        <f t="shared" si="251"/>
        <v>4.9669712263223434E-2</v>
      </c>
      <c r="K1120" s="1242">
        <f t="shared" si="252"/>
        <v>0.24834856131611718</v>
      </c>
      <c r="L1120" s="44"/>
      <c r="M1120" s="1232" t="str">
        <f t="shared" si="244"/>
        <v>yes</v>
      </c>
      <c r="N1120" s="1246" t="str">
        <f t="shared" si="253"/>
        <v>yes</v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 t="shared" si="242"/>
        <v>Wheat: kg produced</v>
      </c>
      <c r="B1121" s="832"/>
      <c r="C1121" s="1241">
        <f t="shared" si="245"/>
        <v>0</v>
      </c>
      <c r="D1121" s="1241">
        <f t="shared" si="246"/>
        <v>0</v>
      </c>
      <c r="E1121" s="1241">
        <f t="shared" si="247"/>
        <v>0</v>
      </c>
      <c r="F1121" s="1241">
        <f t="shared" si="248"/>
        <v>0</v>
      </c>
      <c r="G1121" s="832"/>
      <c r="H1121" s="1242">
        <f t="shared" si="249"/>
        <v>0</v>
      </c>
      <c r="I1121" s="1242">
        <f t="shared" si="250"/>
        <v>0</v>
      </c>
      <c r="J1121" s="1242">
        <f t="shared" si="251"/>
        <v>0</v>
      </c>
      <c r="K1121" s="1242">
        <f t="shared" si="252"/>
        <v>0</v>
      </c>
      <c r="L1121" s="44"/>
      <c r="M1121" s="1232" t="str">
        <f t="shared" si="244"/>
        <v/>
      </c>
      <c r="N1121" s="1246" t="str">
        <f t="shared" si="253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 t="shared" si="242"/>
        <v>Cassava: no. local meas.</v>
      </c>
      <c r="B1122" s="832"/>
      <c r="C1122" s="1241">
        <f t="shared" si="245"/>
        <v>0</v>
      </c>
      <c r="D1122" s="1241">
        <f t="shared" si="246"/>
        <v>0</v>
      </c>
      <c r="E1122" s="1241">
        <f t="shared" si="247"/>
        <v>0</v>
      </c>
      <c r="F1122" s="1241">
        <f t="shared" si="248"/>
        <v>0</v>
      </c>
      <c r="G1122" s="832"/>
      <c r="H1122" s="1242">
        <f t="shared" si="249"/>
        <v>0</v>
      </c>
      <c r="I1122" s="1242">
        <f t="shared" si="250"/>
        <v>0</v>
      </c>
      <c r="J1122" s="1242">
        <f t="shared" si="251"/>
        <v>0</v>
      </c>
      <c r="K1122" s="1242">
        <f t="shared" si="252"/>
        <v>0</v>
      </c>
      <c r="L1122" s="44"/>
      <c r="M1122" s="1232" t="str">
        <f t="shared" si="244"/>
        <v/>
      </c>
      <c r="N1122" s="1246" t="str">
        <f t="shared" si="253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 t="shared" si="242"/>
        <v>Water melon: no. local meas</v>
      </c>
      <c r="B1123" s="832"/>
      <c r="C1123" s="1241">
        <f t="shared" si="245"/>
        <v>0</v>
      </c>
      <c r="D1123" s="1241">
        <f t="shared" si="246"/>
        <v>0</v>
      </c>
      <c r="E1123" s="1241">
        <f t="shared" si="247"/>
        <v>0</v>
      </c>
      <c r="F1123" s="1241">
        <f t="shared" si="248"/>
        <v>0</v>
      </c>
      <c r="G1123" s="832"/>
      <c r="H1123" s="1242">
        <f t="shared" si="249"/>
        <v>0</v>
      </c>
      <c r="I1123" s="1242">
        <f t="shared" si="250"/>
        <v>0</v>
      </c>
      <c r="J1123" s="1242">
        <f t="shared" si="251"/>
        <v>0</v>
      </c>
      <c r="K1123" s="1242">
        <f t="shared" si="252"/>
        <v>0</v>
      </c>
      <c r="L1123" s="44"/>
      <c r="M1123" s="1232" t="str">
        <f t="shared" si="244"/>
        <v/>
      </c>
      <c r="N1123" s="1246" t="str">
        <f t="shared" si="253"/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 t="shared" si="242"/>
        <v>Other melons: no. local meas</v>
      </c>
      <c r="B1124" s="832"/>
      <c r="C1124" s="1241">
        <f t="shared" si="245"/>
        <v>0</v>
      </c>
      <c r="D1124" s="1241">
        <f t="shared" si="246"/>
        <v>0</v>
      </c>
      <c r="E1124" s="1241">
        <f t="shared" si="247"/>
        <v>0</v>
      </c>
      <c r="F1124" s="1241">
        <f t="shared" si="248"/>
        <v>0</v>
      </c>
      <c r="G1124" s="832"/>
      <c r="H1124" s="1242">
        <f t="shared" si="249"/>
        <v>0</v>
      </c>
      <c r="I1124" s="1242">
        <f t="shared" si="250"/>
        <v>0</v>
      </c>
      <c r="J1124" s="1242">
        <f t="shared" si="251"/>
        <v>0</v>
      </c>
      <c r="K1124" s="1242">
        <f t="shared" si="252"/>
        <v>0</v>
      </c>
      <c r="L1124" s="44"/>
      <c r="M1124" s="1232" t="str">
        <f t="shared" si="244"/>
        <v/>
      </c>
      <c r="N1124" s="1246" t="str">
        <f t="shared" si="253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50" t="str">
        <f t="shared" si="242"/>
        <v>Other root crops: no. local meas( Sweet potato)</v>
      </c>
      <c r="B1125" s="832"/>
      <c r="C1125" s="1241">
        <f t="shared" si="245"/>
        <v>9.4482450678377142E-2</v>
      </c>
      <c r="D1125" s="1241">
        <f t="shared" si="246"/>
        <v>0.10198695680671166</v>
      </c>
      <c r="E1125" s="1241">
        <f t="shared" si="247"/>
        <v>0.10198695680671166</v>
      </c>
      <c r="F1125" s="1241">
        <f t="shared" si="248"/>
        <v>0.21371583535426361</v>
      </c>
      <c r="G1125" s="832"/>
      <c r="H1125" s="1242">
        <f t="shared" si="249"/>
        <v>8.6232139345874023E-2</v>
      </c>
      <c r="I1125" s="1242">
        <f t="shared" si="250"/>
        <v>6.8985711476699213E-2</v>
      </c>
      <c r="J1125" s="1242">
        <f t="shared" si="251"/>
        <v>6.8985711476699213E-2</v>
      </c>
      <c r="K1125" s="1242">
        <f t="shared" si="252"/>
        <v>0.17246427869174805</v>
      </c>
      <c r="L1125" s="44"/>
      <c r="M1125" s="1232" t="str">
        <f t="shared" si="244"/>
        <v>yes</v>
      </c>
      <c r="N1125" s="1246" t="str">
        <f t="shared" si="253"/>
        <v>yes</v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50" t="str">
        <f t="shared" si="242"/>
        <v>Groundnuts (dry): no. local meas</v>
      </c>
      <c r="B1126" s="832"/>
      <c r="C1126" s="1241">
        <f t="shared" si="245"/>
        <v>0</v>
      </c>
      <c r="D1126" s="1241">
        <f t="shared" si="246"/>
        <v>0</v>
      </c>
      <c r="E1126" s="1241">
        <f t="shared" si="247"/>
        <v>0</v>
      </c>
      <c r="F1126" s="1241">
        <f t="shared" si="248"/>
        <v>0</v>
      </c>
      <c r="G1126" s="832"/>
      <c r="H1126" s="1242">
        <f t="shared" si="249"/>
        <v>0</v>
      </c>
      <c r="I1126" s="1242">
        <f t="shared" si="250"/>
        <v>0</v>
      </c>
      <c r="J1126" s="1242">
        <f t="shared" si="251"/>
        <v>0</v>
      </c>
      <c r="K1126" s="1242">
        <f t="shared" si="252"/>
        <v>0</v>
      </c>
      <c r="L1126" s="44"/>
      <c r="M1126" s="1232" t="str">
        <f t="shared" si="244"/>
        <v/>
      </c>
      <c r="N1126" s="1246" t="str">
        <f t="shared" si="253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50" t="str">
        <f t="shared" si="242"/>
        <v>Roundnuts (bambara): no. local meas</v>
      </c>
      <c r="B1127" s="832"/>
      <c r="C1127" s="1241">
        <f t="shared" si="245"/>
        <v>0</v>
      </c>
      <c r="D1127" s="1241">
        <f t="shared" si="246"/>
        <v>0</v>
      </c>
      <c r="E1127" s="1241">
        <f t="shared" si="247"/>
        <v>0</v>
      </c>
      <c r="F1127" s="1241">
        <f t="shared" si="248"/>
        <v>0</v>
      </c>
      <c r="G1127" s="832"/>
      <c r="H1127" s="1242">
        <f t="shared" si="249"/>
        <v>0</v>
      </c>
      <c r="I1127" s="1242">
        <f t="shared" si="250"/>
        <v>0</v>
      </c>
      <c r="J1127" s="1242">
        <f t="shared" si="251"/>
        <v>0</v>
      </c>
      <c r="K1127" s="1242">
        <f t="shared" si="252"/>
        <v>0</v>
      </c>
      <c r="L1127" s="44"/>
      <c r="M1127" s="1232" t="str">
        <f t="shared" si="244"/>
        <v/>
      </c>
      <c r="N1127" s="1246" t="str">
        <f t="shared" si="253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50" t="str">
        <f t="shared" si="242"/>
        <v>Other crop: Amadumbe</v>
      </c>
      <c r="B1128" s="832"/>
      <c r="C1128" s="1241">
        <f t="shared" si="245"/>
        <v>1.4390480143904802E-3</v>
      </c>
      <c r="D1128" s="1241">
        <f t="shared" si="246"/>
        <v>3.8090475774325804E-2</v>
      </c>
      <c r="E1128" s="1241">
        <f t="shared" si="247"/>
        <v>3.8090475774325804E-2</v>
      </c>
      <c r="F1128" s="1241">
        <f t="shared" si="248"/>
        <v>9.1628569399838322E-2</v>
      </c>
      <c r="G1128" s="832"/>
      <c r="H1128" s="1242">
        <f t="shared" si="249"/>
        <v>0</v>
      </c>
      <c r="I1128" s="1242">
        <f t="shared" si="250"/>
        <v>3.4492855738349606E-2</v>
      </c>
      <c r="J1128" s="1242">
        <f t="shared" si="251"/>
        <v>3.4492855738349606E-2</v>
      </c>
      <c r="K1128" s="1242">
        <f t="shared" si="252"/>
        <v>8.6232139345874023E-2</v>
      </c>
      <c r="L1128" s="44"/>
      <c r="M1128" s="1232" t="str">
        <f t="shared" si="244"/>
        <v/>
      </c>
      <c r="N1128" s="1246" t="str">
        <f t="shared" si="253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50" t="str">
        <f t="shared" si="242"/>
        <v>Other crop: pumpkin</v>
      </c>
      <c r="B1129" s="832"/>
      <c r="C1129" s="1241">
        <f t="shared" si="245"/>
        <v>0</v>
      </c>
      <c r="D1129" s="1241">
        <f t="shared" si="246"/>
        <v>0</v>
      </c>
      <c r="E1129" s="1241">
        <f t="shared" si="247"/>
        <v>0</v>
      </c>
      <c r="F1129" s="1241">
        <f t="shared" si="248"/>
        <v>0</v>
      </c>
      <c r="G1129" s="832"/>
      <c r="H1129" s="1242">
        <f t="shared" si="249"/>
        <v>0</v>
      </c>
      <c r="I1129" s="1242">
        <f t="shared" si="250"/>
        <v>0</v>
      </c>
      <c r="J1129" s="1242">
        <f t="shared" si="251"/>
        <v>0</v>
      </c>
      <c r="K1129" s="1242">
        <f t="shared" si="252"/>
        <v>0</v>
      </c>
      <c r="L1129" s="44"/>
      <c r="M1129" s="1232" t="str">
        <f t="shared" si="244"/>
        <v/>
      </c>
      <c r="N1129" s="1246" t="str">
        <f t="shared" si="253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50" t="str">
        <f t="shared" si="242"/>
        <v>Other crop:</v>
      </c>
      <c r="B1130" s="832"/>
      <c r="C1130" s="1241">
        <f t="shared" si="245"/>
        <v>0</v>
      </c>
      <c r="D1130" s="1241">
        <f t="shared" si="246"/>
        <v>0</v>
      </c>
      <c r="E1130" s="1241">
        <f t="shared" si="247"/>
        <v>0</v>
      </c>
      <c r="F1130" s="1241">
        <f t="shared" si="248"/>
        <v>0</v>
      </c>
      <c r="G1130" s="832"/>
      <c r="H1130" s="1242">
        <f t="shared" si="249"/>
        <v>0</v>
      </c>
      <c r="I1130" s="1242">
        <f t="shared" si="250"/>
        <v>0</v>
      </c>
      <c r="J1130" s="1242">
        <f t="shared" si="251"/>
        <v>0</v>
      </c>
      <c r="K1130" s="1242">
        <f t="shared" si="252"/>
        <v>0</v>
      </c>
      <c r="L1130" s="44"/>
      <c r="M1130" s="1232" t="str">
        <f t="shared" si="244"/>
        <v/>
      </c>
      <c r="N1130" s="1246" t="str">
        <f t="shared" si="253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 t="shared" ref="C1131:F1132" si="254">IF(C$1108=0,0,MAX((SUM(C851,M851)+SUM(C962,M962)/C$1108),(SUM(C851)+SUM(C962)/C$1108)))</f>
        <v>0</v>
      </c>
      <c r="D1131" s="1241">
        <f t="shared" si="254"/>
        <v>0</v>
      </c>
      <c r="E1131" s="1241">
        <f t="shared" si="254"/>
        <v>0</v>
      </c>
      <c r="F1131" s="1241">
        <f t="shared" si="254"/>
        <v>0</v>
      </c>
      <c r="G1131" s="832"/>
      <c r="H1131" s="1242">
        <f t="shared" ref="H1131:K1132" si="255">IF(C$1108=0,0,MAX(SUM(C962,M962)/C$1108,SUM(C962)/C$1108))</f>
        <v>0</v>
      </c>
      <c r="I1131" s="1242">
        <f t="shared" si="255"/>
        <v>0</v>
      </c>
      <c r="J1131" s="1242">
        <f t="shared" si="255"/>
        <v>0</v>
      </c>
      <c r="K1131" s="1242">
        <f t="shared" si="255"/>
        <v>0</v>
      </c>
      <c r="L1131" s="44"/>
      <c r="M1131" s="1232" t="str">
        <f t="shared" si="244"/>
        <v/>
      </c>
      <c r="N1131" s="1246" t="str">
        <f t="shared" si="253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 t="shared" si="254"/>
        <v>0</v>
      </c>
      <c r="D1132" s="1241">
        <f t="shared" si="254"/>
        <v>0</v>
      </c>
      <c r="E1132" s="1241">
        <f t="shared" si="254"/>
        <v>0</v>
      </c>
      <c r="F1132" s="1241">
        <f t="shared" si="254"/>
        <v>0</v>
      </c>
      <c r="G1132" s="832"/>
      <c r="H1132" s="1242">
        <f t="shared" si="255"/>
        <v>0</v>
      </c>
      <c r="I1132" s="1242">
        <f t="shared" si="255"/>
        <v>0</v>
      </c>
      <c r="J1132" s="1242">
        <f t="shared" si="255"/>
        <v>0</v>
      </c>
      <c r="K1132" s="1242">
        <f t="shared" si="255"/>
        <v>0</v>
      </c>
      <c r="L1132" s="44"/>
      <c r="M1132" s="1232" t="str">
        <f t="shared" si="244"/>
        <v/>
      </c>
      <c r="N1132" s="1246" t="str">
        <f t="shared" si="253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1.7712081421642523</v>
      </c>
      <c r="F1133" s="1241">
        <f>IF(F$1108=0,0,MAX(SUM(F931,P931)/F$1108,SUM(F931)/F$1108))</f>
        <v>2.0695713443009764</v>
      </c>
      <c r="G1133" s="832"/>
      <c r="H1133" s="46"/>
      <c r="I1133" s="46"/>
      <c r="J1133" s="46"/>
      <c r="K1133" s="831"/>
      <c r="L1133" s="832"/>
      <c r="M1133" s="1232" t="str">
        <f t="shared" si="244"/>
        <v>yes</v>
      </c>
      <c r="N1133" s="1232" t="str">
        <f t="shared" ref="N1133:N1144" si="256">M1133</f>
        <v>yes</v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ref="A1134:A1144" si="257">A950</f>
        <v>Main cashcrop kg sold (Sugarcane)</v>
      </c>
      <c r="B1134" s="832"/>
      <c r="C1134" s="1241">
        <f t="shared" ref="C1134:C1144" si="258">IF(C$1108=0,0,MAX(SUM(C950,M950)/C$1108,SUM(C950)/C$1108))</f>
        <v>0</v>
      </c>
      <c r="D1134" s="1241">
        <f t="shared" ref="D1134:D1144" si="259">IF(D$1108=0,0,MAX(SUM(D950,N950)/D$1108,SUM(D950)/D$1108))</f>
        <v>0</v>
      </c>
      <c r="E1134" s="1241">
        <f t="shared" ref="E1134:E1144" si="260">IF(E$1108=0,0,MAX(SUM(E950,O950)/E$1108,SUM(E950)/E$1108))</f>
        <v>0</v>
      </c>
      <c r="F1134" s="1241">
        <f t="shared" ref="F1134:F1144" si="261"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44"/>
        <v/>
      </c>
      <c r="N1134" s="1232" t="str">
        <f t="shared" si="256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44" t="str">
        <f t="shared" si="257"/>
        <v>Other cashcrop: kg produced</v>
      </c>
      <c r="B1135" s="832"/>
      <c r="C1135" s="1241">
        <f t="shared" si="258"/>
        <v>0</v>
      </c>
      <c r="D1135" s="1241">
        <f t="shared" si="259"/>
        <v>0</v>
      </c>
      <c r="E1135" s="1241">
        <f t="shared" si="260"/>
        <v>0</v>
      </c>
      <c r="F1135" s="1241">
        <f t="shared" si="261"/>
        <v>0</v>
      </c>
      <c r="G1135" s="832"/>
      <c r="H1135" s="46"/>
      <c r="I1135" s="46"/>
      <c r="J1135" s="46"/>
      <c r="K1135" s="831"/>
      <c r="L1135" s="832"/>
      <c r="M1135" s="1232" t="str">
        <f t="shared" si="244"/>
        <v/>
      </c>
      <c r="N1135" s="1232" t="str">
        <f t="shared" si="256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 t="shared" si="257"/>
        <v>Other cashcrop: kg produced</v>
      </c>
      <c r="B1136" s="832"/>
      <c r="C1136" s="1241">
        <f t="shared" si="258"/>
        <v>0</v>
      </c>
      <c r="D1136" s="1241">
        <f t="shared" si="259"/>
        <v>0</v>
      </c>
      <c r="E1136" s="1241">
        <f t="shared" si="260"/>
        <v>0</v>
      </c>
      <c r="F1136" s="1241">
        <f t="shared" si="261"/>
        <v>0</v>
      </c>
      <c r="G1136" s="832"/>
      <c r="H1136" s="46"/>
      <c r="I1136" s="46"/>
      <c r="J1136" s="46"/>
      <c r="K1136" s="831"/>
      <c r="L1136" s="832"/>
      <c r="M1136" s="1232" t="str">
        <f t="shared" si="244"/>
        <v/>
      </c>
      <c r="N1136" s="1232" t="str">
        <f t="shared" si="256"/>
        <v/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si="257"/>
        <v>Other cashcrop: kg produced</v>
      </c>
      <c r="B1137" s="832"/>
      <c r="C1137" s="1241">
        <f t="shared" si="258"/>
        <v>0</v>
      </c>
      <c r="D1137" s="1241">
        <f t="shared" si="259"/>
        <v>0</v>
      </c>
      <c r="E1137" s="1241">
        <f t="shared" si="260"/>
        <v>0</v>
      </c>
      <c r="F1137" s="1241">
        <f t="shared" si="261"/>
        <v>0</v>
      </c>
      <c r="G1137" s="832"/>
      <c r="H1137" s="46"/>
      <c r="I1137" s="46"/>
      <c r="J1137" s="46"/>
      <c r="K1137" s="831"/>
      <c r="L1137" s="832"/>
      <c r="M1137" s="1232" t="str">
        <f t="shared" si="244"/>
        <v/>
      </c>
      <c r="N1137" s="1232" t="str">
        <f t="shared" si="256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257"/>
        <v>Other cashcrop: kg produced</v>
      </c>
      <c r="B1138" s="832"/>
      <c r="C1138" s="1241">
        <f t="shared" si="258"/>
        <v>0</v>
      </c>
      <c r="D1138" s="1241">
        <f t="shared" si="259"/>
        <v>0</v>
      </c>
      <c r="E1138" s="1241">
        <f t="shared" si="260"/>
        <v>0</v>
      </c>
      <c r="F1138" s="1241">
        <f t="shared" si="261"/>
        <v>0</v>
      </c>
      <c r="G1138" s="832"/>
      <c r="H1138" s="46"/>
      <c r="I1138" s="46"/>
      <c r="J1138" s="46"/>
      <c r="K1138" s="831"/>
      <c r="L1138" s="832"/>
      <c r="M1138" s="1232" t="str">
        <f t="shared" si="244"/>
        <v/>
      </c>
      <c r="N1138" s="1232" t="str">
        <f t="shared" si="256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257"/>
        <v>Other cashcrop: kg produced</v>
      </c>
      <c r="B1139" s="832"/>
      <c r="C1139" s="1241">
        <f t="shared" si="258"/>
        <v>0</v>
      </c>
      <c r="D1139" s="1241">
        <f t="shared" si="259"/>
        <v>0</v>
      </c>
      <c r="E1139" s="1241">
        <f t="shared" si="260"/>
        <v>0</v>
      </c>
      <c r="F1139" s="1241">
        <f t="shared" si="261"/>
        <v>0</v>
      </c>
      <c r="G1139" s="832"/>
      <c r="H1139" s="46"/>
      <c r="I1139" s="46"/>
      <c r="J1139" s="46"/>
      <c r="K1139" s="831"/>
      <c r="L1139" s="832"/>
      <c r="M1139" s="1232" t="str">
        <f t="shared" si="244"/>
        <v/>
      </c>
      <c r="N1139" s="1232" t="str">
        <f t="shared" si="256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257"/>
        <v>Other cashcrop: kg produced</v>
      </c>
      <c r="B1140" s="832"/>
      <c r="C1140" s="1241">
        <f t="shared" si="258"/>
        <v>0</v>
      </c>
      <c r="D1140" s="1241">
        <f t="shared" si="259"/>
        <v>0</v>
      </c>
      <c r="E1140" s="1241">
        <f t="shared" si="260"/>
        <v>0</v>
      </c>
      <c r="F1140" s="1241">
        <f t="shared" si="261"/>
        <v>0</v>
      </c>
      <c r="G1140" s="832"/>
      <c r="H1140" s="46"/>
      <c r="I1140" s="46"/>
      <c r="J1140" s="46"/>
      <c r="K1140" s="831"/>
      <c r="L1140" s="832"/>
      <c r="M1140" s="1232" t="str">
        <f t="shared" si="244"/>
        <v/>
      </c>
      <c r="N1140" s="1232" t="str">
        <f t="shared" si="256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257"/>
        <v>Straw: quantity sold</v>
      </c>
      <c r="B1141" s="832"/>
      <c r="C1141" s="1241">
        <f t="shared" si="258"/>
        <v>0</v>
      </c>
      <c r="D1141" s="1241">
        <f t="shared" si="259"/>
        <v>0</v>
      </c>
      <c r="E1141" s="1241">
        <f t="shared" si="260"/>
        <v>0</v>
      </c>
      <c r="F1141" s="1241">
        <f t="shared" si="261"/>
        <v>0</v>
      </c>
      <c r="G1141" s="832"/>
      <c r="H1141" s="46"/>
      <c r="I1141" s="46"/>
      <c r="J1141" s="46"/>
      <c r="K1141" s="831"/>
      <c r="L1141" s="832"/>
      <c r="M1141" s="1232" t="str">
        <f t="shared" si="244"/>
        <v/>
      </c>
      <c r="N1141" s="1232" t="str">
        <f t="shared" si="256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257"/>
        <v>Trees: quantity sold</v>
      </c>
      <c r="B1142" s="832"/>
      <c r="C1142" s="1241">
        <f t="shared" si="258"/>
        <v>0</v>
      </c>
      <c r="D1142" s="1241">
        <f t="shared" si="259"/>
        <v>0</v>
      </c>
      <c r="E1142" s="1241">
        <f t="shared" si="260"/>
        <v>0</v>
      </c>
      <c r="F1142" s="1241">
        <f t="shared" si="261"/>
        <v>0</v>
      </c>
      <c r="G1142" s="832"/>
      <c r="H1142" s="46"/>
      <c r="I1142" s="46"/>
      <c r="J1142" s="46"/>
      <c r="K1142" s="831"/>
      <c r="L1142" s="832"/>
      <c r="M1142" s="1232" t="str">
        <f t="shared" si="244"/>
        <v/>
      </c>
      <c r="N1142" s="1232" t="str">
        <f t="shared" si="256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257"/>
        <v>Other cash crop: type</v>
      </c>
      <c r="B1143" s="832"/>
      <c r="C1143" s="1241">
        <f t="shared" si="258"/>
        <v>0</v>
      </c>
      <c r="D1143" s="1241">
        <f t="shared" si="259"/>
        <v>0</v>
      </c>
      <c r="E1143" s="1241">
        <f t="shared" si="260"/>
        <v>0</v>
      </c>
      <c r="F1143" s="1241">
        <f t="shared" si="261"/>
        <v>0</v>
      </c>
      <c r="G1143" s="832"/>
      <c r="H1143" s="46"/>
      <c r="I1143" s="46"/>
      <c r="J1143" s="46"/>
      <c r="K1143" s="831"/>
      <c r="L1143" s="832"/>
      <c r="M1143" s="1232" t="str">
        <f t="shared" si="244"/>
        <v/>
      </c>
      <c r="N1143" s="1232" t="str">
        <f t="shared" si="256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257"/>
        <v>Other cash crop: type</v>
      </c>
      <c r="B1144" s="832"/>
      <c r="C1144" s="1241">
        <f t="shared" si="258"/>
        <v>0</v>
      </c>
      <c r="D1144" s="1241">
        <f t="shared" si="259"/>
        <v>0</v>
      </c>
      <c r="E1144" s="1241">
        <f t="shared" si="260"/>
        <v>0</v>
      </c>
      <c r="F1144" s="1241">
        <f t="shared" si="261"/>
        <v>0</v>
      </c>
      <c r="G1144" s="832"/>
      <c r="H1144" s="46"/>
      <c r="I1144" s="46"/>
      <c r="J1144" s="46"/>
      <c r="K1144" s="831"/>
      <c r="L1144" s="832"/>
      <c r="M1144" s="1232" t="str">
        <f t="shared" si="244"/>
        <v/>
      </c>
      <c r="N1144" s="1232" t="str">
        <f t="shared" si="256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1145" t="s">
        <v>546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547</v>
      </c>
      <c r="N1145" s="1248" t="s">
        <v>357</v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6.2577833125778332E-2</v>
      </c>
      <c r="D1151" s="1241">
        <f>IF(D$1108=0,0,MAX((SUM(D822,N822)+SUM(D907,N907,D909,N909)/D$1108),(SUM(D822)+SUM(D907,D909)/D$1108)))</f>
        <v>0.12515566625155666</v>
      </c>
      <c r="E1151" s="1241">
        <f>IF(E$1108=0,0,MAX((SUM(E822,O822)+SUM(E907,O907,E909,O909)/E$1108),(SUM(E822)+SUM(E907,E909)/E$1108)))</f>
        <v>0.12515566625155666</v>
      </c>
      <c r="F1151" s="1241">
        <f>IF(F$1108=0,0,MAX((SUM(F822,P822)+SUM(F907,P907,F909,P909)/F$1108),(SUM(F822)+SUM(F907,F909)/F$1108)))</f>
        <v>0.12515566625155666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5.1053237858032383E-2</v>
      </c>
      <c r="D1166" s="1241">
        <f>MAX(SUM(D828,N828),SUM(D828))</f>
        <v>6.680370485678705E-2</v>
      </c>
      <c r="E1166" s="1241">
        <f>MAX(SUM(E828,O828),SUM(E828))</f>
        <v>6.1553549190535496E-2</v>
      </c>
      <c r="F1166" s="1241">
        <f>MAX(SUM(F828,P828),SUM(F828))</f>
        <v>6.1553549190535496E-2</v>
      </c>
      <c r="G1166" s="832"/>
      <c r="H1166" s="46"/>
      <c r="I1166" s="46"/>
      <c r="J1166" s="46"/>
      <c r="K1166" s="46"/>
      <c r="L1166" s="44"/>
      <c r="M1166" s="1232" t="str">
        <f t="shared" ref="M1166:M1172" si="262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 t="shared" ref="C1167:F1169" si="263">MAX(SUM(C854,M854),SUM(C854))</f>
        <v>0</v>
      </c>
      <c r="D1167" s="1241">
        <f t="shared" si="263"/>
        <v>0</v>
      </c>
      <c r="E1167" s="1241">
        <f t="shared" si="263"/>
        <v>0</v>
      </c>
      <c r="F1167" s="1241">
        <f t="shared" si="263"/>
        <v>0</v>
      </c>
      <c r="G1167" s="832"/>
      <c r="H1167" s="46"/>
      <c r="I1167" s="46"/>
      <c r="J1167" s="46"/>
      <c r="K1167" s="46"/>
      <c r="L1167" s="44"/>
      <c r="M1167" s="1232" t="str">
        <f t="shared" si="262"/>
        <v/>
      </c>
      <c r="N1167" s="1249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 t="shared" si="263"/>
        <v>0</v>
      </c>
      <c r="D1168" s="1241">
        <f t="shared" si="263"/>
        <v>0</v>
      </c>
      <c r="E1168" s="1241">
        <f t="shared" si="263"/>
        <v>0</v>
      </c>
      <c r="F1168" s="1241">
        <f t="shared" si="263"/>
        <v>0</v>
      </c>
      <c r="G1168" s="832"/>
      <c r="H1168" s="46"/>
      <c r="I1168" s="46"/>
      <c r="J1168" s="46"/>
      <c r="K1168" s="46"/>
      <c r="L1168" s="44"/>
      <c r="M1168" s="1232" t="str">
        <f t="shared" si="262"/>
        <v/>
      </c>
      <c r="N1168" s="1249"/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 t="shared" si="263"/>
        <v>0</v>
      </c>
      <c r="D1169" s="1241">
        <f t="shared" si="263"/>
        <v>0</v>
      </c>
      <c r="E1169" s="1241">
        <f t="shared" si="263"/>
        <v>0</v>
      </c>
      <c r="F1169" s="1241">
        <f t="shared" si="263"/>
        <v>0</v>
      </c>
      <c r="G1169" s="832"/>
      <c r="H1169" s="46"/>
      <c r="I1169" s="46"/>
      <c r="J1169" s="46"/>
      <c r="K1169" s="46"/>
      <c r="L1169" s="44"/>
      <c r="M1169" s="1232" t="str">
        <f t="shared" si="262"/>
        <v/>
      </c>
      <c r="N1169" s="1249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 t="shared" ref="C1170:F1172" si="264">MAX(SUM(C896,M896),SUM(C896))</f>
        <v>0</v>
      </c>
      <c r="D1170" s="1241">
        <f t="shared" si="264"/>
        <v>0</v>
      </c>
      <c r="E1170" s="1241">
        <f t="shared" si="264"/>
        <v>0</v>
      </c>
      <c r="F1170" s="1241">
        <f t="shared" si="264"/>
        <v>0</v>
      </c>
      <c r="G1170" s="832"/>
      <c r="H1170" s="46"/>
      <c r="I1170" s="46"/>
      <c r="J1170" s="46"/>
      <c r="K1170" s="46"/>
      <c r="L1170" s="44"/>
      <c r="M1170" s="1232" t="str">
        <f t="shared" si="262"/>
        <v/>
      </c>
      <c r="N1170" s="1249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 t="shared" si="264"/>
        <v>0</v>
      </c>
      <c r="D1171" s="1241">
        <f t="shared" si="264"/>
        <v>0</v>
      </c>
      <c r="E1171" s="1241">
        <f t="shared" si="264"/>
        <v>0</v>
      </c>
      <c r="F1171" s="1241">
        <f t="shared" si="264"/>
        <v>0</v>
      </c>
      <c r="G1171" s="832"/>
      <c r="H1171" s="46"/>
      <c r="I1171" s="46"/>
      <c r="J1171" s="46"/>
      <c r="K1171" s="46"/>
      <c r="L1171" s="44"/>
      <c r="M1171" s="1232" t="str">
        <f t="shared" si="262"/>
        <v/>
      </c>
      <c r="N1171" s="1249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 t="shared" si="264"/>
        <v>0</v>
      </c>
      <c r="D1172" s="1241">
        <f t="shared" si="264"/>
        <v>0</v>
      </c>
      <c r="E1172" s="1241">
        <f t="shared" si="264"/>
        <v>0</v>
      </c>
      <c r="F1172" s="1241">
        <f t="shared" si="264"/>
        <v>0</v>
      </c>
      <c r="G1172" s="832"/>
      <c r="H1172" s="46"/>
      <c r="I1172" s="46"/>
      <c r="J1172" s="46"/>
      <c r="K1172" s="46"/>
      <c r="L1172" s="44"/>
      <c r="M1172" s="1232" t="str">
        <f t="shared" si="262"/>
        <v/>
      </c>
      <c r="N1172" s="1249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145" t="s">
        <v>318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547</v>
      </c>
      <c r="N1173" s="1248" t="s">
        <v>357</v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 t="shared" ref="C1174:F1176" si="265">IF(C$1108=0,0,MAX(SUM(C916,M916)/C$1108,SUM(C916)/C$1108))</f>
        <v>0</v>
      </c>
      <c r="D1174" s="1241">
        <f t="shared" si="265"/>
        <v>0</v>
      </c>
      <c r="E1174" s="1241">
        <f t="shared" si="265"/>
        <v>0</v>
      </c>
      <c r="F1174" s="1241">
        <f t="shared" si="265"/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66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67">M1174</f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 t="shared" si="265"/>
        <v>0</v>
      </c>
      <c r="D1175" s="1241">
        <f t="shared" si="265"/>
        <v>0</v>
      </c>
      <c r="E1175" s="1241">
        <f t="shared" si="265"/>
        <v>0</v>
      </c>
      <c r="F1175" s="1241">
        <f t="shared" si="265"/>
        <v>0</v>
      </c>
      <c r="G1175" s="832"/>
      <c r="H1175" s="46"/>
      <c r="I1175" s="46"/>
      <c r="J1175" s="46"/>
      <c r="K1175" s="831"/>
      <c r="L1175" s="832"/>
      <c r="M1175" s="1232" t="str">
        <f t="shared" si="266"/>
        <v/>
      </c>
      <c r="N1175" s="1232" t="str">
        <f t="shared" si="267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 t="shared" si="265"/>
        <v>0</v>
      </c>
      <c r="D1176" s="1241">
        <f t="shared" si="265"/>
        <v>0</v>
      </c>
      <c r="E1176" s="1241">
        <f t="shared" si="265"/>
        <v>0</v>
      </c>
      <c r="F1176" s="1241">
        <f t="shared" si="265"/>
        <v>0</v>
      </c>
      <c r="G1176" s="832"/>
      <c r="H1176" s="46"/>
      <c r="I1176" s="46"/>
      <c r="J1176" s="46"/>
      <c r="K1176" s="831"/>
      <c r="L1176" s="832"/>
      <c r="M1176" s="1232" t="str">
        <f t="shared" si="266"/>
        <v/>
      </c>
      <c r="N1176" s="1232" t="str">
        <f t="shared" si="267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 t="shared" ref="A1177:A1186" si="268">A920</f>
        <v>Camel sales - export: no. sold</v>
      </c>
      <c r="B1177" s="832"/>
      <c r="C1177" s="1241">
        <f t="shared" ref="C1177:C1186" si="269">IF(C$1108=0,0,MAX(SUM(C920,M920)/C$1108,SUM(C920)/C$1108))</f>
        <v>0</v>
      </c>
      <c r="D1177" s="1241">
        <f t="shared" ref="D1177:D1186" si="270">IF(D$1108=0,0,MAX(SUM(D920,N920)/D$1108,SUM(D920)/D$1108))</f>
        <v>0</v>
      </c>
      <c r="E1177" s="1241">
        <f t="shared" ref="E1177:E1186" si="271">IF(E$1108=0,0,MAX(SUM(E920,O920)/E$1108,SUM(E920)/E$1108))</f>
        <v>0</v>
      </c>
      <c r="F1177" s="1241">
        <f t="shared" ref="F1177:F1186" si="272"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66"/>
        <v/>
      </c>
      <c r="N1177" s="1232" t="str">
        <f t="shared" si="267"/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 t="shared" si="268"/>
        <v>Camel sales - local: no. sold</v>
      </c>
      <c r="B1178" s="832"/>
      <c r="C1178" s="1241">
        <f t="shared" si="269"/>
        <v>0</v>
      </c>
      <c r="D1178" s="1241">
        <f t="shared" si="270"/>
        <v>0</v>
      </c>
      <c r="E1178" s="1241">
        <f t="shared" si="271"/>
        <v>0</v>
      </c>
      <c r="F1178" s="1241">
        <f t="shared" si="272"/>
        <v>0</v>
      </c>
      <c r="G1178" s="832"/>
      <c r="H1178" s="46"/>
      <c r="I1178" s="46"/>
      <c r="J1178" s="46"/>
      <c r="K1178" s="831"/>
      <c r="L1178" s="832"/>
      <c r="M1178" s="1232" t="str">
        <f t="shared" si="266"/>
        <v/>
      </c>
      <c r="N1178" s="1232" t="str">
        <f t="shared" si="267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 t="shared" si="268"/>
        <v>Fattened Ox sales: no. sold</v>
      </c>
      <c r="B1179" s="832"/>
      <c r="C1179" s="1241">
        <f t="shared" si="269"/>
        <v>0</v>
      </c>
      <c r="D1179" s="1241">
        <f t="shared" si="270"/>
        <v>0</v>
      </c>
      <c r="E1179" s="1241">
        <f t="shared" si="271"/>
        <v>0</v>
      </c>
      <c r="F1179" s="1241">
        <f t="shared" si="272"/>
        <v>0</v>
      </c>
      <c r="G1179" s="832"/>
      <c r="H1179" s="46"/>
      <c r="I1179" s="46"/>
      <c r="J1179" s="46"/>
      <c r="K1179" s="831"/>
      <c r="L1179" s="832"/>
      <c r="M1179" s="1232" t="str">
        <f t="shared" si="266"/>
        <v/>
      </c>
      <c r="N1179" s="1232" t="str">
        <f t="shared" si="267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si="268"/>
        <v>Cattle sales - export: no. sold</v>
      </c>
      <c r="B1180" s="832"/>
      <c r="C1180" s="1241">
        <f t="shared" si="269"/>
        <v>0</v>
      </c>
      <c r="D1180" s="1241">
        <f t="shared" si="270"/>
        <v>0</v>
      </c>
      <c r="E1180" s="1241">
        <f t="shared" si="271"/>
        <v>0</v>
      </c>
      <c r="F1180" s="1241">
        <f t="shared" si="272"/>
        <v>0</v>
      </c>
      <c r="G1180" s="832"/>
      <c r="H1180" s="46"/>
      <c r="I1180" s="46"/>
      <c r="J1180" s="46"/>
      <c r="K1180" s="831"/>
      <c r="L1180" s="832"/>
      <c r="M1180" s="1232" t="str">
        <f t="shared" si="266"/>
        <v/>
      </c>
      <c r="N1180" s="1232" t="str">
        <f t="shared" si="267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268"/>
        <v>Cattle sales - local: no. sold</v>
      </c>
      <c r="B1181" s="832"/>
      <c r="C1181" s="1241">
        <f t="shared" si="269"/>
        <v>0</v>
      </c>
      <c r="D1181" s="1241">
        <f t="shared" si="270"/>
        <v>0.18971070656092284</v>
      </c>
      <c r="E1181" s="1241">
        <f t="shared" si="271"/>
        <v>0.62087140329029289</v>
      </c>
      <c r="F1181" s="1241">
        <f t="shared" si="272"/>
        <v>1.0347856721504882</v>
      </c>
      <c r="G1181" s="832"/>
      <c r="H1181" s="46"/>
      <c r="I1181" s="46"/>
      <c r="J1181" s="46"/>
      <c r="K1181" s="831"/>
      <c r="L1181" s="832"/>
      <c r="M1181" s="1232" t="str">
        <f t="shared" si="266"/>
        <v>yes</v>
      </c>
      <c r="N1181" s="1232" t="str">
        <f t="shared" si="267"/>
        <v>yes</v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268"/>
        <v>Goat sales - export: no. sold</v>
      </c>
      <c r="B1182" s="832"/>
      <c r="C1182" s="1241">
        <f t="shared" si="269"/>
        <v>0</v>
      </c>
      <c r="D1182" s="1241">
        <f t="shared" si="270"/>
        <v>0</v>
      </c>
      <c r="E1182" s="1241">
        <f t="shared" si="271"/>
        <v>0</v>
      </c>
      <c r="F1182" s="1241">
        <f t="shared" si="272"/>
        <v>0</v>
      </c>
      <c r="G1182" s="832"/>
      <c r="H1182" s="46"/>
      <c r="I1182" s="46"/>
      <c r="J1182" s="46"/>
      <c r="K1182" s="831"/>
      <c r="L1182" s="832"/>
      <c r="M1182" s="1232" t="str">
        <f t="shared" si="266"/>
        <v/>
      </c>
      <c r="N1182" s="1232" t="str">
        <f t="shared" si="267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268"/>
        <v>Goat sales - local: no. sold</v>
      </c>
      <c r="B1183" s="832"/>
      <c r="C1183" s="1241">
        <f t="shared" si="269"/>
        <v>0</v>
      </c>
      <c r="D1183" s="1241">
        <f t="shared" si="270"/>
        <v>0.22765284787310741</v>
      </c>
      <c r="E1183" s="1241">
        <f t="shared" si="271"/>
        <v>0.29801827357934063</v>
      </c>
      <c r="F1183" s="1241">
        <f t="shared" si="272"/>
        <v>0.41391426886019528</v>
      </c>
      <c r="G1183" s="832"/>
      <c r="H1183" s="46"/>
      <c r="I1183" s="46"/>
      <c r="J1183" s="46"/>
      <c r="K1183" s="831"/>
      <c r="L1183" s="832"/>
      <c r="M1183" s="1232" t="str">
        <f t="shared" si="266"/>
        <v>yes</v>
      </c>
      <c r="N1183" s="1232" t="str">
        <f t="shared" si="267"/>
        <v>yes</v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268"/>
        <v>Sheep sales - export: no. sold</v>
      </c>
      <c r="B1184" s="832"/>
      <c r="C1184" s="1241">
        <f t="shared" si="269"/>
        <v>0</v>
      </c>
      <c r="D1184" s="1241">
        <f t="shared" si="270"/>
        <v>0</v>
      </c>
      <c r="E1184" s="1241">
        <f t="shared" si="271"/>
        <v>0</v>
      </c>
      <c r="F1184" s="1241">
        <f t="shared" si="272"/>
        <v>0</v>
      </c>
      <c r="G1184" s="832"/>
      <c r="H1184" s="46"/>
      <c r="I1184" s="46"/>
      <c r="J1184" s="46"/>
      <c r="K1184" s="831"/>
      <c r="L1184" s="832"/>
      <c r="M1184" s="1232" t="str">
        <f t="shared" si="266"/>
        <v/>
      </c>
      <c r="N1184" s="1232" t="str">
        <f t="shared" si="267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268"/>
        <v>Sheep sales - local: no. sold</v>
      </c>
      <c r="B1185" s="832"/>
      <c r="C1185" s="1241">
        <f t="shared" si="269"/>
        <v>0</v>
      </c>
      <c r="D1185" s="1241">
        <f t="shared" si="270"/>
        <v>0</v>
      </c>
      <c r="E1185" s="1241">
        <f t="shared" si="271"/>
        <v>0</v>
      </c>
      <c r="F1185" s="1241">
        <f t="shared" si="272"/>
        <v>0</v>
      </c>
      <c r="G1185" s="832"/>
      <c r="H1185" s="46"/>
      <c r="I1185" s="46"/>
      <c r="J1185" s="46"/>
      <c r="K1185" s="831"/>
      <c r="L1185" s="832"/>
      <c r="M1185" s="1232" t="str">
        <f t="shared" si="266"/>
        <v/>
      </c>
      <c r="N1185" s="1232" t="str">
        <f t="shared" si="267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268"/>
        <v>Chicken sales: no. sold</v>
      </c>
      <c r="B1186" s="832"/>
      <c r="C1186" s="1241">
        <f t="shared" si="269"/>
        <v>0</v>
      </c>
      <c r="D1186" s="1241">
        <f t="shared" si="270"/>
        <v>7.5884282624369133E-4</v>
      </c>
      <c r="E1186" s="1241">
        <f t="shared" si="271"/>
        <v>7.2434997050534175E-2</v>
      </c>
      <c r="F1186" s="1241">
        <f t="shared" si="272"/>
        <v>0.17073963590483054</v>
      </c>
      <c r="G1186" s="832"/>
      <c r="H1186" s="46"/>
      <c r="I1186" s="46"/>
      <c r="J1186" s="46"/>
      <c r="K1186" s="831"/>
      <c r="L1186" s="832"/>
      <c r="M1186" s="1232" t="str">
        <f t="shared" si="266"/>
        <v>yes</v>
      </c>
      <c r="N1186" s="1232" t="str">
        <f t="shared" si="267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 t="shared" ref="C1187:F1189" si="273">IF(C$1108=0,0,MAX(SUM(C965,M965)/C$1108,SUM(C965)/C$1108))</f>
        <v>0</v>
      </c>
      <c r="D1187" s="1241">
        <f t="shared" si="273"/>
        <v>0</v>
      </c>
      <c r="E1187" s="1241">
        <f t="shared" si="273"/>
        <v>0</v>
      </c>
      <c r="F1187" s="1241">
        <f t="shared" si="273"/>
        <v>0</v>
      </c>
      <c r="G1187" s="832"/>
      <c r="H1187" s="46"/>
      <c r="I1187" s="46"/>
      <c r="J1187" s="46"/>
      <c r="K1187" s="831"/>
      <c r="L1187" s="832"/>
      <c r="M1187" s="1232" t="str">
        <f t="shared" si="266"/>
        <v/>
      </c>
      <c r="N1187" s="1232" t="str">
        <f t="shared" si="267"/>
        <v/>
      </c>
      <c r="O1187" s="832"/>
      <c r="P1187" s="832"/>
      <c r="Q1187" s="1253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 t="shared" si="273"/>
        <v>0</v>
      </c>
      <c r="D1188" s="1241">
        <f t="shared" si="273"/>
        <v>0</v>
      </c>
      <c r="E1188" s="1241">
        <f t="shared" si="273"/>
        <v>0</v>
      </c>
      <c r="F1188" s="1241">
        <f t="shared" si="273"/>
        <v>0</v>
      </c>
      <c r="G1188" s="832"/>
      <c r="H1188" s="46"/>
      <c r="I1188" s="46"/>
      <c r="J1188" s="46"/>
      <c r="K1188" s="831"/>
      <c r="L1188" s="832"/>
      <c r="M1188" s="1232" t="str">
        <f t="shared" si="266"/>
        <v/>
      </c>
      <c r="N1188" s="1232" t="str">
        <f t="shared" si="267"/>
        <v/>
      </c>
      <c r="O1188" s="832"/>
      <c r="P1188" s="832"/>
      <c r="Q1188" s="1253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 t="shared" si="273"/>
        <v>0</v>
      </c>
      <c r="D1189" s="1241">
        <f t="shared" si="273"/>
        <v>0</v>
      </c>
      <c r="E1189" s="1241">
        <f t="shared" si="273"/>
        <v>0</v>
      </c>
      <c r="F1189" s="1241">
        <f t="shared" si="273"/>
        <v>0</v>
      </c>
      <c r="G1189" s="832"/>
      <c r="H1189" s="46"/>
      <c r="I1189" s="46"/>
      <c r="J1189" s="46"/>
      <c r="K1189" s="831"/>
      <c r="L1189" s="832"/>
      <c r="M1189" s="1232" t="str">
        <f t="shared" si="266"/>
        <v/>
      </c>
      <c r="N1189" s="1232" t="str">
        <f t="shared" si="267"/>
        <v/>
      </c>
      <c r="O1189" s="832"/>
      <c r="P1189" s="832"/>
      <c r="Q1189" s="1253"/>
      <c r="R1189" s="438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0.10347856721504882</v>
      </c>
      <c r="F1190" s="1241">
        <f>IF(F$1108=0,0,MAX((SUM(F857,P857)+SUM(F969,P969)/F$1108),(SUM(F857)+SUM(F969)/F$1108)))</f>
        <v>1.6556570754407811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0.10347856721504882</v>
      </c>
      <c r="K1190" s="1242">
        <f>IF(F$1108=0,0,MAX(SUM(F969,P969)/F$1108,SUM(F969)/F$1108))</f>
        <v>1.6556570754407811</v>
      </c>
      <c r="L1190" s="44"/>
      <c r="M1190" s="1232" t="str">
        <f t="shared" si="266"/>
        <v>yes</v>
      </c>
      <c r="N1190" s="1232" t="str">
        <f t="shared" si="267"/>
        <v>yes</v>
      </c>
      <c r="O1190" s="832"/>
      <c r="P1190" s="832"/>
      <c r="Q1190" s="15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0</v>
      </c>
      <c r="F1191" s="1241">
        <f>IF(F$1108=0,0,MAX(SUM(F970,P970)/F$1108,SUM(F970)/F$1108))</f>
        <v>0</v>
      </c>
      <c r="G1191" s="832"/>
      <c r="H1191" s="46"/>
      <c r="I1191" s="46"/>
      <c r="J1191" s="46"/>
      <c r="K1191" s="831"/>
      <c r="L1191" s="832"/>
      <c r="M1191" s="1232" t="str">
        <f t="shared" si="266"/>
        <v/>
      </c>
      <c r="N1191" s="1232" t="str">
        <f t="shared" si="267"/>
        <v/>
      </c>
      <c r="O1191" s="832"/>
      <c r="P1191" s="832"/>
      <c r="Q1191" s="15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 t="shared" ref="C1192:F1193" si="274">IF(C$1108=0,0,MAX(SUM(C972,M972)/C$1108,SUM(C972)/C$1108))</f>
        <v>0</v>
      </c>
      <c r="D1192" s="1241">
        <f t="shared" si="274"/>
        <v>0</v>
      </c>
      <c r="E1192" s="1241">
        <f t="shared" si="274"/>
        <v>0</v>
      </c>
      <c r="F1192" s="1241">
        <f t="shared" si="274"/>
        <v>0</v>
      </c>
      <c r="G1192" s="832"/>
      <c r="H1192" s="46"/>
      <c r="I1192" s="46"/>
      <c r="J1192" s="46"/>
      <c r="K1192" s="831"/>
      <c r="L1192" s="832"/>
      <c r="M1192" s="1232" t="str">
        <f t="shared" si="266"/>
        <v/>
      </c>
      <c r="N1192" s="1232" t="str">
        <f t="shared" si="267"/>
        <v/>
      </c>
      <c r="O1192" s="832"/>
      <c r="P1192" s="832"/>
      <c r="Q1192" s="15"/>
      <c r="R1192" s="438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 t="shared" si="274"/>
        <v>0</v>
      </c>
      <c r="D1193" s="1241">
        <f t="shared" si="274"/>
        <v>0</v>
      </c>
      <c r="E1193" s="1241">
        <f t="shared" si="274"/>
        <v>0</v>
      </c>
      <c r="F1193" s="1241">
        <f t="shared" si="274"/>
        <v>0</v>
      </c>
      <c r="G1193" s="832"/>
      <c r="H1193" s="46"/>
      <c r="I1193" s="46"/>
      <c r="J1193" s="46"/>
      <c r="K1193" s="831"/>
      <c r="L1193" s="832"/>
      <c r="M1193" s="1232" t="str">
        <f t="shared" si="266"/>
        <v/>
      </c>
      <c r="N1193" s="1232" t="str">
        <f t="shared" si="267"/>
        <v/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0.30353713049747655</v>
      </c>
      <c r="F1194" s="1241">
        <f>IF(F$1108=0,0,MAX(SUM(F975,P975)/F$1108,SUM(F975)/F$1108))</f>
        <v>1.4991974818116274</v>
      </c>
      <c r="G1194" s="832"/>
      <c r="H1194" s="46"/>
      <c r="I1194" s="46"/>
      <c r="J1194" s="46"/>
      <c r="K1194" s="831"/>
      <c r="L1194" s="832"/>
      <c r="M1194" s="1232" t="str">
        <f t="shared" si="266"/>
        <v>yes</v>
      </c>
      <c r="N1194" s="1232" t="str">
        <f t="shared" si="267"/>
        <v>yes</v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1.9536753490201217</v>
      </c>
      <c r="D1195" s="1241">
        <f>IF(D$1108=0,0,MAX(SUM(D977,N977)/D$1108,SUM(D977)/D$1108))</f>
        <v>1.9536753490201217</v>
      </c>
      <c r="E1195" s="1241">
        <f>IF(E$1108=0,0,MAX(SUM(E977,O977)/E$1108,SUM(E977)/E$1108))</f>
        <v>0.58775826178147728</v>
      </c>
      <c r="F1195" s="1241">
        <f>IF(F$1108=0,0,MAX(SUM(F977,P977)/F$1108,SUM(F977)/F$1108))</f>
        <v>0.58775826178147728</v>
      </c>
      <c r="G1195" s="832"/>
      <c r="H1195" s="46"/>
      <c r="I1195" s="46"/>
      <c r="J1195" s="46"/>
      <c r="K1195" s="831"/>
      <c r="L1195" s="832"/>
      <c r="M1195" s="1232" t="str">
        <f t="shared" si="266"/>
        <v>yes</v>
      </c>
      <c r="N1195" s="1232" t="str">
        <f t="shared" si="267"/>
        <v>yes</v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0.7160716851281379</v>
      </c>
      <c r="D1196" s="1241">
        <f>IF(D$1108=0,0,MAX(SUM(D979,N979)/D$1108,SUM(D979)/D$1108))</f>
        <v>0.52705083568198197</v>
      </c>
      <c r="E1196" s="1241">
        <f>IF(E$1108=0,0,MAX(SUM(E979,O979)/E$1108,SUM(E979)/E$1108))</f>
        <v>0.27594284590679685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66"/>
        <v>yes</v>
      </c>
      <c r="N1196" s="1232" t="str">
        <f t="shared" si="267"/>
        <v>yes</v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66"/>
        <v/>
      </c>
      <c r="N1197" s="1232" t="str">
        <f t="shared" si="267"/>
        <v/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</v>
      </c>
      <c r="E1198" s="1241">
        <f>IF(E$1108=0,0,MAX(SUM(E983,O983)/E$1108,SUM(E983)/E$1108))</f>
        <v>0.30353713049747655</v>
      </c>
      <c r="F1198" s="1241">
        <f>IF(F$1108=0,0,MAX(SUM(F983,P983)/F$1108,SUM(F983)/F$1108))</f>
        <v>0.82782853772039056</v>
      </c>
      <c r="G1198" s="832"/>
      <c r="H1198" s="46"/>
      <c r="I1198" s="46"/>
      <c r="J1198" s="46"/>
      <c r="K1198" s="831"/>
      <c r="L1198" s="832"/>
      <c r="M1198" s="1232" t="str">
        <f t="shared" si="266"/>
        <v>yes</v>
      </c>
      <c r="N1198" s="1232" t="str">
        <f t="shared" si="267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66" t="s">
        <v>575</v>
      </c>
      <c r="D42" s="1566"/>
      <c r="E42" s="1566"/>
      <c r="F42" s="1566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66" t="s">
        <v>575</v>
      </c>
      <c r="D70" s="1566"/>
      <c r="E70" s="1566"/>
      <c r="F70" s="1566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66" t="s">
        <v>575</v>
      </c>
      <c r="D83" s="1566"/>
      <c r="E83" s="1566"/>
      <c r="F83" s="1566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66" t="s">
        <v>575</v>
      </c>
      <c r="D86" s="1566"/>
      <c r="E86" s="1566"/>
      <c r="F86" s="1566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66" t="s">
        <v>575</v>
      </c>
      <c r="D89" s="1566"/>
      <c r="E89" s="1566"/>
      <c r="F89" s="1566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66" t="s">
        <v>575</v>
      </c>
      <c r="D92" s="1566"/>
      <c r="E92" s="1566"/>
      <c r="F92" s="1566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66" t="s">
        <v>575</v>
      </c>
      <c r="D95" s="1566"/>
      <c r="E95" s="1566"/>
      <c r="F95" s="1566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67"/>
      <c r="C1" s="1567"/>
      <c r="D1" s="1567"/>
      <c r="E1" s="1567"/>
      <c r="F1" s="1567"/>
      <c r="G1" s="1567"/>
      <c r="H1" s="1567"/>
      <c r="I1" s="1567"/>
      <c r="J1" s="1567"/>
      <c r="K1" s="1567"/>
      <c r="L1" s="1567"/>
      <c r="M1" s="1567"/>
      <c r="N1" s="1567"/>
      <c r="O1" s="1567"/>
      <c r="P1" s="1567"/>
      <c r="Q1" s="1567"/>
      <c r="R1" s="1567"/>
      <c r="S1" s="1567"/>
      <c r="T1" s="1567"/>
      <c r="U1" s="1567"/>
      <c r="V1" s="1567"/>
      <c r="W1" s="1567"/>
      <c r="X1" s="1567"/>
      <c r="Y1" s="1567"/>
      <c r="Z1" s="1567"/>
      <c r="AA1" s="1567"/>
      <c r="AB1" s="1567"/>
      <c r="AC1" s="1567"/>
      <c r="AD1" s="1567"/>
      <c r="AE1" s="1567"/>
      <c r="AF1" s="1567"/>
      <c r="AG1" s="1567"/>
      <c r="AH1" s="1567"/>
      <c r="AI1" s="1567"/>
      <c r="AJ1" s="1567"/>
      <c r="AK1" s="1567"/>
      <c r="AL1" s="1567"/>
      <c r="AM1" s="1567"/>
      <c r="AN1" s="1567"/>
      <c r="AO1" s="1567"/>
      <c r="AP1" s="1567"/>
      <c r="AQ1" s="1567"/>
      <c r="AR1" s="1567"/>
      <c r="AS1" s="1567"/>
      <c r="AT1" s="1567"/>
      <c r="AU1" s="1567"/>
      <c r="AV1" s="1567"/>
      <c r="AW1" s="1567"/>
      <c r="AX1" s="1567"/>
      <c r="AY1" s="1567"/>
      <c r="AZ1" s="1567"/>
      <c r="BA1" s="1567"/>
      <c r="BB1" s="1567"/>
      <c r="BC1" s="1567"/>
      <c r="BD1" s="1567"/>
      <c r="BE1" s="1567"/>
      <c r="BF1" s="1567"/>
      <c r="BG1" s="1567"/>
      <c r="BH1" s="1567"/>
      <c r="BI1" s="1567"/>
      <c r="BJ1" s="1567"/>
      <c r="BK1" s="1567"/>
      <c r="BL1" s="1567"/>
      <c r="BM1" s="1567"/>
      <c r="BN1" s="1567"/>
      <c r="BO1" s="1567"/>
      <c r="BP1" s="1567"/>
      <c r="BQ1" s="1567"/>
      <c r="BR1" s="1567"/>
      <c r="BS1" s="1567"/>
      <c r="BT1" s="1567"/>
      <c r="BU1" s="1567"/>
      <c r="BV1" s="1567"/>
      <c r="BW1" s="1567"/>
      <c r="BX1" s="1567"/>
      <c r="BY1" s="1567"/>
      <c r="BZ1" s="1567"/>
      <c r="CA1" s="1567"/>
      <c r="CB1" s="1567"/>
      <c r="CC1" s="1567"/>
      <c r="CD1" s="1567"/>
      <c r="CE1" s="1567"/>
      <c r="CF1" s="1567"/>
      <c r="CG1" s="1567"/>
      <c r="CH1" s="1567"/>
      <c r="CI1" s="1567"/>
      <c r="CJ1" s="1567"/>
      <c r="CK1" s="1567"/>
      <c r="CL1" s="1567"/>
      <c r="CM1" s="1567"/>
      <c r="CN1" s="1567"/>
      <c r="CO1" s="1567"/>
      <c r="CP1" s="1567"/>
      <c r="CQ1" s="1567"/>
      <c r="CR1" s="1567"/>
      <c r="CS1" s="1567"/>
      <c r="CT1" s="1567"/>
      <c r="CU1" s="1567"/>
      <c r="CV1" s="1567"/>
      <c r="CW1" s="1567"/>
      <c r="CX1" s="1567"/>
      <c r="CY1" s="1567"/>
      <c r="CZ1" s="1567"/>
      <c r="DA1" s="1567"/>
      <c r="DB1" s="1567"/>
      <c r="DC1" s="1567"/>
      <c r="DD1" s="1567"/>
      <c r="DE1" s="1567"/>
      <c r="DF1" s="1567"/>
      <c r="DG1" s="1567"/>
      <c r="DH1" s="1567"/>
      <c r="DI1" s="1567"/>
      <c r="DJ1" s="1567"/>
      <c r="DK1" s="1567"/>
      <c r="DL1" s="1567"/>
      <c r="DM1" s="1567"/>
      <c r="DN1" s="1567"/>
      <c r="DO1" s="1567"/>
      <c r="DP1" s="1567"/>
      <c r="DQ1" s="1567"/>
    </row>
    <row r="2" spans="1:133" ht="13" thickBot="1">
      <c r="A2" t="s">
        <v>41</v>
      </c>
      <c r="B2" s="1567"/>
      <c r="C2" s="1567"/>
      <c r="D2" s="1567"/>
      <c r="E2" s="1567"/>
      <c r="F2" s="1567"/>
      <c r="G2" s="1567"/>
      <c r="H2" s="1567"/>
      <c r="I2" s="1567"/>
      <c r="J2" s="1567"/>
      <c r="K2" s="1567"/>
      <c r="L2" s="1567"/>
      <c r="M2" s="1567"/>
      <c r="N2" s="1567"/>
      <c r="O2" s="1567"/>
      <c r="P2" s="1567"/>
      <c r="Q2" s="1567"/>
      <c r="R2" s="1567"/>
      <c r="S2" s="1567"/>
      <c r="T2" s="1567"/>
      <c r="U2" s="1567"/>
      <c r="V2" s="1567"/>
      <c r="W2" s="1567"/>
      <c r="X2" s="1567"/>
      <c r="Y2" s="1567"/>
      <c r="Z2" s="1567"/>
      <c r="AA2" s="1567"/>
      <c r="AB2" s="1567"/>
      <c r="AC2" s="1567"/>
      <c r="AD2" s="1567"/>
      <c r="AE2" s="1567"/>
      <c r="AF2" s="1567"/>
      <c r="AG2" s="1567"/>
      <c r="AH2" s="1567"/>
      <c r="AI2" s="1567"/>
      <c r="AJ2" s="1567"/>
      <c r="AK2" s="1567"/>
      <c r="AL2" s="1567"/>
      <c r="AM2" s="1567"/>
      <c r="AN2" s="1567"/>
      <c r="AO2" s="1567"/>
      <c r="AP2" s="1567"/>
      <c r="AQ2" s="1567"/>
      <c r="AR2" s="1567"/>
      <c r="AS2" s="1567"/>
      <c r="AT2" s="1567"/>
      <c r="AU2" s="1567"/>
      <c r="AV2" s="1567"/>
      <c r="AW2" s="1567"/>
      <c r="AX2" s="1567"/>
      <c r="AY2" s="1567"/>
      <c r="AZ2" s="1567"/>
      <c r="BA2" s="1567"/>
      <c r="BB2" s="1567"/>
      <c r="BC2" s="1567"/>
      <c r="BD2" s="1567"/>
      <c r="BE2" s="1567"/>
      <c r="BF2" s="1567"/>
      <c r="BG2" s="1567"/>
      <c r="BH2" s="1567"/>
      <c r="BI2" s="1567"/>
      <c r="BJ2" s="1567"/>
      <c r="BK2" s="1567"/>
      <c r="BL2" s="1567"/>
      <c r="BM2" s="1567"/>
      <c r="BN2" s="1567"/>
      <c r="BO2" s="1567"/>
      <c r="BP2" s="1567"/>
      <c r="BQ2" s="1567"/>
      <c r="BR2" s="1567"/>
      <c r="BS2" s="1567"/>
      <c r="BT2" s="1567"/>
      <c r="BU2" s="1567"/>
      <c r="BV2" s="1567"/>
      <c r="BW2" s="1567"/>
      <c r="BX2" s="1567"/>
      <c r="BY2" s="1567"/>
      <c r="BZ2" s="1567"/>
      <c r="CA2" s="1567"/>
      <c r="CB2" s="1567"/>
      <c r="CC2" s="1567"/>
      <c r="CD2" s="1567"/>
      <c r="CE2" s="1567"/>
      <c r="CF2" s="1567"/>
      <c r="CG2" s="1567"/>
      <c r="CH2" s="1567"/>
      <c r="CI2" s="1567"/>
      <c r="CJ2" s="1567"/>
      <c r="CK2" s="1567"/>
      <c r="CL2" s="1567"/>
      <c r="CM2" s="1567"/>
      <c r="CN2" s="1567"/>
      <c r="CO2" s="1567"/>
      <c r="CP2" s="1567"/>
      <c r="CQ2" s="1567"/>
      <c r="CR2" s="1567"/>
      <c r="CS2" s="1567"/>
      <c r="CT2" s="1567"/>
      <c r="CU2" s="1567"/>
      <c r="CV2" s="1567"/>
      <c r="CW2" s="1567"/>
      <c r="CX2" s="1567"/>
      <c r="CY2" s="1567"/>
      <c r="CZ2" s="1567"/>
      <c r="DA2" s="1567"/>
      <c r="DB2" s="1567"/>
      <c r="DC2" s="1567"/>
      <c r="DD2" s="1567"/>
      <c r="DE2" s="1567"/>
      <c r="DF2" s="1567"/>
      <c r="DG2" s="1567"/>
      <c r="DH2" s="1567"/>
      <c r="DI2" s="1567"/>
      <c r="DJ2" s="1567"/>
      <c r="DK2" s="1567"/>
      <c r="DL2" s="1567"/>
      <c r="DM2" s="1567"/>
      <c r="DN2" s="1567"/>
      <c r="DO2" s="1567"/>
      <c r="DP2" s="1567"/>
      <c r="DQ2" s="1567"/>
    </row>
    <row r="3" spans="1:133" ht="13" thickBot="1">
      <c r="A3" s="1452" t="s">
        <v>747</v>
      </c>
      <c r="B3" s="1567"/>
      <c r="C3" s="1567"/>
      <c r="D3" s="1567"/>
      <c r="E3" s="1567"/>
      <c r="F3" s="1567"/>
      <c r="G3" s="1567"/>
      <c r="H3" s="1567"/>
      <c r="I3" s="1567"/>
      <c r="J3" s="1567"/>
      <c r="K3" s="1567"/>
      <c r="L3" s="1567"/>
      <c r="M3" s="1567"/>
      <c r="N3" s="1567"/>
      <c r="O3" s="1567"/>
      <c r="P3" s="1567"/>
      <c r="Q3" s="1567"/>
      <c r="R3" s="1567"/>
      <c r="S3" s="1567"/>
      <c r="T3" s="1567"/>
      <c r="U3" s="1567"/>
      <c r="V3" s="1567"/>
      <c r="W3" s="1567"/>
      <c r="X3" s="1567"/>
      <c r="Y3" s="1567"/>
      <c r="Z3" s="1567"/>
      <c r="AA3" s="1567"/>
      <c r="AB3" s="1567"/>
      <c r="AC3" s="1567"/>
      <c r="AD3" s="1567"/>
      <c r="AE3" s="1567"/>
      <c r="AF3" s="1567"/>
      <c r="AG3" s="1567"/>
      <c r="AH3" s="1567"/>
      <c r="AI3" s="1567"/>
      <c r="AJ3" s="1567"/>
      <c r="AK3" s="1567"/>
      <c r="AL3" s="1567"/>
      <c r="AM3" s="1567"/>
      <c r="AN3" s="1567"/>
      <c r="AO3" s="1567"/>
      <c r="AP3" s="1567"/>
      <c r="AQ3" s="1567"/>
      <c r="AR3" s="1567"/>
      <c r="AS3" s="1567"/>
      <c r="AT3" s="1567"/>
      <c r="AU3" s="1567"/>
      <c r="AV3" s="1567"/>
      <c r="AW3" s="1567"/>
      <c r="AX3" s="1567"/>
      <c r="AY3" s="1567"/>
      <c r="AZ3" s="1567"/>
      <c r="BA3" s="1567"/>
      <c r="BB3" s="1567"/>
      <c r="BC3" s="1567"/>
      <c r="BD3" s="1567"/>
      <c r="BE3" s="1567"/>
      <c r="BF3" s="1567"/>
      <c r="BG3" s="1567"/>
      <c r="BH3" s="1567"/>
      <c r="BI3" s="1567"/>
      <c r="BJ3" s="1567"/>
      <c r="BK3" s="1567"/>
      <c r="BL3" s="1567"/>
      <c r="BM3" s="1567"/>
      <c r="BN3" s="1567"/>
      <c r="BO3" s="1567"/>
      <c r="BP3" s="1567"/>
      <c r="BQ3" s="1567"/>
      <c r="BR3" s="1567"/>
      <c r="BS3" s="1567"/>
      <c r="BT3" s="1567"/>
      <c r="BU3" s="1567"/>
      <c r="BV3" s="1567"/>
      <c r="BW3" s="1567"/>
      <c r="BX3" s="1567"/>
      <c r="BY3" s="1567"/>
      <c r="BZ3" s="1567"/>
      <c r="CA3" s="1567"/>
      <c r="CB3" s="1567"/>
      <c r="CC3" s="1567"/>
      <c r="CD3" s="1567"/>
      <c r="CE3" s="1567"/>
      <c r="CF3" s="1567"/>
      <c r="CG3" s="1567"/>
      <c r="CH3" s="1567"/>
      <c r="CI3" s="1567"/>
      <c r="CJ3" s="1567"/>
      <c r="CK3" s="1567"/>
      <c r="CL3" s="1567"/>
      <c r="CM3" s="1567"/>
      <c r="CN3" s="1567"/>
      <c r="CO3" s="1567"/>
      <c r="CP3" s="1567"/>
      <c r="CQ3" s="1567"/>
      <c r="CR3" s="1567"/>
      <c r="CS3" s="1567"/>
      <c r="CT3" s="1567"/>
      <c r="CU3" s="1567"/>
      <c r="CV3" s="1567"/>
      <c r="CW3" s="1567"/>
      <c r="CX3" s="1567"/>
      <c r="CY3" s="1567"/>
      <c r="CZ3" s="1567"/>
      <c r="DA3" s="1567"/>
      <c r="DB3" s="1567"/>
      <c r="DC3" s="1567"/>
      <c r="DD3" s="1567"/>
      <c r="DE3" s="1567"/>
      <c r="DF3" s="1567"/>
      <c r="DG3" s="1567"/>
      <c r="DH3" s="1567"/>
      <c r="DI3" s="1567"/>
      <c r="DJ3" s="1567"/>
      <c r="DK3" s="1567"/>
      <c r="DL3" s="1567"/>
      <c r="DM3" s="1567"/>
      <c r="DN3" s="1567"/>
      <c r="DO3" s="1567"/>
      <c r="DP3" s="1567"/>
      <c r="DQ3" s="1567"/>
      <c r="DR3" s="1567" t="s">
        <v>748</v>
      </c>
      <c r="DS3" s="1567"/>
      <c r="DT3" s="1567"/>
      <c r="DU3" s="1567"/>
      <c r="DV3" s="1567"/>
      <c r="DW3" s="1567"/>
      <c r="DX3" s="1567"/>
      <c r="DY3" s="1567"/>
      <c r="DZ3" s="1567"/>
      <c r="EA3" s="1567"/>
      <c r="EB3" s="1567"/>
      <c r="EC3" s="1567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2016-04-20T11:07:47Z</dcterms:modified>
  <cp:category/>
</cp:coreProperties>
</file>