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440" yWindow="0" windowWidth="25340" windowHeight="165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Middle!$A$1:$M$114</definedName>
    <definedName name="_xlnm.Print_Area" localSheetId="1">Poor!$A$1:$AK$73</definedName>
    <definedName name="_xlnm.Print_Area" localSheetId="3">Rich!$A$1:$M$114</definedName>
    <definedName name="_xlnm.Print_Area" localSheetId="0">V.Poor!$A$1:$M$114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8" i="8" l="1"/>
  <c r="B57" i="8"/>
  <c r="B58" i="8"/>
  <c r="B59" i="8"/>
  <c r="B60" i="8"/>
  <c r="B20" i="8"/>
  <c r="C20" i="8"/>
  <c r="D20" i="8"/>
  <c r="B21" i="8"/>
  <c r="C21" i="8"/>
  <c r="D21" i="8"/>
  <c r="B67" i="8"/>
  <c r="B69" i="8"/>
  <c r="B70" i="8"/>
  <c r="B69" i="1"/>
  <c r="G29" i="1"/>
  <c r="G29" i="7"/>
  <c r="G29" i="8"/>
  <c r="H70" i="8"/>
  <c r="I70" i="8"/>
  <c r="B68" i="1"/>
  <c r="T27" i="8"/>
  <c r="I92" i="9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I20" i="8"/>
  <c r="I21" i="8"/>
  <c r="B29" i="8"/>
  <c r="B78" i="8"/>
  <c r="C29" i="8"/>
  <c r="C78" i="8"/>
  <c r="D78" i="8"/>
  <c r="H78" i="8"/>
  <c r="I78" i="8"/>
  <c r="B30" i="8"/>
  <c r="B79" i="8"/>
  <c r="C30" i="8"/>
  <c r="C79" i="8"/>
  <c r="D79" i="8"/>
  <c r="G30" i="8"/>
  <c r="H79" i="8"/>
  <c r="I79" i="8"/>
  <c r="B31" i="8"/>
  <c r="B80" i="8"/>
  <c r="C31" i="8"/>
  <c r="C80" i="8"/>
  <c r="D80" i="8"/>
  <c r="G31" i="8"/>
  <c r="H80" i="8"/>
  <c r="I80" i="8"/>
  <c r="B32" i="8"/>
  <c r="B81" i="8"/>
  <c r="C32" i="8"/>
  <c r="C81" i="8"/>
  <c r="D81" i="8"/>
  <c r="G32" i="8"/>
  <c r="H81" i="8"/>
  <c r="I81" i="8"/>
  <c r="B33" i="8"/>
  <c r="B82" i="8"/>
  <c r="C33" i="8"/>
  <c r="C82" i="8"/>
  <c r="D82" i="8"/>
  <c r="G33" i="8"/>
  <c r="H82" i="8"/>
  <c r="I82" i="8"/>
  <c r="B34" i="8"/>
  <c r="B83" i="8"/>
  <c r="C34" i="8"/>
  <c r="C83" i="8"/>
  <c r="D83" i="8"/>
  <c r="G34" i="8"/>
  <c r="H83" i="8"/>
  <c r="I83" i="8"/>
  <c r="B35" i="8"/>
  <c r="B84" i="8"/>
  <c r="C35" i="8"/>
  <c r="C84" i="8"/>
  <c r="D84" i="8"/>
  <c r="G35" i="8"/>
  <c r="H84" i="8"/>
  <c r="I84" i="8"/>
  <c r="B36" i="8"/>
  <c r="B85" i="8"/>
  <c r="C36" i="8"/>
  <c r="C85" i="8"/>
  <c r="D85" i="8"/>
  <c r="G36" i="8"/>
  <c r="H85" i="8"/>
  <c r="I85" i="8"/>
  <c r="B37" i="8"/>
  <c r="B86" i="8"/>
  <c r="C37" i="8"/>
  <c r="C86" i="8"/>
  <c r="D86" i="8"/>
  <c r="G37" i="8"/>
  <c r="H86" i="8"/>
  <c r="I86" i="8"/>
  <c r="B38" i="8"/>
  <c r="B87" i="8"/>
  <c r="C38" i="8"/>
  <c r="C87" i="8"/>
  <c r="D87" i="8"/>
  <c r="G38" i="8"/>
  <c r="H87" i="8"/>
  <c r="I87" i="8"/>
  <c r="B39" i="8"/>
  <c r="B88" i="8"/>
  <c r="C39" i="8"/>
  <c r="C88" i="8"/>
  <c r="D88" i="8"/>
  <c r="G39" i="8"/>
  <c r="H88" i="8"/>
  <c r="I88" i="8"/>
  <c r="B40" i="8"/>
  <c r="B89" i="8"/>
  <c r="C40" i="8"/>
  <c r="C89" i="8"/>
  <c r="D89" i="8"/>
  <c r="G40" i="8"/>
  <c r="H89" i="8"/>
  <c r="I89" i="8"/>
  <c r="B41" i="8"/>
  <c r="B90" i="8"/>
  <c r="C41" i="8"/>
  <c r="C90" i="8"/>
  <c r="D90" i="8"/>
  <c r="G41" i="8"/>
  <c r="H90" i="8"/>
  <c r="I90" i="8"/>
  <c r="B42" i="8"/>
  <c r="B91" i="8"/>
  <c r="C42" i="8"/>
  <c r="C91" i="8"/>
  <c r="D91" i="8"/>
  <c r="G42" i="8"/>
  <c r="H91" i="8"/>
  <c r="I91" i="8"/>
  <c r="B43" i="8"/>
  <c r="B92" i="8"/>
  <c r="C43" i="8"/>
  <c r="C92" i="8"/>
  <c r="D92" i="8"/>
  <c r="G43" i="8"/>
  <c r="H92" i="8"/>
  <c r="I92" i="8"/>
  <c r="B44" i="8"/>
  <c r="B93" i="8"/>
  <c r="C44" i="8"/>
  <c r="C93" i="8"/>
  <c r="D93" i="8"/>
  <c r="G44" i="8"/>
  <c r="H93" i="8"/>
  <c r="I93" i="8"/>
  <c r="B45" i="8"/>
  <c r="B94" i="8"/>
  <c r="C45" i="8"/>
  <c r="C94" i="8"/>
  <c r="D94" i="8"/>
  <c r="G45" i="8"/>
  <c r="H94" i="8"/>
  <c r="I94" i="8"/>
  <c r="B46" i="8"/>
  <c r="B95" i="8"/>
  <c r="C46" i="8"/>
  <c r="C95" i="8"/>
  <c r="D95" i="8"/>
  <c r="G46" i="8"/>
  <c r="H95" i="8"/>
  <c r="I95" i="8"/>
  <c r="B47" i="8"/>
  <c r="B96" i="8"/>
  <c r="C47" i="8"/>
  <c r="C96" i="8"/>
  <c r="D96" i="8"/>
  <c r="G47" i="8"/>
  <c r="H96" i="8"/>
  <c r="I96" i="8"/>
  <c r="B48" i="8"/>
  <c r="B97" i="8"/>
  <c r="C48" i="8"/>
  <c r="C97" i="8"/>
  <c r="D97" i="8"/>
  <c r="G48" i="8"/>
  <c r="H97" i="8"/>
  <c r="I97" i="8"/>
  <c r="B49" i="8"/>
  <c r="B98" i="8"/>
  <c r="C49" i="8"/>
  <c r="C98" i="8"/>
  <c r="D98" i="8"/>
  <c r="G49" i="8"/>
  <c r="H98" i="8"/>
  <c r="I98" i="8"/>
  <c r="B50" i="8"/>
  <c r="B99" i="8"/>
  <c r="C50" i="8"/>
  <c r="C99" i="8"/>
  <c r="D99" i="8"/>
  <c r="G50" i="8"/>
  <c r="H99" i="8"/>
  <c r="I99" i="8"/>
  <c r="B51" i="8"/>
  <c r="B100" i="8"/>
  <c r="C51" i="8"/>
  <c r="C100" i="8"/>
  <c r="D100" i="8"/>
  <c r="G51" i="8"/>
  <c r="H100" i="8"/>
  <c r="I100" i="8"/>
  <c r="I101" i="8"/>
  <c r="B106" i="8"/>
  <c r="H106" i="8"/>
  <c r="I106" i="8"/>
  <c r="I22" i="8"/>
  <c r="I24" i="8"/>
  <c r="B107" i="8"/>
  <c r="B108" i="8"/>
  <c r="B109" i="8"/>
  <c r="H107" i="8"/>
  <c r="H108" i="8"/>
  <c r="H109" i="8"/>
  <c r="I110" i="8"/>
  <c r="I113" i="8"/>
  <c r="K109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78" i="8"/>
  <c r="L78" i="8"/>
  <c r="K79" i="8"/>
  <c r="L79" i="8"/>
  <c r="K80" i="8"/>
  <c r="L80" i="8"/>
  <c r="K81" i="8"/>
  <c r="L81" i="8"/>
  <c r="K82" i="8"/>
  <c r="L82" i="8"/>
  <c r="K83" i="8"/>
  <c r="L83" i="8"/>
  <c r="K84" i="8"/>
  <c r="L84" i="8"/>
  <c r="K85" i="8"/>
  <c r="L85" i="8"/>
  <c r="K86" i="8"/>
  <c r="L86" i="8"/>
  <c r="K87" i="8"/>
  <c r="L87" i="8"/>
  <c r="K88" i="8"/>
  <c r="L88" i="8"/>
  <c r="K89" i="8"/>
  <c r="L89" i="8"/>
  <c r="K90" i="8"/>
  <c r="L90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L101" i="8"/>
  <c r="L106" i="8"/>
  <c r="B22" i="8"/>
  <c r="K22" i="8"/>
  <c r="B101" i="8"/>
  <c r="L22" i="8"/>
  <c r="L24" i="8"/>
  <c r="L109" i="8"/>
  <c r="J25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T7" i="8"/>
  <c r="J81" i="8"/>
  <c r="M81" i="8"/>
  <c r="J82" i="8"/>
  <c r="M82" i="8"/>
  <c r="J83" i="8"/>
  <c r="M83" i="8"/>
  <c r="T8" i="8"/>
  <c r="T9" i="8"/>
  <c r="T10" i="8"/>
  <c r="J78" i="8"/>
  <c r="M78" i="8"/>
  <c r="J79" i="8"/>
  <c r="M79" i="8"/>
  <c r="J80" i="8"/>
  <c r="M80" i="8"/>
  <c r="T11" i="8"/>
  <c r="J84" i="8"/>
  <c r="M84" i="8"/>
  <c r="T12" i="8"/>
  <c r="J85" i="8"/>
  <c r="M85" i="8"/>
  <c r="J86" i="8"/>
  <c r="M86" i="8"/>
  <c r="J87" i="8"/>
  <c r="M87" i="8"/>
  <c r="T13" i="8"/>
  <c r="J88" i="8"/>
  <c r="M88" i="8"/>
  <c r="J89" i="8"/>
  <c r="M89" i="8"/>
  <c r="T14" i="8"/>
  <c r="J93" i="8"/>
  <c r="M93" i="8"/>
  <c r="T15" i="8"/>
  <c r="J90" i="8"/>
  <c r="M90" i="8"/>
  <c r="T16" i="8"/>
  <c r="J91" i="8"/>
  <c r="M91" i="8"/>
  <c r="T17" i="8"/>
  <c r="T18" i="8"/>
  <c r="T19" i="8"/>
  <c r="J92" i="8"/>
  <c r="M92" i="8"/>
  <c r="T20" i="8"/>
  <c r="J94" i="8"/>
  <c r="M94" i="8"/>
  <c r="T21" i="8"/>
  <c r="T22" i="8"/>
  <c r="T23" i="8"/>
  <c r="I88" i="9"/>
  <c r="I101" i="9"/>
  <c r="B68" i="7"/>
  <c r="B57" i="7"/>
  <c r="B58" i="7"/>
  <c r="B59" i="7"/>
  <c r="B60" i="7"/>
  <c r="B20" i="7"/>
  <c r="C20" i="7"/>
  <c r="D20" i="7"/>
  <c r="B21" i="7"/>
  <c r="C21" i="7"/>
  <c r="D21" i="7"/>
  <c r="B67" i="7"/>
  <c r="B69" i="7"/>
  <c r="B70" i="7"/>
  <c r="H70" i="7"/>
  <c r="I70" i="7"/>
  <c r="T27" i="7"/>
  <c r="H92" i="9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I20" i="7"/>
  <c r="I21" i="7"/>
  <c r="B29" i="7"/>
  <c r="B78" i="7"/>
  <c r="C29" i="7"/>
  <c r="C78" i="7"/>
  <c r="D78" i="7"/>
  <c r="H78" i="7"/>
  <c r="I78" i="7"/>
  <c r="B30" i="7"/>
  <c r="B79" i="7"/>
  <c r="C30" i="7"/>
  <c r="C79" i="7"/>
  <c r="D79" i="7"/>
  <c r="G30" i="7"/>
  <c r="H79" i="7"/>
  <c r="I79" i="7"/>
  <c r="B31" i="7"/>
  <c r="B80" i="7"/>
  <c r="C31" i="7"/>
  <c r="C80" i="7"/>
  <c r="D80" i="7"/>
  <c r="G31" i="7"/>
  <c r="H80" i="7"/>
  <c r="I80" i="7"/>
  <c r="B32" i="7"/>
  <c r="B81" i="7"/>
  <c r="C32" i="7"/>
  <c r="C81" i="7"/>
  <c r="D81" i="7"/>
  <c r="G32" i="7"/>
  <c r="H81" i="7"/>
  <c r="I81" i="7"/>
  <c r="B33" i="7"/>
  <c r="B82" i="7"/>
  <c r="C33" i="7"/>
  <c r="C82" i="7"/>
  <c r="D82" i="7"/>
  <c r="G33" i="7"/>
  <c r="H82" i="7"/>
  <c r="I82" i="7"/>
  <c r="B34" i="7"/>
  <c r="B83" i="7"/>
  <c r="C34" i="7"/>
  <c r="C83" i="7"/>
  <c r="D83" i="7"/>
  <c r="G34" i="7"/>
  <c r="H83" i="7"/>
  <c r="I83" i="7"/>
  <c r="B35" i="7"/>
  <c r="B84" i="7"/>
  <c r="C35" i="7"/>
  <c r="C84" i="7"/>
  <c r="D84" i="7"/>
  <c r="G35" i="7"/>
  <c r="H84" i="7"/>
  <c r="I84" i="7"/>
  <c r="B36" i="7"/>
  <c r="B85" i="7"/>
  <c r="C36" i="7"/>
  <c r="C85" i="7"/>
  <c r="D85" i="7"/>
  <c r="G36" i="7"/>
  <c r="H85" i="7"/>
  <c r="I85" i="7"/>
  <c r="B37" i="7"/>
  <c r="B86" i="7"/>
  <c r="C37" i="7"/>
  <c r="C86" i="7"/>
  <c r="D86" i="7"/>
  <c r="G37" i="7"/>
  <c r="H86" i="7"/>
  <c r="I86" i="7"/>
  <c r="B38" i="7"/>
  <c r="B87" i="7"/>
  <c r="C38" i="7"/>
  <c r="C87" i="7"/>
  <c r="D87" i="7"/>
  <c r="G38" i="7"/>
  <c r="H87" i="7"/>
  <c r="I87" i="7"/>
  <c r="B39" i="7"/>
  <c r="B88" i="7"/>
  <c r="C39" i="7"/>
  <c r="C88" i="7"/>
  <c r="D88" i="7"/>
  <c r="G39" i="7"/>
  <c r="H88" i="7"/>
  <c r="I88" i="7"/>
  <c r="B40" i="7"/>
  <c r="B89" i="7"/>
  <c r="C40" i="7"/>
  <c r="C89" i="7"/>
  <c r="D89" i="7"/>
  <c r="G40" i="7"/>
  <c r="H89" i="7"/>
  <c r="I89" i="7"/>
  <c r="B41" i="7"/>
  <c r="B90" i="7"/>
  <c r="C41" i="7"/>
  <c r="C90" i="7"/>
  <c r="D90" i="7"/>
  <c r="G41" i="7"/>
  <c r="H90" i="7"/>
  <c r="I90" i="7"/>
  <c r="B42" i="7"/>
  <c r="B91" i="7"/>
  <c r="C42" i="7"/>
  <c r="C91" i="7"/>
  <c r="D91" i="7"/>
  <c r="G42" i="7"/>
  <c r="H91" i="7"/>
  <c r="I91" i="7"/>
  <c r="B43" i="7"/>
  <c r="B92" i="7"/>
  <c r="C43" i="7"/>
  <c r="C92" i="7"/>
  <c r="D92" i="7"/>
  <c r="G43" i="7"/>
  <c r="H92" i="7"/>
  <c r="I92" i="7"/>
  <c r="B44" i="7"/>
  <c r="B93" i="7"/>
  <c r="C44" i="7"/>
  <c r="C93" i="7"/>
  <c r="D93" i="7"/>
  <c r="G44" i="7"/>
  <c r="H93" i="7"/>
  <c r="I93" i="7"/>
  <c r="B45" i="7"/>
  <c r="B94" i="7"/>
  <c r="C45" i="7"/>
  <c r="C94" i="7"/>
  <c r="D94" i="7"/>
  <c r="G45" i="7"/>
  <c r="H94" i="7"/>
  <c r="I94" i="7"/>
  <c r="B46" i="7"/>
  <c r="B95" i="7"/>
  <c r="C46" i="7"/>
  <c r="C95" i="7"/>
  <c r="D95" i="7"/>
  <c r="G46" i="7"/>
  <c r="H95" i="7"/>
  <c r="I95" i="7"/>
  <c r="B47" i="7"/>
  <c r="B96" i="7"/>
  <c r="C47" i="7"/>
  <c r="C96" i="7"/>
  <c r="D96" i="7"/>
  <c r="G47" i="7"/>
  <c r="H96" i="7"/>
  <c r="I96" i="7"/>
  <c r="B48" i="7"/>
  <c r="B97" i="7"/>
  <c r="C48" i="7"/>
  <c r="C97" i="7"/>
  <c r="D97" i="7"/>
  <c r="G48" i="7"/>
  <c r="H97" i="7"/>
  <c r="I97" i="7"/>
  <c r="B49" i="7"/>
  <c r="B98" i="7"/>
  <c r="C49" i="7"/>
  <c r="C98" i="7"/>
  <c r="D98" i="7"/>
  <c r="G49" i="7"/>
  <c r="H98" i="7"/>
  <c r="I98" i="7"/>
  <c r="B50" i="7"/>
  <c r="B99" i="7"/>
  <c r="C50" i="7"/>
  <c r="C99" i="7"/>
  <c r="D99" i="7"/>
  <c r="G50" i="7"/>
  <c r="H99" i="7"/>
  <c r="I99" i="7"/>
  <c r="B51" i="7"/>
  <c r="B100" i="7"/>
  <c r="C51" i="7"/>
  <c r="C100" i="7"/>
  <c r="D100" i="7"/>
  <c r="G51" i="7"/>
  <c r="H100" i="7"/>
  <c r="I100" i="7"/>
  <c r="I101" i="7"/>
  <c r="B106" i="7"/>
  <c r="H106" i="7"/>
  <c r="I106" i="7"/>
  <c r="I22" i="7"/>
  <c r="I24" i="7"/>
  <c r="B109" i="7"/>
  <c r="H107" i="7"/>
  <c r="H108" i="7"/>
  <c r="H109" i="7"/>
  <c r="I110" i="7"/>
  <c r="I113" i="7"/>
  <c r="K109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78" i="7"/>
  <c r="L78" i="7"/>
  <c r="K79" i="7"/>
  <c r="L79" i="7"/>
  <c r="K80" i="7"/>
  <c r="L80" i="7"/>
  <c r="K81" i="7"/>
  <c r="L81" i="7"/>
  <c r="K82" i="7"/>
  <c r="L82" i="7"/>
  <c r="K83" i="7"/>
  <c r="L83" i="7"/>
  <c r="K84" i="7"/>
  <c r="L84" i="7"/>
  <c r="K85" i="7"/>
  <c r="L85" i="7"/>
  <c r="K86" i="7"/>
  <c r="L86" i="7"/>
  <c r="K87" i="7"/>
  <c r="L87" i="7"/>
  <c r="K88" i="7"/>
  <c r="L88" i="7"/>
  <c r="K89" i="7"/>
  <c r="L89" i="7"/>
  <c r="K90" i="7"/>
  <c r="L90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L101" i="7"/>
  <c r="L106" i="7"/>
  <c r="B22" i="7"/>
  <c r="K22" i="7"/>
  <c r="B101" i="7"/>
  <c r="L22" i="7"/>
  <c r="L24" i="7"/>
  <c r="L109" i="7"/>
  <c r="J25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T7" i="7"/>
  <c r="J81" i="7"/>
  <c r="M81" i="7"/>
  <c r="J82" i="7"/>
  <c r="M82" i="7"/>
  <c r="J83" i="7"/>
  <c r="M83" i="7"/>
  <c r="T8" i="7"/>
  <c r="T9" i="7"/>
  <c r="T10" i="7"/>
  <c r="J78" i="7"/>
  <c r="M78" i="7"/>
  <c r="J79" i="7"/>
  <c r="M79" i="7"/>
  <c r="J80" i="7"/>
  <c r="M80" i="7"/>
  <c r="T11" i="7"/>
  <c r="J84" i="7"/>
  <c r="M84" i="7"/>
  <c r="T12" i="7"/>
  <c r="J85" i="7"/>
  <c r="M85" i="7"/>
  <c r="J86" i="7"/>
  <c r="M86" i="7"/>
  <c r="J87" i="7"/>
  <c r="M87" i="7"/>
  <c r="T13" i="7"/>
  <c r="J88" i="7"/>
  <c r="M88" i="7"/>
  <c r="J89" i="7"/>
  <c r="M89" i="7"/>
  <c r="T14" i="7"/>
  <c r="J93" i="7"/>
  <c r="M93" i="7"/>
  <c r="T15" i="7"/>
  <c r="J90" i="7"/>
  <c r="M90" i="7"/>
  <c r="T16" i="7"/>
  <c r="J91" i="7"/>
  <c r="M91" i="7"/>
  <c r="T17" i="7"/>
  <c r="T18" i="7"/>
  <c r="T19" i="7"/>
  <c r="J92" i="7"/>
  <c r="M92" i="7"/>
  <c r="T20" i="7"/>
  <c r="J94" i="7"/>
  <c r="M94" i="7"/>
  <c r="T21" i="7"/>
  <c r="T22" i="7"/>
  <c r="T23" i="7"/>
  <c r="H88" i="9"/>
  <c r="H101" i="9"/>
  <c r="B57" i="1"/>
  <c r="B58" i="1"/>
  <c r="B59" i="1"/>
  <c r="B60" i="1"/>
  <c r="B20" i="1"/>
  <c r="C20" i="1"/>
  <c r="D20" i="1"/>
  <c r="F7" i="1"/>
  <c r="H20" i="1"/>
  <c r="B21" i="1"/>
  <c r="C21" i="1"/>
  <c r="D21" i="1"/>
  <c r="H21" i="1"/>
  <c r="B67" i="1"/>
  <c r="B70" i="1"/>
  <c r="H70" i="1"/>
  <c r="I70" i="1"/>
  <c r="T27" i="1"/>
  <c r="G92" i="9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I20" i="1"/>
  <c r="I21" i="1"/>
  <c r="B29" i="1"/>
  <c r="B78" i="1"/>
  <c r="C29" i="1"/>
  <c r="C78" i="1"/>
  <c r="D78" i="1"/>
  <c r="H78" i="1"/>
  <c r="I78" i="1"/>
  <c r="B30" i="1"/>
  <c r="B79" i="1"/>
  <c r="C30" i="1"/>
  <c r="C79" i="1"/>
  <c r="D79" i="1"/>
  <c r="G30" i="1"/>
  <c r="H79" i="1"/>
  <c r="I79" i="1"/>
  <c r="B31" i="1"/>
  <c r="B80" i="1"/>
  <c r="C31" i="1"/>
  <c r="C80" i="1"/>
  <c r="D80" i="1"/>
  <c r="G31" i="1"/>
  <c r="H80" i="1"/>
  <c r="I80" i="1"/>
  <c r="B32" i="1"/>
  <c r="B81" i="1"/>
  <c r="C32" i="1"/>
  <c r="C81" i="1"/>
  <c r="D81" i="1"/>
  <c r="G32" i="1"/>
  <c r="H81" i="1"/>
  <c r="I81" i="1"/>
  <c r="B33" i="1"/>
  <c r="B82" i="1"/>
  <c r="C33" i="1"/>
  <c r="C82" i="1"/>
  <c r="D82" i="1"/>
  <c r="G33" i="1"/>
  <c r="H82" i="1"/>
  <c r="I82" i="1"/>
  <c r="B34" i="1"/>
  <c r="B83" i="1"/>
  <c r="C34" i="1"/>
  <c r="C83" i="1"/>
  <c r="D83" i="1"/>
  <c r="G34" i="1"/>
  <c r="H83" i="1"/>
  <c r="I83" i="1"/>
  <c r="B35" i="1"/>
  <c r="B84" i="1"/>
  <c r="C35" i="1"/>
  <c r="C84" i="1"/>
  <c r="D84" i="1"/>
  <c r="G35" i="1"/>
  <c r="H84" i="1"/>
  <c r="I84" i="1"/>
  <c r="B36" i="1"/>
  <c r="B85" i="1"/>
  <c r="C36" i="1"/>
  <c r="C85" i="1"/>
  <c r="D85" i="1"/>
  <c r="G36" i="1"/>
  <c r="H85" i="1"/>
  <c r="I85" i="1"/>
  <c r="B37" i="1"/>
  <c r="B86" i="1"/>
  <c r="C37" i="1"/>
  <c r="C86" i="1"/>
  <c r="D86" i="1"/>
  <c r="G37" i="1"/>
  <c r="H86" i="1"/>
  <c r="I86" i="1"/>
  <c r="B38" i="1"/>
  <c r="B87" i="1"/>
  <c r="C38" i="1"/>
  <c r="C87" i="1"/>
  <c r="D87" i="1"/>
  <c r="G38" i="1"/>
  <c r="H87" i="1"/>
  <c r="I87" i="1"/>
  <c r="B39" i="1"/>
  <c r="B88" i="1"/>
  <c r="C39" i="1"/>
  <c r="C88" i="1"/>
  <c r="D88" i="1"/>
  <c r="G39" i="1"/>
  <c r="H88" i="1"/>
  <c r="I88" i="1"/>
  <c r="B40" i="1"/>
  <c r="B89" i="1"/>
  <c r="C40" i="1"/>
  <c r="C89" i="1"/>
  <c r="D89" i="1"/>
  <c r="G40" i="1"/>
  <c r="H89" i="1"/>
  <c r="I89" i="1"/>
  <c r="B41" i="1"/>
  <c r="B90" i="1"/>
  <c r="C41" i="1"/>
  <c r="C90" i="1"/>
  <c r="D90" i="1"/>
  <c r="G41" i="1"/>
  <c r="H90" i="1"/>
  <c r="I90" i="1"/>
  <c r="B42" i="1"/>
  <c r="B91" i="1"/>
  <c r="C42" i="1"/>
  <c r="C91" i="1"/>
  <c r="D91" i="1"/>
  <c r="G42" i="1"/>
  <c r="H91" i="1"/>
  <c r="I91" i="1"/>
  <c r="B43" i="1"/>
  <c r="B92" i="1"/>
  <c r="C43" i="1"/>
  <c r="C92" i="1"/>
  <c r="D92" i="1"/>
  <c r="G43" i="1"/>
  <c r="H92" i="1"/>
  <c r="I92" i="1"/>
  <c r="B44" i="1"/>
  <c r="B93" i="1"/>
  <c r="C44" i="1"/>
  <c r="C93" i="1"/>
  <c r="D93" i="1"/>
  <c r="G44" i="1"/>
  <c r="H93" i="1"/>
  <c r="I93" i="1"/>
  <c r="B45" i="1"/>
  <c r="B94" i="1"/>
  <c r="C45" i="1"/>
  <c r="C94" i="1"/>
  <c r="D94" i="1"/>
  <c r="G45" i="1"/>
  <c r="H94" i="1"/>
  <c r="I94" i="1"/>
  <c r="B46" i="1"/>
  <c r="B95" i="1"/>
  <c r="C46" i="1"/>
  <c r="C95" i="1"/>
  <c r="D95" i="1"/>
  <c r="G46" i="1"/>
  <c r="H95" i="1"/>
  <c r="I95" i="1"/>
  <c r="B47" i="1"/>
  <c r="B96" i="1"/>
  <c r="C47" i="1"/>
  <c r="C96" i="1"/>
  <c r="D96" i="1"/>
  <c r="G47" i="1"/>
  <c r="H96" i="1"/>
  <c r="I96" i="1"/>
  <c r="B48" i="1"/>
  <c r="B97" i="1"/>
  <c r="C48" i="1"/>
  <c r="C97" i="1"/>
  <c r="D97" i="1"/>
  <c r="G48" i="1"/>
  <c r="H97" i="1"/>
  <c r="I97" i="1"/>
  <c r="B49" i="1"/>
  <c r="B98" i="1"/>
  <c r="C49" i="1"/>
  <c r="C98" i="1"/>
  <c r="D98" i="1"/>
  <c r="G49" i="1"/>
  <c r="H98" i="1"/>
  <c r="I98" i="1"/>
  <c r="B50" i="1"/>
  <c r="B99" i="1"/>
  <c r="C50" i="1"/>
  <c r="C99" i="1"/>
  <c r="D99" i="1"/>
  <c r="G50" i="1"/>
  <c r="H99" i="1"/>
  <c r="I99" i="1"/>
  <c r="B51" i="1"/>
  <c r="B100" i="1"/>
  <c r="C51" i="1"/>
  <c r="C100" i="1"/>
  <c r="D100" i="1"/>
  <c r="G51" i="1"/>
  <c r="H100" i="1"/>
  <c r="I100" i="1"/>
  <c r="I101" i="1"/>
  <c r="B106" i="1"/>
  <c r="H106" i="1"/>
  <c r="I106" i="1"/>
  <c r="I22" i="1"/>
  <c r="I24" i="1"/>
  <c r="B109" i="1"/>
  <c r="H109" i="1"/>
  <c r="I110" i="1"/>
  <c r="I113" i="1"/>
  <c r="K109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L101" i="1"/>
  <c r="L106" i="1"/>
  <c r="B22" i="1"/>
  <c r="K22" i="1"/>
  <c r="B101" i="1"/>
  <c r="L22" i="1"/>
  <c r="L24" i="1"/>
  <c r="L109" i="1"/>
  <c r="J25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T7" i="1"/>
  <c r="J81" i="1"/>
  <c r="M81" i="1"/>
  <c r="J82" i="1"/>
  <c r="M82" i="1"/>
  <c r="J83" i="1"/>
  <c r="M83" i="1"/>
  <c r="T8" i="1"/>
  <c r="T9" i="1"/>
  <c r="T10" i="1"/>
  <c r="J78" i="1"/>
  <c r="M78" i="1"/>
  <c r="J79" i="1"/>
  <c r="M79" i="1"/>
  <c r="J80" i="1"/>
  <c r="M80" i="1"/>
  <c r="T11" i="1"/>
  <c r="J84" i="1"/>
  <c r="M84" i="1"/>
  <c r="T12" i="1"/>
  <c r="J85" i="1"/>
  <c r="M85" i="1"/>
  <c r="J86" i="1"/>
  <c r="M86" i="1"/>
  <c r="J87" i="1"/>
  <c r="M87" i="1"/>
  <c r="T13" i="1"/>
  <c r="J88" i="1"/>
  <c r="M88" i="1"/>
  <c r="J89" i="1"/>
  <c r="M89" i="1"/>
  <c r="T14" i="1"/>
  <c r="J93" i="1"/>
  <c r="M93" i="1"/>
  <c r="T15" i="1"/>
  <c r="J90" i="1"/>
  <c r="M90" i="1"/>
  <c r="T16" i="1"/>
  <c r="J91" i="1"/>
  <c r="M91" i="1"/>
  <c r="T17" i="1"/>
  <c r="T18" i="1"/>
  <c r="T19" i="1"/>
  <c r="J92" i="1"/>
  <c r="M92" i="1"/>
  <c r="T20" i="1"/>
  <c r="J94" i="1"/>
  <c r="M94" i="1"/>
  <c r="T21" i="1"/>
  <c r="T22" i="1"/>
  <c r="T23" i="1"/>
  <c r="G88" i="9"/>
  <c r="G101" i="9"/>
  <c r="B68" i="12"/>
  <c r="B57" i="12"/>
  <c r="B58" i="12"/>
  <c r="B59" i="12"/>
  <c r="B60" i="12"/>
  <c r="B20" i="12"/>
  <c r="C20" i="12"/>
  <c r="D20" i="12"/>
  <c r="B21" i="12"/>
  <c r="C21" i="12"/>
  <c r="D21" i="12"/>
  <c r="B67" i="12"/>
  <c r="B69" i="12"/>
  <c r="B70" i="12"/>
  <c r="G29" i="12"/>
  <c r="H70" i="12"/>
  <c r="I70" i="12"/>
  <c r="T27" i="12"/>
  <c r="F92" i="9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I20" i="12"/>
  <c r="I21" i="12"/>
  <c r="B29" i="12"/>
  <c r="B78" i="12"/>
  <c r="C29" i="12"/>
  <c r="C78" i="12"/>
  <c r="D78" i="12"/>
  <c r="H78" i="12"/>
  <c r="I78" i="12"/>
  <c r="B30" i="12"/>
  <c r="B79" i="12"/>
  <c r="C30" i="12"/>
  <c r="C79" i="12"/>
  <c r="D79" i="12"/>
  <c r="G30" i="12"/>
  <c r="H79" i="12"/>
  <c r="I79" i="12"/>
  <c r="B31" i="12"/>
  <c r="B80" i="12"/>
  <c r="C31" i="12"/>
  <c r="C80" i="12"/>
  <c r="D80" i="12"/>
  <c r="G31" i="12"/>
  <c r="H80" i="12"/>
  <c r="I80" i="12"/>
  <c r="B32" i="12"/>
  <c r="B81" i="12"/>
  <c r="C32" i="12"/>
  <c r="C81" i="12"/>
  <c r="D81" i="12"/>
  <c r="G32" i="12"/>
  <c r="H81" i="12"/>
  <c r="I81" i="12"/>
  <c r="B33" i="12"/>
  <c r="B82" i="12"/>
  <c r="C33" i="12"/>
  <c r="C82" i="12"/>
  <c r="D82" i="12"/>
  <c r="G33" i="12"/>
  <c r="H82" i="12"/>
  <c r="I82" i="12"/>
  <c r="B34" i="12"/>
  <c r="B83" i="12"/>
  <c r="C34" i="12"/>
  <c r="C83" i="12"/>
  <c r="D83" i="12"/>
  <c r="G34" i="12"/>
  <c r="H83" i="12"/>
  <c r="I83" i="12"/>
  <c r="B35" i="12"/>
  <c r="B84" i="12"/>
  <c r="C35" i="12"/>
  <c r="C84" i="12"/>
  <c r="D84" i="12"/>
  <c r="G35" i="12"/>
  <c r="H84" i="12"/>
  <c r="I84" i="12"/>
  <c r="B36" i="12"/>
  <c r="B85" i="12"/>
  <c r="C36" i="12"/>
  <c r="C85" i="12"/>
  <c r="D85" i="12"/>
  <c r="G36" i="12"/>
  <c r="H85" i="12"/>
  <c r="I85" i="12"/>
  <c r="B37" i="12"/>
  <c r="B86" i="12"/>
  <c r="C37" i="12"/>
  <c r="C86" i="12"/>
  <c r="D86" i="12"/>
  <c r="G37" i="12"/>
  <c r="H86" i="12"/>
  <c r="I86" i="12"/>
  <c r="B38" i="12"/>
  <c r="B87" i="12"/>
  <c r="C38" i="12"/>
  <c r="C87" i="12"/>
  <c r="D87" i="12"/>
  <c r="G38" i="12"/>
  <c r="H87" i="12"/>
  <c r="I87" i="12"/>
  <c r="B39" i="12"/>
  <c r="B88" i="12"/>
  <c r="C39" i="12"/>
  <c r="C88" i="12"/>
  <c r="D88" i="12"/>
  <c r="G39" i="12"/>
  <c r="H88" i="12"/>
  <c r="I88" i="12"/>
  <c r="B40" i="12"/>
  <c r="B89" i="12"/>
  <c r="C40" i="12"/>
  <c r="C89" i="12"/>
  <c r="D89" i="12"/>
  <c r="G40" i="12"/>
  <c r="H89" i="12"/>
  <c r="I89" i="12"/>
  <c r="B41" i="12"/>
  <c r="B90" i="12"/>
  <c r="C41" i="12"/>
  <c r="C90" i="12"/>
  <c r="D90" i="12"/>
  <c r="G41" i="12"/>
  <c r="H90" i="12"/>
  <c r="I90" i="12"/>
  <c r="B42" i="12"/>
  <c r="B91" i="12"/>
  <c r="C42" i="12"/>
  <c r="C91" i="12"/>
  <c r="D91" i="12"/>
  <c r="G42" i="12"/>
  <c r="H91" i="12"/>
  <c r="I91" i="12"/>
  <c r="B43" i="12"/>
  <c r="B92" i="12"/>
  <c r="C43" i="12"/>
  <c r="C92" i="12"/>
  <c r="D92" i="12"/>
  <c r="G43" i="12"/>
  <c r="H92" i="12"/>
  <c r="I92" i="12"/>
  <c r="B44" i="12"/>
  <c r="B93" i="12"/>
  <c r="C44" i="12"/>
  <c r="C93" i="12"/>
  <c r="D93" i="12"/>
  <c r="G44" i="12"/>
  <c r="H93" i="12"/>
  <c r="I93" i="12"/>
  <c r="B45" i="12"/>
  <c r="B94" i="12"/>
  <c r="C45" i="12"/>
  <c r="C94" i="12"/>
  <c r="D94" i="12"/>
  <c r="G45" i="12"/>
  <c r="H94" i="12"/>
  <c r="I94" i="12"/>
  <c r="B46" i="12"/>
  <c r="B95" i="12"/>
  <c r="C46" i="12"/>
  <c r="C95" i="12"/>
  <c r="D95" i="12"/>
  <c r="G46" i="12"/>
  <c r="H95" i="12"/>
  <c r="I95" i="12"/>
  <c r="B47" i="12"/>
  <c r="B96" i="12"/>
  <c r="C47" i="12"/>
  <c r="C96" i="12"/>
  <c r="D96" i="12"/>
  <c r="G47" i="12"/>
  <c r="H96" i="12"/>
  <c r="I96" i="12"/>
  <c r="B48" i="12"/>
  <c r="B97" i="12"/>
  <c r="C48" i="12"/>
  <c r="C97" i="12"/>
  <c r="D97" i="12"/>
  <c r="G48" i="12"/>
  <c r="H97" i="12"/>
  <c r="I97" i="12"/>
  <c r="B49" i="12"/>
  <c r="B98" i="12"/>
  <c r="C49" i="12"/>
  <c r="C98" i="12"/>
  <c r="D98" i="12"/>
  <c r="G49" i="12"/>
  <c r="H98" i="12"/>
  <c r="I98" i="12"/>
  <c r="B50" i="12"/>
  <c r="B99" i="12"/>
  <c r="C50" i="12"/>
  <c r="C99" i="12"/>
  <c r="D99" i="12"/>
  <c r="G50" i="12"/>
  <c r="H99" i="12"/>
  <c r="I99" i="12"/>
  <c r="B51" i="12"/>
  <c r="B100" i="12"/>
  <c r="C51" i="12"/>
  <c r="C100" i="12"/>
  <c r="D100" i="12"/>
  <c r="G51" i="12"/>
  <c r="H100" i="12"/>
  <c r="I100" i="12"/>
  <c r="I101" i="12"/>
  <c r="B106" i="12"/>
  <c r="H106" i="12"/>
  <c r="I106" i="12"/>
  <c r="I22" i="12"/>
  <c r="I24" i="12"/>
  <c r="B109" i="12"/>
  <c r="H107" i="12"/>
  <c r="H108" i="12"/>
  <c r="H109" i="12"/>
  <c r="I110" i="12"/>
  <c r="I113" i="12"/>
  <c r="K109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78" i="12"/>
  <c r="L78" i="12"/>
  <c r="K79" i="12"/>
  <c r="L79" i="12"/>
  <c r="K80" i="12"/>
  <c r="L80" i="12"/>
  <c r="K81" i="12"/>
  <c r="L81" i="12"/>
  <c r="K82" i="12"/>
  <c r="L82" i="12"/>
  <c r="K83" i="12"/>
  <c r="L83" i="12"/>
  <c r="K84" i="12"/>
  <c r="L84" i="12"/>
  <c r="K85" i="12"/>
  <c r="L85" i="12"/>
  <c r="K86" i="12"/>
  <c r="L86" i="12"/>
  <c r="K87" i="12"/>
  <c r="L87" i="12"/>
  <c r="K88" i="12"/>
  <c r="L88" i="12"/>
  <c r="K89" i="12"/>
  <c r="L89" i="12"/>
  <c r="K90" i="12"/>
  <c r="L90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L101" i="12"/>
  <c r="L106" i="12"/>
  <c r="B22" i="12"/>
  <c r="K22" i="12"/>
  <c r="B101" i="12"/>
  <c r="L22" i="12"/>
  <c r="L24" i="12"/>
  <c r="L109" i="12"/>
  <c r="J25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T7" i="12"/>
  <c r="J81" i="12"/>
  <c r="M81" i="12"/>
  <c r="J82" i="12"/>
  <c r="M82" i="12"/>
  <c r="J83" i="12"/>
  <c r="M83" i="12"/>
  <c r="T8" i="12"/>
  <c r="T9" i="12"/>
  <c r="T10" i="12"/>
  <c r="J78" i="12"/>
  <c r="M78" i="12"/>
  <c r="J79" i="12"/>
  <c r="M79" i="12"/>
  <c r="J80" i="12"/>
  <c r="M80" i="12"/>
  <c r="T11" i="12"/>
  <c r="J84" i="12"/>
  <c r="M84" i="12"/>
  <c r="T12" i="12"/>
  <c r="J85" i="12"/>
  <c r="M85" i="12"/>
  <c r="J86" i="12"/>
  <c r="M86" i="12"/>
  <c r="J87" i="12"/>
  <c r="M87" i="12"/>
  <c r="T13" i="12"/>
  <c r="J88" i="12"/>
  <c r="M88" i="12"/>
  <c r="J89" i="12"/>
  <c r="M89" i="12"/>
  <c r="T14" i="12"/>
  <c r="J93" i="12"/>
  <c r="M93" i="12"/>
  <c r="T15" i="12"/>
  <c r="J90" i="12"/>
  <c r="M90" i="12"/>
  <c r="T16" i="12"/>
  <c r="J91" i="12"/>
  <c r="M91" i="12"/>
  <c r="T17" i="12"/>
  <c r="T18" i="12"/>
  <c r="T19" i="12"/>
  <c r="J92" i="12"/>
  <c r="M92" i="12"/>
  <c r="T20" i="12"/>
  <c r="J94" i="12"/>
  <c r="M94" i="12"/>
  <c r="T21" i="12"/>
  <c r="T22" i="12"/>
  <c r="T23" i="12"/>
  <c r="F88" i="9"/>
  <c r="F101" i="9"/>
  <c r="B71" i="8"/>
  <c r="I71" i="8"/>
  <c r="H71" i="8"/>
  <c r="R27" i="8"/>
  <c r="E92" i="9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E88" i="9"/>
  <c r="E101" i="9"/>
  <c r="B71" i="7"/>
  <c r="I71" i="7"/>
  <c r="H71" i="7"/>
  <c r="R27" i="7"/>
  <c r="D92" i="9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D88" i="9"/>
  <c r="D101" i="9"/>
  <c r="B71" i="1"/>
  <c r="I71" i="1"/>
  <c r="H71" i="1"/>
  <c r="R27" i="1"/>
  <c r="C92" i="9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C88" i="9"/>
  <c r="C101" i="9"/>
  <c r="B71" i="12"/>
  <c r="I71" i="12"/>
  <c r="H71" i="12"/>
  <c r="R27" i="12"/>
  <c r="B92" i="9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B88" i="9"/>
  <c r="B101" i="9"/>
  <c r="T26" i="8"/>
  <c r="I91" i="9"/>
  <c r="I100" i="9"/>
  <c r="T26" i="7"/>
  <c r="H91" i="9"/>
  <c r="H100" i="9"/>
  <c r="T26" i="1"/>
  <c r="G91" i="9"/>
  <c r="G100" i="9"/>
  <c r="T26" i="12"/>
  <c r="F91" i="9"/>
  <c r="F100" i="9"/>
  <c r="R26" i="8"/>
  <c r="E91" i="9"/>
  <c r="E100" i="9"/>
  <c r="R26" i="7"/>
  <c r="D91" i="9"/>
  <c r="D100" i="9"/>
  <c r="R26" i="1"/>
  <c r="C91" i="9"/>
  <c r="C100" i="9"/>
  <c r="R26" i="12"/>
  <c r="B91" i="9"/>
  <c r="B100" i="9"/>
  <c r="T25" i="8"/>
  <c r="I90" i="9"/>
  <c r="I99" i="9"/>
  <c r="T25" i="7"/>
  <c r="H90" i="9"/>
  <c r="H99" i="9"/>
  <c r="T25" i="1"/>
  <c r="G90" i="9"/>
  <c r="G99" i="9"/>
  <c r="T25" i="12"/>
  <c r="F90" i="9"/>
  <c r="F99" i="9"/>
  <c r="R25" i="8"/>
  <c r="E90" i="9"/>
  <c r="E99" i="9"/>
  <c r="R25" i="7"/>
  <c r="D90" i="9"/>
  <c r="D99" i="9"/>
  <c r="R25" i="1"/>
  <c r="C90" i="9"/>
  <c r="C99" i="9"/>
  <c r="R25" i="12"/>
  <c r="B90" i="9"/>
  <c r="B99" i="9"/>
  <c r="T24" i="8"/>
  <c r="I89" i="9"/>
  <c r="I98" i="9"/>
  <c r="T24" i="7"/>
  <c r="H89" i="9"/>
  <c r="H98" i="9"/>
  <c r="T24" i="1"/>
  <c r="G89" i="9"/>
  <c r="G98" i="9"/>
  <c r="T24" i="12"/>
  <c r="F89" i="9"/>
  <c r="F98" i="9"/>
  <c r="R24" i="8"/>
  <c r="E89" i="9"/>
  <c r="E98" i="9"/>
  <c r="R24" i="7"/>
  <c r="D89" i="9"/>
  <c r="D98" i="9"/>
  <c r="R24" i="1"/>
  <c r="C89" i="9"/>
  <c r="C98" i="9"/>
  <c r="R24" i="12"/>
  <c r="B89" i="9"/>
  <c r="B98" i="9"/>
  <c r="T40" i="1"/>
  <c r="S27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40" i="1"/>
  <c r="R40" i="1"/>
  <c r="T39" i="1"/>
  <c r="S26" i="1"/>
  <c r="S39" i="1"/>
  <c r="R39" i="1"/>
  <c r="T38" i="1"/>
  <c r="S25" i="1"/>
  <c r="S38" i="1"/>
  <c r="R38" i="1"/>
  <c r="T37" i="1"/>
  <c r="S24" i="1"/>
  <c r="S37" i="1"/>
  <c r="R37" i="1"/>
  <c r="T40" i="12"/>
  <c r="S27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40" i="12"/>
  <c r="R40" i="12"/>
  <c r="T39" i="12"/>
  <c r="S26" i="12"/>
  <c r="S39" i="12"/>
  <c r="R39" i="12"/>
  <c r="T38" i="12"/>
  <c r="S25" i="12"/>
  <c r="S38" i="12"/>
  <c r="R38" i="12"/>
  <c r="T37" i="12"/>
  <c r="S24" i="12"/>
  <c r="S37" i="12"/>
  <c r="R37" i="12"/>
  <c r="AH69" i="1"/>
  <c r="F9" i="8"/>
  <c r="H21" i="8"/>
  <c r="F57" i="7"/>
  <c r="F57" i="8"/>
  <c r="H57" i="8"/>
  <c r="F58" i="7"/>
  <c r="F58" i="8"/>
  <c r="H58" i="8"/>
  <c r="F59" i="7"/>
  <c r="F59" i="8"/>
  <c r="H59" i="8"/>
  <c r="I95" i="9"/>
  <c r="E20" i="7"/>
  <c r="E20" i="8"/>
  <c r="H20" i="8"/>
  <c r="F60" i="7"/>
  <c r="F60" i="8"/>
  <c r="H60" i="8"/>
  <c r="I96" i="9"/>
  <c r="F9" i="7"/>
  <c r="H21" i="7"/>
  <c r="H57" i="7"/>
  <c r="H58" i="7"/>
  <c r="H59" i="7"/>
  <c r="H95" i="9"/>
  <c r="H20" i="7"/>
  <c r="H60" i="7"/>
  <c r="H96" i="9"/>
  <c r="H57" i="1"/>
  <c r="H58" i="1"/>
  <c r="H59" i="1"/>
  <c r="G95" i="9"/>
  <c r="H60" i="1"/>
  <c r="G96" i="9"/>
  <c r="F9" i="12"/>
  <c r="H21" i="12"/>
  <c r="F57" i="12"/>
  <c r="H57" i="12"/>
  <c r="F58" i="12"/>
  <c r="H58" i="12"/>
  <c r="F59" i="12"/>
  <c r="H59" i="12"/>
  <c r="F95" i="9"/>
  <c r="E20" i="12"/>
  <c r="H20" i="12"/>
  <c r="F60" i="12"/>
  <c r="H60" i="12"/>
  <c r="F96" i="9"/>
  <c r="A95" i="9"/>
  <c r="A96" i="9"/>
  <c r="A91" i="9"/>
  <c r="A92" i="9"/>
  <c r="E40" i="7"/>
  <c r="F40" i="7"/>
  <c r="F41" i="7"/>
  <c r="E41" i="7"/>
  <c r="F42" i="7"/>
  <c r="E42" i="7"/>
  <c r="F29" i="7"/>
  <c r="E30" i="7"/>
  <c r="F30" i="7"/>
  <c r="E35" i="7"/>
  <c r="E36" i="7"/>
  <c r="F36" i="7"/>
  <c r="F37" i="7"/>
  <c r="E38" i="7"/>
  <c r="F38" i="7"/>
  <c r="F39" i="7"/>
  <c r="E43" i="7"/>
  <c r="E44" i="7"/>
  <c r="F44" i="7"/>
  <c r="E45" i="7"/>
  <c r="F45" i="7"/>
  <c r="E31" i="7"/>
  <c r="E32" i="1"/>
  <c r="E32" i="7"/>
  <c r="E33" i="1"/>
  <c r="E33" i="7"/>
  <c r="E34" i="1"/>
  <c r="E34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6" i="7"/>
  <c r="H6" i="7"/>
  <c r="H18" i="7"/>
  <c r="H19" i="7"/>
  <c r="J95" i="7"/>
  <c r="J96" i="7"/>
  <c r="J97" i="7"/>
  <c r="J98" i="7"/>
  <c r="J99" i="7"/>
  <c r="J100" i="7"/>
  <c r="J101" i="7"/>
  <c r="J107" i="7"/>
  <c r="J58" i="7"/>
  <c r="B52" i="7"/>
  <c r="B63" i="7"/>
  <c r="K58" i="7"/>
  <c r="L107" i="7"/>
  <c r="B112" i="7"/>
  <c r="L58" i="7"/>
  <c r="M58" i="7"/>
  <c r="I108" i="7"/>
  <c r="I59" i="7"/>
  <c r="J21" i="7"/>
  <c r="B24" i="7"/>
  <c r="J22" i="7"/>
  <c r="J110" i="7"/>
  <c r="J108" i="7"/>
  <c r="J59" i="7"/>
  <c r="K59" i="7"/>
  <c r="L108" i="7"/>
  <c r="L59" i="7"/>
  <c r="M59" i="7"/>
  <c r="E40" i="12"/>
  <c r="F40" i="12"/>
  <c r="F41" i="12"/>
  <c r="E41" i="12"/>
  <c r="F42" i="12"/>
  <c r="E42" i="12"/>
  <c r="F29" i="12"/>
  <c r="E30" i="12"/>
  <c r="F30" i="12"/>
  <c r="E35" i="12"/>
  <c r="E36" i="12"/>
  <c r="F36" i="12"/>
  <c r="F37" i="12"/>
  <c r="E38" i="12"/>
  <c r="F38" i="12"/>
  <c r="F39" i="12"/>
  <c r="E43" i="12"/>
  <c r="E44" i="12"/>
  <c r="F44" i="12"/>
  <c r="E45" i="12"/>
  <c r="F45" i="12"/>
  <c r="E31" i="12"/>
  <c r="E32" i="12"/>
  <c r="E33" i="12"/>
  <c r="E34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6" i="12"/>
  <c r="H6" i="12"/>
  <c r="H18" i="12"/>
  <c r="H19" i="12"/>
  <c r="J95" i="12"/>
  <c r="J96" i="12"/>
  <c r="J97" i="12"/>
  <c r="J98" i="12"/>
  <c r="J99" i="12"/>
  <c r="J100" i="12"/>
  <c r="J101" i="12"/>
  <c r="J107" i="12"/>
  <c r="J58" i="12"/>
  <c r="B52" i="12"/>
  <c r="B63" i="12"/>
  <c r="K58" i="12"/>
  <c r="L107" i="12"/>
  <c r="B112" i="12"/>
  <c r="L58" i="12"/>
  <c r="M58" i="12"/>
  <c r="I108" i="12"/>
  <c r="I59" i="12"/>
  <c r="J21" i="12"/>
  <c r="B24" i="12"/>
  <c r="J22" i="12"/>
  <c r="J110" i="12"/>
  <c r="J108" i="12"/>
  <c r="J59" i="12"/>
  <c r="K59" i="12"/>
  <c r="L108" i="12"/>
  <c r="L59" i="12"/>
  <c r="M59" i="12"/>
  <c r="I107" i="1"/>
  <c r="I58" i="1"/>
  <c r="J95" i="1"/>
  <c r="J96" i="1"/>
  <c r="J97" i="1"/>
  <c r="J98" i="1"/>
  <c r="J99" i="1"/>
  <c r="J100" i="1"/>
  <c r="J101" i="1"/>
  <c r="J107" i="1"/>
  <c r="J58" i="1"/>
  <c r="B52" i="1"/>
  <c r="B63" i="1"/>
  <c r="K58" i="1"/>
  <c r="B112" i="1"/>
  <c r="L58" i="1"/>
  <c r="M58" i="1"/>
  <c r="I108" i="1"/>
  <c r="I59" i="1"/>
  <c r="J21" i="1"/>
  <c r="B24" i="1"/>
  <c r="J22" i="1"/>
  <c r="J110" i="1"/>
  <c r="J108" i="1"/>
  <c r="J59" i="1"/>
  <c r="K59" i="1"/>
  <c r="L59" i="1"/>
  <c r="M59" i="1"/>
  <c r="E40" i="8"/>
  <c r="F40" i="8"/>
  <c r="F41" i="8"/>
  <c r="E41" i="8"/>
  <c r="F42" i="8"/>
  <c r="E42" i="8"/>
  <c r="F29" i="8"/>
  <c r="E30" i="8"/>
  <c r="F30" i="8"/>
  <c r="E35" i="8"/>
  <c r="E36" i="8"/>
  <c r="F36" i="8"/>
  <c r="F37" i="8"/>
  <c r="E38" i="8"/>
  <c r="F38" i="8"/>
  <c r="F39" i="8"/>
  <c r="E43" i="8"/>
  <c r="E44" i="8"/>
  <c r="F44" i="8"/>
  <c r="E45" i="8"/>
  <c r="F45" i="8"/>
  <c r="E31" i="8"/>
  <c r="E32" i="8"/>
  <c r="E33" i="8"/>
  <c r="E34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6" i="8"/>
  <c r="H6" i="8"/>
  <c r="H18" i="8"/>
  <c r="H19" i="8"/>
  <c r="J95" i="8"/>
  <c r="J96" i="8"/>
  <c r="J97" i="8"/>
  <c r="J98" i="8"/>
  <c r="J99" i="8"/>
  <c r="J100" i="8"/>
  <c r="J101" i="8"/>
  <c r="J21" i="8"/>
  <c r="B24" i="8"/>
  <c r="J22" i="8"/>
  <c r="J110" i="8"/>
  <c r="J113" i="8"/>
  <c r="J112" i="8"/>
  <c r="I112" i="8"/>
  <c r="J106" i="8"/>
  <c r="J107" i="8"/>
  <c r="J108" i="8"/>
  <c r="J109" i="8"/>
  <c r="J111" i="8"/>
  <c r="I109" i="8"/>
  <c r="I108" i="8"/>
  <c r="I107" i="8"/>
  <c r="J113" i="7"/>
  <c r="J112" i="7"/>
  <c r="I112" i="7"/>
  <c r="J106" i="7"/>
  <c r="J109" i="7"/>
  <c r="J111" i="7"/>
  <c r="I109" i="7"/>
  <c r="J113" i="12"/>
  <c r="J112" i="12"/>
  <c r="I112" i="12"/>
  <c r="J106" i="12"/>
  <c r="J109" i="12"/>
  <c r="J111" i="12"/>
  <c r="I109" i="12"/>
  <c r="J113" i="1"/>
  <c r="J112" i="1"/>
  <c r="I112" i="1"/>
  <c r="J106" i="1"/>
  <c r="J109" i="1"/>
  <c r="J111" i="1"/>
  <c r="I109" i="1"/>
  <c r="S27" i="8"/>
  <c r="S26" i="8"/>
  <c r="S25" i="8"/>
  <c r="S24" i="8"/>
  <c r="S27" i="7"/>
  <c r="S26" i="7"/>
  <c r="S25" i="7"/>
  <c r="S24" i="7"/>
  <c r="K107" i="12"/>
  <c r="M107" i="12"/>
  <c r="K108" i="12"/>
  <c r="M108" i="12"/>
  <c r="K107" i="1"/>
  <c r="L107" i="1"/>
  <c r="M107" i="1"/>
  <c r="K108" i="1"/>
  <c r="L108" i="1"/>
  <c r="M108" i="1"/>
  <c r="K107" i="7"/>
  <c r="M107" i="7"/>
  <c r="K108" i="7"/>
  <c r="M108" i="7"/>
  <c r="K107" i="8"/>
  <c r="L107" i="8"/>
  <c r="M107" i="8"/>
  <c r="K108" i="8"/>
  <c r="L108" i="8"/>
  <c r="M108" i="8"/>
  <c r="E58" i="8"/>
  <c r="E59" i="8"/>
  <c r="E58" i="7"/>
  <c r="E59" i="7"/>
  <c r="E58" i="12"/>
  <c r="E59" i="12"/>
  <c r="B23" i="12"/>
  <c r="E18" i="12"/>
  <c r="E19" i="12"/>
  <c r="E21" i="12"/>
  <c r="B23" i="7"/>
  <c r="E18" i="7"/>
  <c r="E19" i="7"/>
  <c r="E21" i="7"/>
  <c r="B23" i="8"/>
  <c r="E21" i="8"/>
  <c r="E18" i="8"/>
  <c r="E19" i="8"/>
  <c r="B2" i="13"/>
  <c r="E2" i="13"/>
  <c r="D2" i="13"/>
  <c r="C2" i="13"/>
  <c r="A1" i="1"/>
  <c r="B74" i="8"/>
  <c r="B66" i="8"/>
  <c r="B74" i="7"/>
  <c r="B66" i="7"/>
  <c r="B74" i="1"/>
  <c r="B66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74" i="12"/>
  <c r="B66" i="12"/>
  <c r="B23" i="1"/>
  <c r="D39" i="8"/>
  <c r="D47" i="8"/>
  <c r="D49" i="8"/>
  <c r="D37" i="7"/>
  <c r="D43" i="1"/>
  <c r="A48" i="12"/>
  <c r="A97" i="12"/>
  <c r="D51" i="1"/>
  <c r="A31" i="7"/>
  <c r="A80" i="7"/>
  <c r="D33" i="1"/>
  <c r="A35" i="7"/>
  <c r="A84" i="7"/>
  <c r="A9" i="7"/>
  <c r="A6" i="7"/>
  <c r="B22" i="13"/>
  <c r="D22" i="13"/>
  <c r="E22" i="13"/>
  <c r="B23" i="13"/>
  <c r="B107" i="13"/>
  <c r="B109" i="13"/>
  <c r="E57" i="12"/>
  <c r="E60" i="12"/>
  <c r="E57" i="7"/>
  <c r="E60" i="7"/>
  <c r="E29" i="12"/>
  <c r="F31" i="12"/>
  <c r="F32" i="12"/>
  <c r="F33" i="12"/>
  <c r="F34" i="12"/>
  <c r="F35" i="12"/>
  <c r="E37" i="12"/>
  <c r="E39" i="12"/>
  <c r="F43" i="12"/>
  <c r="H43" i="12"/>
  <c r="H44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22" i="12"/>
  <c r="H22" i="12"/>
  <c r="E29" i="7"/>
  <c r="H30" i="7"/>
  <c r="F31" i="7"/>
  <c r="F32" i="7"/>
  <c r="F32" i="8"/>
  <c r="F33" i="7"/>
  <c r="F33" i="8"/>
  <c r="F34" i="7"/>
  <c r="H34" i="7"/>
  <c r="F35" i="7"/>
  <c r="F35" i="8"/>
  <c r="H35" i="8"/>
  <c r="E37" i="7"/>
  <c r="H37" i="7"/>
  <c r="E39" i="7"/>
  <c r="F43" i="7"/>
  <c r="F43" i="8"/>
  <c r="E46" i="7"/>
  <c r="F46" i="7"/>
  <c r="F46" i="8"/>
  <c r="E47" i="7"/>
  <c r="F47" i="7"/>
  <c r="E48" i="7"/>
  <c r="F48" i="7"/>
  <c r="E49" i="7"/>
  <c r="F49" i="7"/>
  <c r="E50" i="7"/>
  <c r="F50" i="7"/>
  <c r="F50" i="8"/>
  <c r="E51" i="7"/>
  <c r="F51" i="7"/>
  <c r="F51" i="8"/>
  <c r="E22" i="7"/>
  <c r="E37" i="8"/>
  <c r="F47" i="8"/>
  <c r="F48" i="8"/>
  <c r="F49" i="8"/>
  <c r="B110" i="12"/>
  <c r="K110" i="12"/>
  <c r="H31" i="1"/>
  <c r="D31" i="1"/>
  <c r="I31" i="1"/>
  <c r="H32" i="1"/>
  <c r="D32" i="1"/>
  <c r="I32" i="1"/>
  <c r="H36" i="1"/>
  <c r="H37" i="1"/>
  <c r="K37" i="1"/>
  <c r="L37" i="1"/>
  <c r="H38" i="1"/>
  <c r="D39" i="1"/>
  <c r="H39" i="1"/>
  <c r="I39" i="1"/>
  <c r="H41" i="1"/>
  <c r="H50" i="1"/>
  <c r="A7" i="8"/>
  <c r="A9" i="12"/>
  <c r="A11" i="7"/>
  <c r="A15" i="7"/>
  <c r="A17" i="8"/>
  <c r="A20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12"/>
  <c r="AC7" i="12"/>
  <c r="AC7" i="1"/>
  <c r="X7" i="7"/>
  <c r="AC7" i="7"/>
  <c r="X7" i="8"/>
  <c r="AC7" i="8"/>
  <c r="X11" i="8"/>
  <c r="X33" i="8"/>
  <c r="X9" i="8"/>
  <c r="X32" i="8"/>
  <c r="X8" i="8"/>
  <c r="X31" i="8"/>
  <c r="X11" i="7"/>
  <c r="X33" i="7"/>
  <c r="X9" i="7"/>
  <c r="X32" i="7"/>
  <c r="X8" i="7"/>
  <c r="X31" i="7"/>
  <c r="X11" i="12"/>
  <c r="X33" i="12"/>
  <c r="X9" i="12"/>
  <c r="X32" i="12"/>
  <c r="X8" i="12"/>
  <c r="AG69" i="8"/>
  <c r="AE69" i="8"/>
  <c r="AC69" i="8"/>
  <c r="AA69" i="8"/>
  <c r="AH69" i="8"/>
  <c r="Z69" i="8"/>
  <c r="AD60" i="8"/>
  <c r="AB60" i="8"/>
  <c r="Z60" i="8"/>
  <c r="AF60" i="1"/>
  <c r="AF60" i="8"/>
  <c r="AH60" i="8"/>
  <c r="AF57" i="1"/>
  <c r="AF57" i="8"/>
  <c r="AD57" i="8"/>
  <c r="AB57" i="8"/>
  <c r="Z57" i="8"/>
  <c r="AH57" i="8"/>
  <c r="AD51" i="8"/>
  <c r="AB51" i="8"/>
  <c r="Z51" i="8"/>
  <c r="AF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F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G69" i="7"/>
  <c r="AA69" i="7"/>
  <c r="AC69" i="7"/>
  <c r="AE69" i="7"/>
  <c r="AH69" i="7"/>
  <c r="AD60" i="7"/>
  <c r="AB60" i="7"/>
  <c r="Z60" i="7"/>
  <c r="AF60" i="7"/>
  <c r="AH60" i="7"/>
  <c r="AF57" i="7"/>
  <c r="AD57" i="7"/>
  <c r="AB57" i="7"/>
  <c r="Z57" i="7"/>
  <c r="AD51" i="7"/>
  <c r="AB51" i="7"/>
  <c r="Z51" i="7"/>
  <c r="AD50" i="7"/>
  <c r="Z50" i="7"/>
  <c r="AB50" i="7"/>
  <c r="AF50" i="7"/>
  <c r="AD49" i="7"/>
  <c r="AB49" i="7"/>
  <c r="Z49" i="7"/>
  <c r="AD48" i="7"/>
  <c r="AB48" i="7"/>
  <c r="Z48" i="7"/>
  <c r="AD47" i="7"/>
  <c r="AB47" i="7"/>
  <c r="Z47" i="7"/>
  <c r="AF47" i="7"/>
  <c r="AD46" i="7"/>
  <c r="AB46" i="7"/>
  <c r="Z46" i="7"/>
  <c r="AD45" i="7"/>
  <c r="Z45" i="7"/>
  <c r="AB45" i="7"/>
  <c r="AF45" i="7"/>
  <c r="AD44" i="7"/>
  <c r="AB44" i="7"/>
  <c r="Z44" i="7"/>
  <c r="AF44" i="7"/>
  <c r="AD43" i="7"/>
  <c r="AB43" i="7"/>
  <c r="Z43" i="7"/>
  <c r="AD42" i="7"/>
  <c r="Z42" i="7"/>
  <c r="AB42" i="7"/>
  <c r="AF42" i="7"/>
  <c r="AD41" i="7"/>
  <c r="Z41" i="7"/>
  <c r="AB41" i="7"/>
  <c r="AF41" i="7"/>
  <c r="AH41" i="7"/>
  <c r="AD40" i="7"/>
  <c r="AB40" i="7"/>
  <c r="Z40" i="7"/>
  <c r="AD39" i="7"/>
  <c r="AB39" i="7"/>
  <c r="Z39" i="7"/>
  <c r="AD38" i="7"/>
  <c r="AB38" i="7"/>
  <c r="Z38" i="7"/>
  <c r="AD37" i="7"/>
  <c r="Z37" i="7"/>
  <c r="AB37" i="7"/>
  <c r="AF37" i="7"/>
  <c r="AD36" i="7"/>
  <c r="AB36" i="7"/>
  <c r="Z36" i="7"/>
  <c r="AF36" i="7"/>
  <c r="AD35" i="7"/>
  <c r="AB35" i="7"/>
  <c r="Z35" i="7"/>
  <c r="AD34" i="7"/>
  <c r="Z34" i="7"/>
  <c r="AB34" i="7"/>
  <c r="AF34" i="7"/>
  <c r="AD21" i="7"/>
  <c r="Z21" i="7"/>
  <c r="AB21" i="7"/>
  <c r="AF21" i="7"/>
  <c r="AD20" i="7"/>
  <c r="AB20" i="7"/>
  <c r="Z20" i="7"/>
  <c r="AD19" i="7"/>
  <c r="AB19" i="7"/>
  <c r="Z19" i="7"/>
  <c r="AD18" i="7"/>
  <c r="AB18" i="7"/>
  <c r="Z18" i="7"/>
  <c r="AD17" i="7"/>
  <c r="AB17" i="7"/>
  <c r="Z17" i="7"/>
  <c r="AD16" i="7"/>
  <c r="AB16" i="7"/>
  <c r="Z16" i="7"/>
  <c r="AD15" i="7"/>
  <c r="AB15" i="7"/>
  <c r="Z15" i="7"/>
  <c r="AD14" i="7"/>
  <c r="Z14" i="7"/>
  <c r="AB14" i="7"/>
  <c r="AF14" i="7"/>
  <c r="AD13" i="7"/>
  <c r="Z13" i="7"/>
  <c r="AB13" i="7"/>
  <c r="AF13" i="7"/>
  <c r="AD12" i="7"/>
  <c r="AB12" i="7"/>
  <c r="Z12" i="7"/>
  <c r="X10" i="7"/>
  <c r="AE7" i="7"/>
  <c r="AD6" i="7"/>
  <c r="AB6" i="7"/>
  <c r="Z6" i="7"/>
  <c r="AF1" i="7"/>
  <c r="AD1" i="7"/>
  <c r="AK1" i="7"/>
  <c r="AB1" i="7"/>
  <c r="Z1" i="7"/>
  <c r="AF1" i="12"/>
  <c r="AD1" i="12"/>
  <c r="AK1" i="12"/>
  <c r="AB1" i="12"/>
  <c r="Z1" i="12"/>
  <c r="AJ1" i="12"/>
  <c r="X10" i="12"/>
  <c r="AD21" i="12"/>
  <c r="AD20" i="12"/>
  <c r="Z20" i="12"/>
  <c r="AB20" i="12"/>
  <c r="AF20" i="12"/>
  <c r="AD19" i="12"/>
  <c r="AD18" i="12"/>
  <c r="AD17" i="12"/>
  <c r="AD16" i="12"/>
  <c r="AD15" i="12"/>
  <c r="AD14" i="12"/>
  <c r="AD13" i="12"/>
  <c r="AD12" i="12"/>
  <c r="AB21" i="12"/>
  <c r="AB19" i="12"/>
  <c r="AB18" i="12"/>
  <c r="AB17" i="12"/>
  <c r="AB16" i="12"/>
  <c r="AB15" i="12"/>
  <c r="AB14" i="12"/>
  <c r="AB13" i="12"/>
  <c r="AB12" i="12"/>
  <c r="Z13" i="12"/>
  <c r="Z14" i="12"/>
  <c r="Z15" i="12"/>
  <c r="Z16" i="12"/>
  <c r="Z17" i="12"/>
  <c r="Z18" i="12"/>
  <c r="Z19" i="12"/>
  <c r="Z21" i="12"/>
  <c r="Z12" i="12"/>
  <c r="AD6" i="12"/>
  <c r="AB6" i="12"/>
  <c r="Z6" i="12"/>
  <c r="AD51" i="12"/>
  <c r="Z51" i="12"/>
  <c r="AB51" i="12"/>
  <c r="AF51" i="12"/>
  <c r="AH51" i="12"/>
  <c r="AD50" i="12"/>
  <c r="AD49" i="12"/>
  <c r="AD48" i="12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B50" i="12"/>
  <c r="Z50" i="12"/>
  <c r="AB49" i="12"/>
  <c r="AB48" i="12"/>
  <c r="Z48" i="12"/>
  <c r="AF48" i="12"/>
  <c r="AH48" i="12"/>
  <c r="AB47" i="12"/>
  <c r="AB46" i="12"/>
  <c r="Z46" i="12"/>
  <c r="AB45" i="12"/>
  <c r="AB44" i="12"/>
  <c r="Z44" i="12"/>
  <c r="AB43" i="12"/>
  <c r="AB42" i="12"/>
  <c r="Z42" i="12"/>
  <c r="AB41" i="12"/>
  <c r="AB40" i="12"/>
  <c r="Z40" i="12"/>
  <c r="AF40" i="12"/>
  <c r="AH40" i="12"/>
  <c r="AB39" i="12"/>
  <c r="AB38" i="12"/>
  <c r="Z38" i="12"/>
  <c r="AB37" i="12"/>
  <c r="AB36" i="12"/>
  <c r="Z36" i="12"/>
  <c r="AB35" i="12"/>
  <c r="AB34" i="12"/>
  <c r="Z34" i="12"/>
  <c r="Z35" i="12"/>
  <c r="Z37" i="12"/>
  <c r="Z39" i="12"/>
  <c r="AF39" i="12"/>
  <c r="AH39" i="12"/>
  <c r="Z41" i="12"/>
  <c r="Z43" i="12"/>
  <c r="Z45" i="12"/>
  <c r="Z47" i="12"/>
  <c r="Z49" i="12"/>
  <c r="AF57" i="12"/>
  <c r="AD60" i="12"/>
  <c r="AD57" i="12"/>
  <c r="AB60" i="12"/>
  <c r="AB57" i="12"/>
  <c r="Z57" i="12"/>
  <c r="AH57" i="12"/>
  <c r="Z60" i="12"/>
  <c r="AG69" i="12"/>
  <c r="AE69" i="12"/>
  <c r="AC69" i="12"/>
  <c r="AA69" i="12"/>
  <c r="AF45" i="12"/>
  <c r="AH45" i="12"/>
  <c r="AF43" i="12"/>
  <c r="AH43" i="12"/>
  <c r="AF35" i="12"/>
  <c r="AH35" i="12"/>
  <c r="AF14" i="12"/>
  <c r="AE7" i="1"/>
  <c r="AA7" i="1"/>
  <c r="AH57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51" i="1"/>
  <c r="AH51" i="1"/>
  <c r="AF50" i="1"/>
  <c r="AH50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41" i="1"/>
  <c r="AH41" i="1"/>
  <c r="AF40" i="1"/>
  <c r="AH40" i="1"/>
  <c r="AF39" i="1"/>
  <c r="AH39" i="1"/>
  <c r="AF38" i="1"/>
  <c r="AH38" i="1"/>
  <c r="AF37" i="1"/>
  <c r="AH37" i="1"/>
  <c r="AF36" i="1"/>
  <c r="AH36" i="1"/>
  <c r="AF35" i="1"/>
  <c r="AH35" i="1"/>
  <c r="AF34" i="1"/>
  <c r="AH34" i="1"/>
  <c r="AF21" i="1"/>
  <c r="AH21" i="1"/>
  <c r="AF20" i="1"/>
  <c r="AH20" i="1"/>
  <c r="AF19" i="1"/>
  <c r="AH19" i="1"/>
  <c r="AF18" i="1"/>
  <c r="AH18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23" i="7"/>
  <c r="D34" i="7"/>
  <c r="H40" i="7"/>
  <c r="H42" i="7"/>
  <c r="H48" i="7"/>
  <c r="A75" i="7"/>
  <c r="M76" i="7"/>
  <c r="M77" i="7"/>
  <c r="A103" i="7"/>
  <c r="M104" i="7"/>
  <c r="M105" i="7"/>
  <c r="M4" i="1"/>
  <c r="M5" i="1"/>
  <c r="H22" i="1"/>
  <c r="K23" i="1"/>
  <c r="H30" i="1"/>
  <c r="H34" i="1"/>
  <c r="K34" i="1"/>
  <c r="L34" i="1"/>
  <c r="H35" i="1"/>
  <c r="H40" i="1"/>
  <c r="H42" i="1"/>
  <c r="H43" i="1"/>
  <c r="H44" i="1"/>
  <c r="H45" i="1"/>
  <c r="H46" i="1"/>
  <c r="H47" i="1"/>
  <c r="H48" i="1"/>
  <c r="H49" i="1"/>
  <c r="H51" i="1"/>
  <c r="A75" i="1"/>
  <c r="M76" i="1"/>
  <c r="M77" i="1"/>
  <c r="A103" i="1"/>
  <c r="M104" i="1"/>
  <c r="M105" i="1"/>
  <c r="M4" i="8"/>
  <c r="M5" i="8"/>
  <c r="K23" i="8"/>
  <c r="H37" i="8"/>
  <c r="B52" i="8"/>
  <c r="K37" i="8"/>
  <c r="L37" i="8"/>
  <c r="A75" i="8"/>
  <c r="M76" i="8"/>
  <c r="M77" i="8"/>
  <c r="A103" i="8"/>
  <c r="M104" i="8"/>
  <c r="M105" i="8"/>
  <c r="M4" i="12"/>
  <c r="M5" i="12"/>
  <c r="H35" i="12"/>
  <c r="A75" i="12"/>
  <c r="M76" i="12"/>
  <c r="M77" i="12"/>
  <c r="A103" i="12"/>
  <c r="M104" i="12"/>
  <c r="M105" i="12"/>
  <c r="H29" i="1"/>
  <c r="K29" i="1"/>
  <c r="L29" i="1"/>
  <c r="AH13" i="1"/>
  <c r="AH12" i="1"/>
  <c r="AF35" i="8"/>
  <c r="AA7" i="7"/>
  <c r="AF16" i="7"/>
  <c r="A38" i="13"/>
  <c r="A55" i="13"/>
  <c r="A39" i="13"/>
  <c r="A56" i="13"/>
  <c r="AB69" i="1"/>
  <c r="Z69" i="1"/>
  <c r="AH17" i="8"/>
  <c r="AH34" i="7"/>
  <c r="AH14" i="7"/>
  <c r="H29" i="7"/>
  <c r="AH60" i="1"/>
  <c r="AF60" i="12"/>
  <c r="AG60" i="12"/>
  <c r="K2" i="9"/>
  <c r="A1" i="7"/>
  <c r="A20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0" i="8"/>
  <c r="B110" i="8"/>
  <c r="K110" i="8"/>
  <c r="B110" i="7"/>
  <c r="K110" i="7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12"/>
  <c r="A16" i="8"/>
  <c r="A19" i="7"/>
  <c r="A19" i="8"/>
  <c r="D29" i="7"/>
  <c r="A29" i="12"/>
  <c r="A78" i="12"/>
  <c r="A29" i="8"/>
  <c r="A78" i="8"/>
  <c r="A29" i="7"/>
  <c r="A78" i="7"/>
  <c r="A78" i="1"/>
  <c r="A31" i="8"/>
  <c r="A80" i="8"/>
  <c r="D30" i="7"/>
  <c r="A31" i="12"/>
  <c r="A80" i="12"/>
  <c r="D32" i="7"/>
  <c r="A32" i="12"/>
  <c r="A81" i="12"/>
  <c r="A32" i="8"/>
  <c r="A81" i="8"/>
  <c r="A32" i="7"/>
  <c r="A81" i="7"/>
  <c r="A81" i="1"/>
  <c r="A33" i="7"/>
  <c r="A82" i="7"/>
  <c r="A33" i="8"/>
  <c r="A82" i="8"/>
  <c r="A82" i="1"/>
  <c r="A33" i="12"/>
  <c r="A82" i="12"/>
  <c r="D31" i="12"/>
  <c r="D33" i="12"/>
  <c r="A35" i="8"/>
  <c r="A84" i="8"/>
  <c r="A35" i="12"/>
  <c r="A84" i="12"/>
  <c r="A84" i="1"/>
  <c r="D34" i="1"/>
  <c r="I34" i="1"/>
  <c r="A36" i="7"/>
  <c r="A85" i="7"/>
  <c r="A36" i="12"/>
  <c r="A85" i="12"/>
  <c r="A36" i="8"/>
  <c r="A85" i="8"/>
  <c r="A85" i="1"/>
  <c r="A86" i="1"/>
  <c r="A37" i="7"/>
  <c r="A86" i="7"/>
  <c r="A37" i="8"/>
  <c r="A86" i="8"/>
  <c r="A37" i="12"/>
  <c r="A86" i="12"/>
  <c r="A38" i="12"/>
  <c r="A87" i="12"/>
  <c r="D37" i="8"/>
  <c r="D37" i="12"/>
  <c r="A38" i="8"/>
  <c r="A87" i="8"/>
  <c r="A87" i="1"/>
  <c r="A39" i="8"/>
  <c r="A88" i="8"/>
  <c r="D39" i="12"/>
  <c r="D40" i="7"/>
  <c r="A41" i="12"/>
  <c r="A90" i="12"/>
  <c r="D40" i="1"/>
  <c r="I40" i="1"/>
  <c r="D41" i="8"/>
  <c r="A42" i="12"/>
  <c r="A91" i="12"/>
  <c r="A42" i="8"/>
  <c r="A91" i="8"/>
  <c r="A42" i="7"/>
  <c r="A91" i="7"/>
  <c r="A91" i="1"/>
  <c r="D41" i="12"/>
  <c r="D42" i="7"/>
  <c r="A43" i="8"/>
  <c r="A92" i="8"/>
  <c r="A43" i="12"/>
  <c r="A92" i="12"/>
  <c r="A43" i="7"/>
  <c r="A92" i="7"/>
  <c r="A92" i="1"/>
  <c r="D43" i="12"/>
  <c r="D43" i="8"/>
  <c r="A45" i="12"/>
  <c r="A94" i="12"/>
  <c r="A94" i="1"/>
  <c r="D44" i="7"/>
  <c r="D45" i="8"/>
  <c r="D46" i="7"/>
  <c r="D47" i="12"/>
  <c r="D47" i="1"/>
  <c r="I47" i="1"/>
  <c r="D48" i="7"/>
  <c r="A98" i="1"/>
  <c r="D49" i="12"/>
  <c r="A50" i="7"/>
  <c r="A99" i="7"/>
  <c r="A50" i="12"/>
  <c r="A99" i="12"/>
  <c r="A50" i="8"/>
  <c r="A99" i="8"/>
  <c r="A99" i="1"/>
  <c r="A51" i="8"/>
  <c r="A100" i="8"/>
  <c r="A51" i="12"/>
  <c r="A100" i="12"/>
  <c r="A100" i="1"/>
  <c r="A51" i="7"/>
  <c r="A100" i="7"/>
  <c r="D50" i="7"/>
  <c r="D51" i="8"/>
  <c r="D51" i="12"/>
  <c r="K34" i="7"/>
  <c r="K36" i="7"/>
  <c r="K40" i="7"/>
  <c r="K43" i="7"/>
  <c r="K48" i="7"/>
  <c r="I51" i="1"/>
  <c r="A80" i="1"/>
  <c r="K30" i="7"/>
  <c r="D30" i="1"/>
  <c r="I30" i="1"/>
  <c r="A46" i="12"/>
  <c r="A95" i="12"/>
  <c r="A46" i="8"/>
  <c r="A95" i="8"/>
  <c r="A46" i="7"/>
  <c r="A95" i="7"/>
  <c r="A95" i="1"/>
  <c r="D44" i="1"/>
  <c r="A47" i="7"/>
  <c r="A96" i="7"/>
  <c r="A47" i="12"/>
  <c r="A96" i="12"/>
  <c r="A47" i="8"/>
  <c r="A96" i="8"/>
  <c r="A96" i="1"/>
  <c r="D45" i="12"/>
  <c r="D48" i="1"/>
  <c r="I48" i="1"/>
  <c r="B61" i="12"/>
  <c r="A88" i="1"/>
  <c r="A39" i="12"/>
  <c r="A88" i="12"/>
  <c r="A39" i="7"/>
  <c r="A88" i="7"/>
  <c r="D38" i="7"/>
  <c r="A38" i="7"/>
  <c r="A87" i="7"/>
  <c r="D36" i="7"/>
  <c r="D35" i="12"/>
  <c r="A19" i="12"/>
  <c r="A7" i="7"/>
  <c r="A6" i="8"/>
  <c r="I44" i="1"/>
  <c r="AF12" i="12"/>
  <c r="AH12" i="12"/>
  <c r="AF34" i="8"/>
  <c r="AH34" i="8"/>
  <c r="A66" i="13"/>
  <c r="AF34" i="12"/>
  <c r="AH34" i="12"/>
  <c r="AF50" i="12"/>
  <c r="AH50" i="12"/>
  <c r="I37" i="7"/>
  <c r="A10" i="13"/>
  <c r="AH47" i="7"/>
  <c r="AH50" i="7"/>
  <c r="AA7" i="8"/>
  <c r="AA7" i="12"/>
  <c r="AF37" i="12"/>
  <c r="AH37" i="12"/>
  <c r="AF36" i="12"/>
  <c r="AF44" i="12"/>
  <c r="AH44" i="12"/>
  <c r="AJ1" i="8"/>
  <c r="E29" i="8"/>
  <c r="H45" i="7"/>
  <c r="H41" i="12"/>
  <c r="H38" i="12"/>
  <c r="H35" i="7"/>
  <c r="A63" i="13"/>
  <c r="A74" i="13"/>
  <c r="AE7" i="12"/>
  <c r="AF42" i="12"/>
  <c r="A29" i="13"/>
  <c r="A7" i="13"/>
  <c r="AH42" i="7"/>
  <c r="A43" i="13"/>
  <c r="A109" i="13"/>
  <c r="A40" i="13"/>
  <c r="AF47" i="12"/>
  <c r="AH47" i="12"/>
  <c r="AF38" i="12"/>
  <c r="AH38" i="12"/>
  <c r="AF46" i="12"/>
  <c r="AH46" i="12"/>
  <c r="AF18" i="12"/>
  <c r="AH18" i="12"/>
  <c r="AE7" i="8"/>
  <c r="AF18" i="8"/>
  <c r="AH18" i="8"/>
  <c r="AF42" i="8"/>
  <c r="AH42" i="8"/>
  <c r="AF50" i="8"/>
  <c r="AH50" i="8"/>
  <c r="C22" i="13"/>
  <c r="D23" i="13"/>
  <c r="K23" i="12"/>
  <c r="D42" i="12"/>
  <c r="D38" i="12"/>
  <c r="I38" i="12"/>
  <c r="A14" i="12"/>
  <c r="A14" i="7"/>
  <c r="A14" i="8"/>
  <c r="D29" i="1"/>
  <c r="C52" i="1"/>
  <c r="D35" i="1"/>
  <c r="I35" i="1"/>
  <c r="D50" i="1"/>
  <c r="I50" i="1"/>
  <c r="D49" i="1"/>
  <c r="I49" i="1"/>
  <c r="A44" i="12"/>
  <c r="A93" i="12"/>
  <c r="A44" i="8"/>
  <c r="A93" i="8"/>
  <c r="A93" i="1"/>
  <c r="A44" i="7"/>
  <c r="A93" i="7"/>
  <c r="A40" i="7"/>
  <c r="A89" i="7"/>
  <c r="A89" i="1"/>
  <c r="A40" i="12"/>
  <c r="A89" i="12"/>
  <c r="AC60" i="1"/>
  <c r="AA60" i="1"/>
  <c r="AE60" i="1"/>
  <c r="D51" i="7"/>
  <c r="D43" i="7"/>
  <c r="D33" i="7"/>
  <c r="C52" i="7"/>
  <c r="D31" i="7"/>
  <c r="C52" i="8"/>
  <c r="D29" i="8"/>
  <c r="D50" i="8"/>
  <c r="D48" i="8"/>
  <c r="D46" i="8"/>
  <c r="D44" i="8"/>
  <c r="K44" i="8"/>
  <c r="D42" i="8"/>
  <c r="K40" i="8"/>
  <c r="D40" i="8"/>
  <c r="D38" i="8"/>
  <c r="D36" i="8"/>
  <c r="D34" i="8"/>
  <c r="D32" i="8"/>
  <c r="K50" i="8"/>
  <c r="D30" i="8"/>
  <c r="C24" i="8"/>
  <c r="C24" i="12"/>
  <c r="AG60" i="1"/>
  <c r="D50" i="12"/>
  <c r="A40" i="8"/>
  <c r="A89" i="8"/>
  <c r="D39" i="7"/>
  <c r="B61" i="8"/>
  <c r="D29" i="12"/>
  <c r="D48" i="12"/>
  <c r="D36" i="12"/>
  <c r="D34" i="12"/>
  <c r="B110" i="1"/>
  <c r="K110" i="1"/>
  <c r="B61" i="1"/>
  <c r="A10" i="7"/>
  <c r="A10" i="8"/>
  <c r="A10" i="12"/>
  <c r="A18" i="12"/>
  <c r="A18" i="7"/>
  <c r="A18" i="8"/>
  <c r="D36" i="1"/>
  <c r="A34" i="12"/>
  <c r="A83" i="12"/>
  <c r="A34" i="8"/>
  <c r="A83" i="8"/>
  <c r="A34" i="7"/>
  <c r="A83" i="7"/>
  <c r="A83" i="1"/>
  <c r="A30" i="8"/>
  <c r="A79" i="8"/>
  <c r="A30" i="7"/>
  <c r="A79" i="7"/>
  <c r="A30" i="12"/>
  <c r="A79" i="12"/>
  <c r="A79" i="1"/>
  <c r="A48" i="8"/>
  <c r="A97" i="8"/>
  <c r="A97" i="1"/>
  <c r="A48" i="7"/>
  <c r="A97" i="7"/>
  <c r="D45" i="1"/>
  <c r="D41" i="1"/>
  <c r="I41" i="1"/>
  <c r="C24" i="1"/>
  <c r="K34" i="8"/>
  <c r="B24" i="13"/>
  <c r="C107" i="13"/>
  <c r="K38" i="7"/>
  <c r="K42" i="7"/>
  <c r="L42" i="7"/>
  <c r="K46" i="7"/>
  <c r="K50" i="7"/>
  <c r="K60" i="7"/>
  <c r="K29" i="7"/>
  <c r="K37" i="7"/>
  <c r="L37" i="7"/>
  <c r="K44" i="7"/>
  <c r="K33" i="7"/>
  <c r="K39" i="7"/>
  <c r="K47" i="7"/>
  <c r="K32" i="7"/>
  <c r="A1" i="12"/>
  <c r="K2" i="11"/>
  <c r="A1" i="8"/>
  <c r="K2" i="10"/>
  <c r="E23" i="13"/>
  <c r="F107" i="13"/>
  <c r="C23" i="13"/>
  <c r="C52" i="12"/>
  <c r="K48" i="12"/>
  <c r="D46" i="12"/>
  <c r="D44" i="12"/>
  <c r="K44" i="12"/>
  <c r="D40" i="12"/>
  <c r="K40" i="12"/>
  <c r="K34" i="12"/>
  <c r="D32" i="12"/>
  <c r="K30" i="12"/>
  <c r="D30" i="12"/>
  <c r="K106" i="12"/>
  <c r="A13" i="8"/>
  <c r="A13" i="7"/>
  <c r="A21" i="7"/>
  <c r="A21" i="12"/>
  <c r="A21" i="8"/>
  <c r="A17" i="7"/>
  <c r="A17" i="12"/>
  <c r="D37" i="1"/>
  <c r="A49" i="8"/>
  <c r="A98" i="8"/>
  <c r="A49" i="12"/>
  <c r="A98" i="12"/>
  <c r="A49" i="7"/>
  <c r="A98" i="7"/>
  <c r="A45" i="8"/>
  <c r="A94" i="8"/>
  <c r="A45" i="7"/>
  <c r="A94" i="7"/>
  <c r="D42" i="1"/>
  <c r="I42" i="1"/>
  <c r="A41" i="8"/>
  <c r="A90" i="8"/>
  <c r="A41" i="7"/>
  <c r="A90" i="7"/>
  <c r="A90" i="1"/>
  <c r="D38" i="1"/>
  <c r="C24" i="7"/>
  <c r="D49" i="7"/>
  <c r="K49" i="7"/>
  <c r="D45" i="7"/>
  <c r="I45" i="7"/>
  <c r="K45" i="7"/>
  <c r="L45" i="7"/>
  <c r="K41" i="7"/>
  <c r="D41" i="7"/>
  <c r="D35" i="7"/>
  <c r="I35" i="7"/>
  <c r="K35" i="7"/>
  <c r="D35" i="8"/>
  <c r="D33" i="8"/>
  <c r="D31" i="8"/>
  <c r="K106" i="8"/>
  <c r="I37" i="8"/>
  <c r="I42" i="7"/>
  <c r="K38" i="12"/>
  <c r="D46" i="1"/>
  <c r="I46" i="1"/>
  <c r="K51" i="7"/>
  <c r="D47" i="7"/>
  <c r="K31" i="7"/>
  <c r="I45" i="1"/>
  <c r="I40" i="7"/>
  <c r="I43" i="1"/>
  <c r="I36" i="1"/>
  <c r="I38" i="1"/>
  <c r="I35" i="8"/>
  <c r="H49" i="12"/>
  <c r="E60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F6" i="12"/>
  <c r="AH6" i="12"/>
  <c r="AF21" i="12"/>
  <c r="AH21" i="12"/>
  <c r="AF17" i="12"/>
  <c r="AH17" i="12"/>
  <c r="AF13" i="12"/>
  <c r="AH13" i="12"/>
  <c r="AF15" i="12"/>
  <c r="AH15" i="12"/>
  <c r="AF19" i="12"/>
  <c r="AH19" i="12"/>
  <c r="AF6" i="7"/>
  <c r="AH6" i="7"/>
  <c r="AF12" i="7"/>
  <c r="AH12" i="7"/>
  <c r="AF15" i="7"/>
  <c r="AH15" i="7"/>
  <c r="AF17" i="7"/>
  <c r="AH17" i="7"/>
  <c r="AF19" i="7"/>
  <c r="AH19" i="7"/>
  <c r="AF20" i="7"/>
  <c r="AH20" i="7"/>
  <c r="AF35" i="7"/>
  <c r="AH35" i="7"/>
  <c r="AF39" i="7"/>
  <c r="AH39" i="7"/>
  <c r="AF40" i="7"/>
  <c r="AH40" i="7"/>
  <c r="AF43" i="7"/>
  <c r="AH43" i="7"/>
  <c r="AF48" i="7"/>
  <c r="AH48" i="7"/>
  <c r="AF49" i="7"/>
  <c r="AH49" i="7"/>
  <c r="AF51" i="7"/>
  <c r="AH51" i="7"/>
  <c r="AF6" i="8"/>
  <c r="AH6" i="8"/>
  <c r="AF12" i="8"/>
  <c r="AH12" i="8"/>
  <c r="AF13" i="8"/>
  <c r="AH13" i="8"/>
  <c r="AF15" i="8"/>
  <c r="AH15" i="8"/>
  <c r="AF19" i="8"/>
  <c r="AH19" i="8"/>
  <c r="AF20" i="8"/>
  <c r="AH20" i="8"/>
  <c r="AF21" i="8"/>
  <c r="AH21" i="8"/>
  <c r="AF36" i="8"/>
  <c r="AH36" i="8"/>
  <c r="AF37" i="8"/>
  <c r="AH37" i="8"/>
  <c r="AF39" i="8"/>
  <c r="AH39" i="8"/>
  <c r="AF40" i="8"/>
  <c r="AH40" i="8"/>
  <c r="AF41" i="8"/>
  <c r="AH41" i="8"/>
  <c r="AF43" i="8"/>
  <c r="AH43" i="8"/>
  <c r="AF45" i="8"/>
  <c r="AH45" i="8"/>
  <c r="AF47" i="8"/>
  <c r="AH47" i="8"/>
  <c r="AF48" i="8"/>
  <c r="AH48" i="8"/>
  <c r="AF49" i="8"/>
  <c r="AH49" i="8"/>
  <c r="AB69" i="8"/>
  <c r="E51" i="8"/>
  <c r="H51" i="7"/>
  <c r="H49" i="7"/>
  <c r="E49" i="8"/>
  <c r="E47" i="8"/>
  <c r="H47" i="7"/>
  <c r="H38" i="7"/>
  <c r="AH16" i="8"/>
  <c r="AH35" i="8"/>
  <c r="AH44" i="8"/>
  <c r="AH51" i="8"/>
  <c r="H40" i="8"/>
  <c r="L40" i="8"/>
  <c r="I43" i="12"/>
  <c r="L48" i="7"/>
  <c r="I48" i="7"/>
  <c r="A45" i="13"/>
  <c r="A111" i="13"/>
  <c r="A62" i="13"/>
  <c r="A28" i="13"/>
  <c r="H48" i="12"/>
  <c r="H37" i="12"/>
  <c r="K37" i="12"/>
  <c r="L37" i="12"/>
  <c r="E57" i="8"/>
  <c r="L44" i="12"/>
  <c r="I44" i="12"/>
  <c r="L30" i="7"/>
  <c r="I30" i="7"/>
  <c r="A47" i="13"/>
  <c r="A113" i="13"/>
  <c r="A64" i="13"/>
  <c r="AF16" i="12"/>
  <c r="AH16" i="12"/>
  <c r="H29" i="12"/>
  <c r="A6" i="13"/>
  <c r="AH20" i="12"/>
  <c r="AH14" i="12"/>
  <c r="A71" i="13"/>
  <c r="A37" i="13"/>
  <c r="A15" i="13"/>
  <c r="AF49" i="12"/>
  <c r="AH49" i="12"/>
  <c r="AF41" i="12"/>
  <c r="AH41" i="12"/>
  <c r="AF14" i="8"/>
  <c r="AH14" i="8"/>
  <c r="AF38" i="8"/>
  <c r="AH38" i="8"/>
  <c r="AF46" i="8"/>
  <c r="AH46" i="8"/>
  <c r="H22" i="7"/>
  <c r="E22" i="8"/>
  <c r="H22" i="8"/>
  <c r="E50" i="8"/>
  <c r="H50" i="7"/>
  <c r="E48" i="8"/>
  <c r="E46" i="8"/>
  <c r="H46" i="7"/>
  <c r="H50" i="12"/>
  <c r="H46" i="12"/>
  <c r="A67" i="13"/>
  <c r="AH60" i="12"/>
  <c r="AJ1" i="7"/>
  <c r="I35" i="12"/>
  <c r="A27" i="13"/>
  <c r="A61" i="13"/>
  <c r="A44" i="13"/>
  <c r="A110" i="13"/>
  <c r="AF18" i="7"/>
  <c r="AH18" i="7"/>
  <c r="AF38" i="7"/>
  <c r="AH38" i="7"/>
  <c r="AF46" i="7"/>
  <c r="AH46" i="7"/>
  <c r="H51" i="12"/>
  <c r="H47" i="12"/>
  <c r="H42" i="12"/>
  <c r="AE60" i="12"/>
  <c r="AK60" i="12"/>
  <c r="AC60" i="12"/>
  <c r="AA60" i="12"/>
  <c r="AH36" i="12"/>
  <c r="AH42" i="12"/>
  <c r="AH13" i="7"/>
  <c r="AH16" i="7"/>
  <c r="AH21" i="7"/>
  <c r="AH36" i="7"/>
  <c r="AH37" i="7"/>
  <c r="AH44" i="7"/>
  <c r="AH45" i="7"/>
  <c r="AH57" i="7"/>
  <c r="A26" i="13"/>
  <c r="A4" i="13"/>
  <c r="H31" i="7"/>
  <c r="L31" i="7"/>
  <c r="H40" i="12"/>
  <c r="I40" i="12"/>
  <c r="H32" i="12"/>
  <c r="I42" i="12"/>
  <c r="I41" i="12"/>
  <c r="L40" i="12"/>
  <c r="H39" i="7"/>
  <c r="I39" i="7"/>
  <c r="E39" i="8"/>
  <c r="H39" i="8"/>
  <c r="I39" i="8"/>
  <c r="H36" i="8"/>
  <c r="H36" i="7"/>
  <c r="H36" i="12"/>
  <c r="I32" i="12"/>
  <c r="F31" i="8"/>
  <c r="H44" i="7"/>
  <c r="H45" i="12"/>
  <c r="H43" i="7"/>
  <c r="H41" i="8"/>
  <c r="H41" i="7"/>
  <c r="L40" i="7"/>
  <c r="H39" i="12"/>
  <c r="H31" i="12"/>
  <c r="K31" i="12"/>
  <c r="L31" i="12"/>
  <c r="H30" i="12"/>
  <c r="H33" i="12"/>
  <c r="I33" i="12"/>
  <c r="H33" i="1"/>
  <c r="L38" i="12"/>
  <c r="L35" i="7"/>
  <c r="F116" i="13"/>
  <c r="F117" i="13"/>
  <c r="F109" i="13"/>
  <c r="F110" i="13"/>
  <c r="F120" i="13"/>
  <c r="F108" i="13"/>
  <c r="F118" i="13"/>
  <c r="F115" i="13"/>
  <c r="F113" i="13"/>
  <c r="F119" i="13"/>
  <c r="K52" i="7"/>
  <c r="K33" i="1"/>
  <c r="L33" i="1"/>
  <c r="K30" i="1"/>
  <c r="L30" i="1"/>
  <c r="K47" i="1"/>
  <c r="L47" i="1"/>
  <c r="K51" i="1"/>
  <c r="L51" i="1"/>
  <c r="K40" i="1"/>
  <c r="L40" i="1"/>
  <c r="K46" i="1"/>
  <c r="L46" i="1"/>
  <c r="K32" i="1"/>
  <c r="L32" i="1"/>
  <c r="K38" i="1"/>
  <c r="L38" i="1"/>
  <c r="K39" i="1"/>
  <c r="L39" i="1"/>
  <c r="K36" i="1"/>
  <c r="L36" i="1"/>
  <c r="K48" i="1"/>
  <c r="L48" i="1"/>
  <c r="K50" i="1"/>
  <c r="L50" i="1"/>
  <c r="K43" i="1"/>
  <c r="L43" i="1"/>
  <c r="K44" i="1"/>
  <c r="L44" i="1"/>
  <c r="I29" i="1"/>
  <c r="D52" i="1"/>
  <c r="K41" i="12"/>
  <c r="L41" i="12"/>
  <c r="K45" i="12"/>
  <c r="L45" i="12"/>
  <c r="K49" i="12"/>
  <c r="K33" i="12"/>
  <c r="K51" i="12"/>
  <c r="L51" i="12"/>
  <c r="K36" i="12"/>
  <c r="K43" i="12"/>
  <c r="L43" i="12"/>
  <c r="K46" i="12"/>
  <c r="K35" i="12"/>
  <c r="L35" i="12"/>
  <c r="K50" i="12"/>
  <c r="L50" i="12"/>
  <c r="K39" i="12"/>
  <c r="L39" i="12"/>
  <c r="K32" i="12"/>
  <c r="L32" i="12"/>
  <c r="K47" i="12"/>
  <c r="K42" i="12"/>
  <c r="L42" i="12"/>
  <c r="AI60" i="1"/>
  <c r="AJ60" i="1"/>
  <c r="D52" i="8"/>
  <c r="K35" i="1"/>
  <c r="L35" i="1"/>
  <c r="K45" i="1"/>
  <c r="L45" i="1"/>
  <c r="K29" i="12"/>
  <c r="K30" i="8"/>
  <c r="K32" i="8"/>
  <c r="K36" i="8"/>
  <c r="L36" i="8"/>
  <c r="K38" i="8"/>
  <c r="K42" i="8"/>
  <c r="K46" i="8"/>
  <c r="B112" i="8"/>
  <c r="D24" i="13"/>
  <c r="D107" i="13"/>
  <c r="E24" i="13"/>
  <c r="E107" i="13"/>
  <c r="K49" i="8"/>
  <c r="K41" i="8"/>
  <c r="K43" i="8"/>
  <c r="K31" i="8"/>
  <c r="K33" i="8"/>
  <c r="K35" i="8"/>
  <c r="L35" i="8"/>
  <c r="B63" i="8"/>
  <c r="K47" i="8"/>
  <c r="K45" i="8"/>
  <c r="K39" i="8"/>
  <c r="L39" i="8"/>
  <c r="K51" i="8"/>
  <c r="K29" i="8"/>
  <c r="K49" i="1"/>
  <c r="L49" i="1"/>
  <c r="AK60" i="1"/>
  <c r="B61" i="7"/>
  <c r="K61" i="7"/>
  <c r="K42" i="1"/>
  <c r="L42" i="1"/>
  <c r="C101" i="12"/>
  <c r="C24" i="13"/>
  <c r="K41" i="1"/>
  <c r="L41" i="1"/>
  <c r="D52" i="12"/>
  <c r="K61" i="8"/>
  <c r="K57" i="7"/>
  <c r="K48" i="8"/>
  <c r="C101" i="8"/>
  <c r="D52" i="7"/>
  <c r="K31" i="1"/>
  <c r="AJ60" i="12"/>
  <c r="AI60" i="12"/>
  <c r="I47" i="12"/>
  <c r="L47" i="12"/>
  <c r="L46" i="7"/>
  <c r="I46" i="7"/>
  <c r="I47" i="7"/>
  <c r="L47" i="7"/>
  <c r="I51" i="12"/>
  <c r="H50" i="8"/>
  <c r="L29" i="12"/>
  <c r="I29" i="12"/>
  <c r="I48" i="12"/>
  <c r="L48" i="12"/>
  <c r="H38" i="8"/>
  <c r="L51" i="7"/>
  <c r="I51" i="7"/>
  <c r="AG60" i="7"/>
  <c r="AC60" i="7"/>
  <c r="AA60" i="7"/>
  <c r="AE60" i="7"/>
  <c r="I40" i="8"/>
  <c r="L39" i="7"/>
  <c r="I46" i="12"/>
  <c r="L46" i="12"/>
  <c r="H46" i="8"/>
  <c r="L50" i="7"/>
  <c r="I50" i="7"/>
  <c r="I38" i="7"/>
  <c r="L38" i="7"/>
  <c r="H47" i="8"/>
  <c r="I49" i="7"/>
  <c r="L49" i="7"/>
  <c r="I50" i="12"/>
  <c r="H48" i="8"/>
  <c r="H49" i="8"/>
  <c r="H51" i="8"/>
  <c r="I49" i="12"/>
  <c r="L49" i="12"/>
  <c r="H45" i="8"/>
  <c r="H42" i="8"/>
  <c r="I36" i="8"/>
  <c r="L36" i="12"/>
  <c r="I36" i="12"/>
  <c r="L36" i="7"/>
  <c r="I36" i="7"/>
  <c r="H44" i="8"/>
  <c r="I44" i="7"/>
  <c r="L44" i="7"/>
  <c r="I45" i="12"/>
  <c r="I43" i="7"/>
  <c r="L43" i="7"/>
  <c r="H43" i="8"/>
  <c r="L41" i="8"/>
  <c r="I41" i="8"/>
  <c r="L41" i="7"/>
  <c r="I41" i="7"/>
  <c r="I39" i="12"/>
  <c r="I31" i="12"/>
  <c r="L30" i="12"/>
  <c r="I30" i="12"/>
  <c r="H30" i="8"/>
  <c r="L33" i="12"/>
  <c r="H33" i="7"/>
  <c r="I33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CY45" i="13"/>
  <c r="G54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J44" i="13"/>
  <c r="I42" i="13"/>
  <c r="P53" i="13"/>
  <c r="N50" i="13"/>
  <c r="J52" i="13"/>
  <c r="O53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Q51" i="13"/>
  <c r="R52" i="13"/>
  <c r="Q42" i="13"/>
  <c r="R51" i="13"/>
  <c r="DA54" i="13"/>
  <c r="Q46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01" i="8"/>
  <c r="D22" i="8"/>
  <c r="D24" i="8"/>
  <c r="K60" i="12"/>
  <c r="K57" i="12"/>
  <c r="K61" i="12"/>
  <c r="K57" i="1"/>
  <c r="B62" i="1"/>
  <c r="K62" i="1"/>
  <c r="K60" i="1"/>
  <c r="K61" i="1"/>
  <c r="K52" i="8"/>
  <c r="K112" i="12"/>
  <c r="B111" i="12"/>
  <c r="C101" i="7"/>
  <c r="K106" i="7"/>
  <c r="K106" i="1"/>
  <c r="K52" i="1"/>
  <c r="C101" i="1"/>
  <c r="K60" i="8"/>
  <c r="K57" i="8"/>
  <c r="B111" i="8"/>
  <c r="K112" i="8"/>
  <c r="K101" i="12"/>
  <c r="K101" i="8"/>
  <c r="K52" i="12"/>
  <c r="D101" i="12"/>
  <c r="D22" i="12"/>
  <c r="D24" i="12"/>
  <c r="AK60" i="7"/>
  <c r="L49" i="8"/>
  <c r="I49" i="8"/>
  <c r="I47" i="8"/>
  <c r="L47" i="8"/>
  <c r="I46" i="8"/>
  <c r="L46" i="8"/>
  <c r="L38" i="8"/>
  <c r="I38" i="8"/>
  <c r="AC60" i="8"/>
  <c r="AG60" i="8"/>
  <c r="AE60" i="8"/>
  <c r="AA60" i="8"/>
  <c r="L48" i="8"/>
  <c r="I48" i="8"/>
  <c r="L50" i="8"/>
  <c r="I50" i="8"/>
  <c r="I51" i="8"/>
  <c r="L51" i="8"/>
  <c r="AJ60" i="7"/>
  <c r="AI60" i="7"/>
  <c r="L45" i="8"/>
  <c r="I45" i="8"/>
  <c r="I42" i="8"/>
  <c r="L42" i="8"/>
  <c r="I44" i="8"/>
  <c r="L44" i="8"/>
  <c r="L43" i="8"/>
  <c r="I43" i="8"/>
  <c r="L30" i="8"/>
  <c r="I30" i="8"/>
  <c r="L33" i="7"/>
  <c r="I33" i="7"/>
  <c r="K112" i="7"/>
  <c r="B111" i="7"/>
  <c r="B111" i="1"/>
  <c r="K111" i="1"/>
  <c r="K112" i="1"/>
  <c r="K101" i="7"/>
  <c r="K101" i="1"/>
  <c r="D101" i="7"/>
  <c r="D22" i="7"/>
  <c r="D24" i="7"/>
  <c r="B62" i="8"/>
  <c r="K62" i="8"/>
  <c r="K63" i="8"/>
  <c r="K111" i="8"/>
  <c r="B62" i="12"/>
  <c r="K62" i="12"/>
  <c r="K63" i="12"/>
  <c r="K111" i="12"/>
  <c r="D101" i="1"/>
  <c r="D22" i="1"/>
  <c r="D24" i="1"/>
  <c r="K63" i="1"/>
  <c r="AJ60" i="8"/>
  <c r="AI60" i="8"/>
  <c r="AK60" i="8"/>
  <c r="B62" i="7"/>
  <c r="K62" i="7"/>
  <c r="K63" i="7"/>
  <c r="K111" i="7"/>
  <c r="AJ7" i="1"/>
  <c r="AD69" i="8"/>
  <c r="AF69" i="8"/>
  <c r="AH69" i="12"/>
  <c r="AF69" i="7"/>
  <c r="AD69" i="7"/>
  <c r="Z69" i="7"/>
  <c r="AB69" i="7"/>
  <c r="AF69" i="1"/>
  <c r="AD69" i="1"/>
  <c r="AD69" i="12"/>
  <c r="AB69" i="12"/>
  <c r="AJ7" i="8"/>
  <c r="I37" i="12"/>
  <c r="I37" i="1"/>
  <c r="I34" i="7"/>
  <c r="L34" i="7"/>
  <c r="H34" i="12"/>
  <c r="F34" i="8"/>
  <c r="H33" i="8"/>
  <c r="H32" i="8"/>
  <c r="H32" i="7"/>
  <c r="I31" i="7"/>
  <c r="L31" i="1"/>
  <c r="L52" i="1"/>
  <c r="H31" i="8"/>
  <c r="I52" i="1"/>
  <c r="I29" i="7"/>
  <c r="L29" i="7"/>
  <c r="H29" i="8"/>
  <c r="AJ7" i="12"/>
  <c r="AJ7" i="7"/>
  <c r="Z69" i="12"/>
  <c r="AF69" i="12"/>
  <c r="AE70" i="1"/>
  <c r="C75" i="9"/>
  <c r="C74" i="9"/>
  <c r="AA70" i="1"/>
  <c r="G87" i="9"/>
  <c r="AC70" i="1"/>
  <c r="C86" i="9"/>
  <c r="C81" i="9"/>
  <c r="C85" i="9"/>
  <c r="AG70" i="1"/>
  <c r="C78" i="9"/>
  <c r="C80" i="9"/>
  <c r="C84" i="9"/>
  <c r="C76" i="9"/>
  <c r="I60" i="1"/>
  <c r="G75" i="9"/>
  <c r="C73" i="9"/>
  <c r="C82" i="9"/>
  <c r="C87" i="9"/>
  <c r="C77" i="9"/>
  <c r="C79" i="9"/>
  <c r="I64" i="7"/>
  <c r="I64" i="1"/>
  <c r="I34" i="12"/>
  <c r="I52" i="12"/>
  <c r="L34" i="12"/>
  <c r="L52" i="12"/>
  <c r="H34" i="8"/>
  <c r="L33" i="8"/>
  <c r="I33" i="8"/>
  <c r="L32" i="8"/>
  <c r="I32" i="8"/>
  <c r="L32" i="7"/>
  <c r="L52" i="7"/>
  <c r="I32" i="7"/>
  <c r="I52" i="7"/>
  <c r="I31" i="8"/>
  <c r="L31" i="8"/>
  <c r="L29" i="8"/>
  <c r="I29" i="8"/>
  <c r="AH70" i="1"/>
  <c r="I63" i="1"/>
  <c r="I57" i="1"/>
  <c r="S21" i="7"/>
  <c r="C36" i="13"/>
  <c r="C14" i="13"/>
  <c r="S20" i="7"/>
  <c r="C4" i="13"/>
  <c r="C26" i="13"/>
  <c r="C72" i="9"/>
  <c r="S17" i="7"/>
  <c r="S12" i="7"/>
  <c r="O106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L112" i="1"/>
  <c r="C18" i="13"/>
  <c r="C40" i="13"/>
  <c r="G94" i="9"/>
  <c r="S16" i="7"/>
  <c r="C30" i="13"/>
  <c r="C8" i="13"/>
  <c r="D75" i="9"/>
  <c r="AE70" i="7"/>
  <c r="I60" i="7"/>
  <c r="AC70" i="7"/>
  <c r="S7" i="7"/>
  <c r="H87" i="9"/>
  <c r="D74" i="9"/>
  <c r="S22" i="7"/>
  <c r="S18" i="7"/>
  <c r="D87" i="9"/>
  <c r="D82" i="9"/>
  <c r="D78" i="9"/>
  <c r="D86" i="9"/>
  <c r="D81" i="9"/>
  <c r="AG70" i="7"/>
  <c r="S19" i="7"/>
  <c r="H75" i="9"/>
  <c r="D84" i="9"/>
  <c r="D85" i="9"/>
  <c r="AA70" i="7"/>
  <c r="S9" i="7"/>
  <c r="D73" i="9"/>
  <c r="D76" i="9"/>
  <c r="S10" i="7"/>
  <c r="D77" i="9"/>
  <c r="D80" i="9"/>
  <c r="D79" i="9"/>
  <c r="C83" i="9"/>
  <c r="S14" i="7"/>
  <c r="S15" i="7"/>
  <c r="I60" i="12"/>
  <c r="B85" i="9"/>
  <c r="B84" i="9"/>
  <c r="B87" i="9"/>
  <c r="B78" i="9"/>
  <c r="AA70" i="12"/>
  <c r="AG70" i="12"/>
  <c r="B77" i="9"/>
  <c r="B74" i="9"/>
  <c r="B80" i="9"/>
  <c r="F87" i="9"/>
  <c r="B86" i="9"/>
  <c r="B79" i="9"/>
  <c r="B75" i="9"/>
  <c r="F75" i="9"/>
  <c r="AE70" i="12"/>
  <c r="B76" i="9"/>
  <c r="AC70" i="12"/>
  <c r="B82" i="9"/>
  <c r="B81" i="9"/>
  <c r="B73" i="9"/>
  <c r="O109" i="12"/>
  <c r="I64" i="12"/>
  <c r="G93" i="9"/>
  <c r="C9" i="13"/>
  <c r="C31" i="13"/>
  <c r="C11" i="13"/>
  <c r="C33" i="13"/>
  <c r="C6" i="13"/>
  <c r="C28" i="13"/>
  <c r="L34" i="8"/>
  <c r="I34" i="8"/>
  <c r="L52" i="8"/>
  <c r="I52" i="8"/>
  <c r="S8" i="7"/>
  <c r="L110" i="1"/>
  <c r="L61" i="1"/>
  <c r="I57" i="7"/>
  <c r="S11" i="7"/>
  <c r="I63" i="7"/>
  <c r="B28" i="13"/>
  <c r="Y45" i="13"/>
  <c r="AP45" i="13"/>
  <c r="B7" i="13"/>
  <c r="B29" i="13"/>
  <c r="D72" i="9"/>
  <c r="F93" i="9"/>
  <c r="S20" i="8"/>
  <c r="S15" i="8"/>
  <c r="AC70" i="8"/>
  <c r="AG70" i="8"/>
  <c r="I87" i="9"/>
  <c r="S10" i="8"/>
  <c r="E78" i="9"/>
  <c r="E86" i="9"/>
  <c r="E77" i="9"/>
  <c r="I75" i="9"/>
  <c r="E75" i="9"/>
  <c r="E74" i="9"/>
  <c r="I60" i="8"/>
  <c r="AA70" i="8"/>
  <c r="S18" i="8"/>
  <c r="E85" i="9"/>
  <c r="E87" i="9"/>
  <c r="S22" i="8"/>
  <c r="E73" i="9"/>
  <c r="E76" i="9"/>
  <c r="S19" i="8"/>
  <c r="E82" i="9"/>
  <c r="E81" i="9"/>
  <c r="E84" i="9"/>
  <c r="S7" i="8"/>
  <c r="E80" i="9"/>
  <c r="S9" i="8"/>
  <c r="AE70" i="8"/>
  <c r="E79" i="9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D32" i="13"/>
  <c r="BY32" i="13"/>
  <c r="D14" i="13"/>
  <c r="D36" i="13"/>
  <c r="BG36" i="13"/>
  <c r="D31" i="13"/>
  <c r="BA31" i="13"/>
  <c r="D9" i="13"/>
  <c r="D6" i="13"/>
  <c r="D28" i="13"/>
  <c r="BD28" i="13"/>
  <c r="BR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S16" i="8"/>
  <c r="B33" i="13"/>
  <c r="AY50" i="13"/>
  <c r="AC50" i="13"/>
  <c r="V50" i="13"/>
  <c r="D33" i="13"/>
  <c r="BM33" i="13"/>
  <c r="AG50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5" i="13"/>
  <c r="B14" i="13"/>
  <c r="AH53" i="13"/>
  <c r="D8" i="13"/>
  <c r="D30" i="13"/>
  <c r="CC30" i="13"/>
  <c r="D11" i="13"/>
  <c r="BP33" i="13"/>
  <c r="D83" i="9"/>
  <c r="D5" i="13"/>
  <c r="D27" i="13"/>
  <c r="BJ27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B18" i="13"/>
  <c r="S21" i="8"/>
  <c r="S14" i="8"/>
  <c r="S17" i="8"/>
  <c r="S12" i="8"/>
  <c r="D39" i="13"/>
  <c r="D17" i="13"/>
  <c r="AH70" i="12"/>
  <c r="B26" i="13"/>
  <c r="AV43" i="13"/>
  <c r="B4" i="13"/>
  <c r="AJ45" i="13"/>
  <c r="B6" i="13"/>
  <c r="D4" i="13"/>
  <c r="D26" i="13"/>
  <c r="BU26" i="13"/>
  <c r="D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B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D29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B12" i="13"/>
  <c r="AI51" i="13"/>
  <c r="B9" i="13"/>
  <c r="B31" i="13"/>
  <c r="AT48" i="13"/>
  <c r="C13" i="13"/>
  <c r="C35" i="13"/>
  <c r="D15" i="13"/>
  <c r="D37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B17" i="13"/>
  <c r="B39" i="13"/>
  <c r="C25" i="13"/>
  <c r="C3" i="13"/>
  <c r="H94" i="9"/>
  <c r="AH70" i="7"/>
  <c r="I64" i="8"/>
  <c r="S13" i="7"/>
  <c r="I61" i="1"/>
  <c r="L112" i="7"/>
  <c r="L111" i="1"/>
  <c r="L62" i="1"/>
  <c r="BR32" i="13"/>
  <c r="BO32" i="13"/>
  <c r="BE32" i="13"/>
  <c r="BD26" i="13"/>
  <c r="AA54" i="13"/>
  <c r="U54" i="13"/>
  <c r="U71" i="13"/>
  <c r="V45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71" i="13"/>
  <c r="AI54" i="13"/>
  <c r="AO50" i="13"/>
  <c r="AA50" i="13"/>
  <c r="AH45" i="13"/>
  <c r="AH62" i="13"/>
  <c r="BR30" i="13"/>
  <c r="AM54" i="13"/>
  <c r="AP54" i="13"/>
  <c r="L57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64" i="13"/>
  <c r="AP47" i="13"/>
  <c r="CC29" i="13"/>
  <c r="BE36" i="13"/>
  <c r="AA43" i="13"/>
  <c r="AA60" i="13"/>
  <c r="BE30" i="13"/>
  <c r="AB47" i="13"/>
  <c r="AV47" i="13"/>
  <c r="AS47" i="13"/>
  <c r="AS64" i="13"/>
  <c r="BA30" i="13"/>
  <c r="BQ30" i="13"/>
  <c r="U47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60" i="13"/>
  <c r="W43" i="13"/>
  <c r="W60" i="13"/>
  <c r="BR37" i="13"/>
  <c r="BA33" i="13"/>
  <c r="BJ33" i="13"/>
  <c r="AA53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68" i="13"/>
  <c r="S51" i="13"/>
  <c r="AX51" i="13"/>
  <c r="AX68" i="13"/>
  <c r="X51" i="13"/>
  <c r="X68" i="13"/>
  <c r="BD37" i="13"/>
  <c r="AW54" i="13"/>
  <c r="AW71" i="13"/>
  <c r="CD37" i="13"/>
  <c r="BH37" i="13"/>
  <c r="AX54" i="13"/>
  <c r="AX71" i="13"/>
  <c r="AU54" i="13"/>
  <c r="AU71" i="13"/>
  <c r="Y54" i="13"/>
  <c r="Y71" i="13"/>
  <c r="T54" i="13"/>
  <c r="T71" i="13"/>
  <c r="AB54" i="13"/>
  <c r="AB71" i="13"/>
  <c r="AN54" i="13"/>
  <c r="AN71" i="13"/>
  <c r="AM50" i="13"/>
  <c r="AM67" i="13"/>
  <c r="CE33" i="13"/>
  <c r="CD33" i="13"/>
  <c r="AR50" i="13"/>
  <c r="X50" i="13"/>
  <c r="X67" i="13"/>
  <c r="BE33" i="13"/>
  <c r="BG33" i="13"/>
  <c r="BT33" i="13"/>
  <c r="AV50" i="13"/>
  <c r="AV67" i="13"/>
  <c r="BD29" i="13"/>
  <c r="AC53" i="13"/>
  <c r="AC70" i="13"/>
  <c r="BV36" i="13"/>
  <c r="AU53" i="13"/>
  <c r="AU70" i="13"/>
  <c r="S53" i="13"/>
  <c r="S70" i="13"/>
  <c r="AK53" i="13"/>
  <c r="AK70" i="13"/>
  <c r="AS53" i="13"/>
  <c r="AS70" i="13"/>
  <c r="BW31" i="13"/>
  <c r="BF31" i="13"/>
  <c r="BC31" i="13"/>
  <c r="BM31" i="13"/>
  <c r="BI31" i="13"/>
  <c r="Z45" i="13"/>
  <c r="Z62" i="13"/>
  <c r="BI28" i="13"/>
  <c r="BZ28" i="13"/>
  <c r="AZ45" i="13"/>
  <c r="AZ62" i="13"/>
  <c r="AB45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70" i="13"/>
  <c r="BG32" i="13"/>
  <c r="CC32" i="13"/>
  <c r="BA32" i="13"/>
  <c r="BJ32" i="13"/>
  <c r="CB32" i="13"/>
  <c r="BN32" i="13"/>
  <c r="BS32" i="13"/>
  <c r="X49" i="13"/>
  <c r="X66" i="13"/>
  <c r="BW27" i="13"/>
  <c r="BG27" i="13"/>
  <c r="CD27" i="13"/>
  <c r="BN27" i="13"/>
  <c r="BR27" i="13"/>
  <c r="AD43" i="13"/>
  <c r="C109" i="13"/>
  <c r="BG26" i="13"/>
  <c r="AC43" i="13"/>
  <c r="AC60" i="13"/>
  <c r="S13" i="8"/>
  <c r="T51" i="13"/>
  <c r="T68" i="13"/>
  <c r="Y51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70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AC4" i="13"/>
  <c r="Q4" i="13"/>
  <c r="Q60" i="13"/>
  <c r="L4" i="13"/>
  <c r="L60" i="13"/>
  <c r="AA4" i="13"/>
  <c r="G4" i="13"/>
  <c r="G60" i="13"/>
  <c r="F4" i="13"/>
  <c r="F60" i="13"/>
  <c r="I4" i="13"/>
  <c r="I60" i="13"/>
  <c r="X4" i="13"/>
  <c r="S4" i="13"/>
  <c r="AD4" i="13"/>
  <c r="P4" i="13"/>
  <c r="P60" i="13"/>
  <c r="Y4" i="13"/>
  <c r="W4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65" i="13"/>
  <c r="AE48" i="13"/>
  <c r="AE65" i="13"/>
  <c r="AJ48" i="13"/>
  <c r="AJ65" i="13"/>
  <c r="W48" i="13"/>
  <c r="W65" i="13"/>
  <c r="V48" i="13"/>
  <c r="V65" i="13"/>
  <c r="X48" i="13"/>
  <c r="X65" i="13"/>
  <c r="AG48" i="13"/>
  <c r="AG65" i="13"/>
  <c r="AI48" i="13"/>
  <c r="AI65" i="13"/>
  <c r="Z48" i="13"/>
  <c r="Z65" i="13"/>
  <c r="AU48" i="13"/>
  <c r="AU65" i="13"/>
  <c r="AV48" i="13"/>
  <c r="AV65" i="13"/>
  <c r="AQ48" i="13"/>
  <c r="AQ65" i="13"/>
  <c r="S48" i="13"/>
  <c r="S65" i="13"/>
  <c r="AF48" i="13"/>
  <c r="AF65" i="13"/>
  <c r="Y48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65" i="13"/>
  <c r="AC48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X11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AA8" i="13"/>
  <c r="Y8" i="13"/>
  <c r="Z8" i="13"/>
  <c r="U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W8" i="13"/>
  <c r="L8" i="13"/>
  <c r="L64" i="13"/>
  <c r="K8" i="13"/>
  <c r="K64" i="13"/>
  <c r="N8" i="13"/>
  <c r="N64" i="13"/>
  <c r="B25" i="13"/>
  <c r="AU42" i="13"/>
  <c r="B3" i="13"/>
  <c r="E32" i="13"/>
  <c r="CJ32" i="13"/>
  <c r="E10" i="13"/>
  <c r="E28" i="13"/>
  <c r="CP28" i="13"/>
  <c r="E6" i="13"/>
  <c r="E31" i="13"/>
  <c r="CL31" i="13"/>
  <c r="E9" i="13"/>
  <c r="AO49" i="13"/>
  <c r="AO66" i="13"/>
  <c r="AH49" i="13"/>
  <c r="AH66" i="13"/>
  <c r="AQ49" i="13"/>
  <c r="AQ66" i="13"/>
  <c r="AW49" i="13"/>
  <c r="AW66" i="13"/>
  <c r="W49" i="13"/>
  <c r="W66" i="13"/>
  <c r="AP49" i="13"/>
  <c r="AP66" i="13"/>
  <c r="V49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S8" i="8"/>
  <c r="AO48" i="13"/>
  <c r="AO65" i="13"/>
  <c r="AP48" i="13"/>
  <c r="AP65" i="13"/>
  <c r="AX48" i="13"/>
  <c r="AX65" i="13"/>
  <c r="AB48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Z14" i="13"/>
  <c r="V14" i="13"/>
  <c r="AB14" i="13"/>
  <c r="L14" i="13"/>
  <c r="L70" i="13"/>
  <c r="P14" i="13"/>
  <c r="P70" i="13"/>
  <c r="S14" i="13"/>
  <c r="AA14" i="13"/>
  <c r="Y14" i="13"/>
  <c r="K14" i="13"/>
  <c r="K70" i="13"/>
  <c r="U14" i="13"/>
  <c r="J14" i="13"/>
  <c r="J70" i="13"/>
  <c r="R14" i="13"/>
  <c r="R70" i="13"/>
  <c r="I14" i="13"/>
  <c r="I70" i="13"/>
  <c r="AC14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66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66" i="13"/>
  <c r="AY49" i="13"/>
  <c r="AY66" i="13"/>
  <c r="AD49" i="13"/>
  <c r="C115" i="13"/>
  <c r="S49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66" i="13"/>
  <c r="AU49" i="13"/>
  <c r="AU66" i="13"/>
  <c r="AB49" i="13"/>
  <c r="AB66" i="13"/>
  <c r="U49" i="13"/>
  <c r="U66" i="13"/>
  <c r="AN49" i="13"/>
  <c r="AN66" i="13"/>
  <c r="AT49" i="13"/>
  <c r="AT66" i="13"/>
  <c r="AS49" i="13"/>
  <c r="AS66" i="13"/>
  <c r="AI49" i="13"/>
  <c r="AI66" i="13"/>
  <c r="AE49" i="13"/>
  <c r="AE66" i="13"/>
  <c r="L112" i="12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AC9" i="13"/>
  <c r="X9" i="13"/>
  <c r="Y9" i="13"/>
  <c r="P9" i="13"/>
  <c r="P65" i="13"/>
  <c r="R9" i="13"/>
  <c r="R65" i="13"/>
  <c r="Z9" i="13"/>
  <c r="U9" i="13"/>
  <c r="T9" i="13"/>
  <c r="AD9" i="13"/>
  <c r="S9" i="13"/>
  <c r="J9" i="13"/>
  <c r="J65" i="13"/>
  <c r="F9" i="13"/>
  <c r="F65" i="13"/>
  <c r="G9" i="13"/>
  <c r="G65" i="13"/>
  <c r="AA9" i="13"/>
  <c r="K9" i="13"/>
  <c r="K65" i="13"/>
  <c r="V9" i="13"/>
  <c r="W9" i="13"/>
  <c r="H9" i="13"/>
  <c r="H65" i="13"/>
  <c r="N9" i="13"/>
  <c r="N65" i="13"/>
  <c r="Q9" i="13"/>
  <c r="Q65" i="13"/>
  <c r="AB9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S11" i="8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E72" i="9"/>
  <c r="D25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T12" i="13"/>
  <c r="R12" i="13"/>
  <c r="R68" i="13"/>
  <c r="Y12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X12" i="13"/>
  <c r="W12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57" i="12"/>
  <c r="I63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AB10" i="13"/>
  <c r="K10" i="13"/>
  <c r="K66" i="13"/>
  <c r="AC10" i="13"/>
  <c r="U10" i="13"/>
  <c r="Y10" i="13"/>
  <c r="V10" i="13"/>
  <c r="W10" i="13"/>
  <c r="L10" i="13"/>
  <c r="L66" i="13"/>
  <c r="J10" i="13"/>
  <c r="J66" i="13"/>
  <c r="P10" i="13"/>
  <c r="P66" i="13"/>
  <c r="AD10" i="13"/>
  <c r="G10" i="13"/>
  <c r="G66" i="13"/>
  <c r="S10" i="13"/>
  <c r="I10" i="13"/>
  <c r="I66" i="13"/>
  <c r="T10" i="13"/>
  <c r="O10" i="13"/>
  <c r="O66" i="13"/>
  <c r="M10" i="13"/>
  <c r="M66" i="13"/>
  <c r="X10" i="13"/>
  <c r="N10" i="13"/>
  <c r="N66" i="13"/>
  <c r="R10" i="13"/>
  <c r="R66" i="13"/>
  <c r="Z10" i="13"/>
  <c r="AA10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X15" i="13"/>
  <c r="W15" i="13"/>
  <c r="Q15" i="13"/>
  <c r="Q71" i="13"/>
  <c r="T15" i="13"/>
  <c r="AD15" i="13"/>
  <c r="J15" i="13"/>
  <c r="J71" i="13"/>
  <c r="AB15" i="13"/>
  <c r="K15" i="13"/>
  <c r="K71" i="13"/>
  <c r="I15" i="13"/>
  <c r="I71" i="13"/>
  <c r="M15" i="13"/>
  <c r="M71" i="13"/>
  <c r="Z15" i="13"/>
  <c r="N15" i="13"/>
  <c r="N71" i="13"/>
  <c r="Y15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U15" i="13"/>
  <c r="H15" i="13"/>
  <c r="H71" i="13"/>
  <c r="E11" i="13"/>
  <c r="E33" i="13"/>
  <c r="CI33" i="13"/>
  <c r="E26" i="13"/>
  <c r="E4" i="13"/>
  <c r="E27" i="13"/>
  <c r="CM27" i="13"/>
  <c r="E5" i="13"/>
  <c r="E8" i="13"/>
  <c r="E30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2" i="13"/>
  <c r="BC28" i="13"/>
  <c r="CC28" i="13"/>
  <c r="W45" i="13"/>
  <c r="W62" i="13"/>
  <c r="AI45" i="13"/>
  <c r="AI62" i="13"/>
  <c r="AW45" i="13"/>
  <c r="AW62" i="13"/>
  <c r="BJ28" i="13"/>
  <c r="S45" i="13"/>
  <c r="S62" i="13"/>
  <c r="AA45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E34" i="13"/>
  <c r="CM34" i="13"/>
  <c r="E83" i="9"/>
  <c r="E15" i="13"/>
  <c r="E37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V6" i="13"/>
  <c r="M6" i="13"/>
  <c r="M62" i="13"/>
  <c r="AD6" i="13"/>
  <c r="P6" i="13"/>
  <c r="P62" i="13"/>
  <c r="J6" i="13"/>
  <c r="J62" i="13"/>
  <c r="F6" i="13"/>
  <c r="F62" i="13"/>
  <c r="W6" i="13"/>
  <c r="X6" i="13"/>
  <c r="H6" i="13"/>
  <c r="H62" i="13"/>
  <c r="G6" i="13"/>
  <c r="G62" i="13"/>
  <c r="N6" i="13"/>
  <c r="N62" i="13"/>
  <c r="U6" i="13"/>
  <c r="Y6" i="13"/>
  <c r="L6" i="13"/>
  <c r="L62" i="13"/>
  <c r="Z6" i="13"/>
  <c r="T6" i="13"/>
  <c r="K6" i="13"/>
  <c r="K62" i="13"/>
  <c r="AB6" i="13"/>
  <c r="O6" i="13"/>
  <c r="O62" i="13"/>
  <c r="S6" i="13"/>
  <c r="I6" i="13"/>
  <c r="I62" i="13"/>
  <c r="Q6" i="13"/>
  <c r="Q62" i="13"/>
  <c r="AA6" i="13"/>
  <c r="R6" i="13"/>
  <c r="R62" i="13"/>
  <c r="AC6" i="13"/>
  <c r="C38" i="13"/>
  <c r="C16" i="13"/>
  <c r="D13" i="13"/>
  <c r="D35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29" i="13"/>
  <c r="E7" i="13"/>
  <c r="E36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23" i="1"/>
  <c r="I61" i="7"/>
  <c r="L60" i="1"/>
  <c r="L63" i="1"/>
  <c r="L113" i="1"/>
  <c r="L64" i="1"/>
  <c r="L110" i="7"/>
  <c r="L61" i="7"/>
  <c r="L111" i="7"/>
  <c r="L62" i="7"/>
  <c r="L57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59" i="13"/>
  <c r="AG42" i="13"/>
  <c r="AG59" i="13"/>
  <c r="AP42" i="13"/>
  <c r="AP59" i="13"/>
  <c r="W42" i="13"/>
  <c r="W59" i="13"/>
  <c r="AR42" i="13"/>
  <c r="AR59" i="13"/>
  <c r="T42" i="13"/>
  <c r="AB42" i="13"/>
  <c r="AB59" i="13"/>
  <c r="AQ42" i="13"/>
  <c r="AQ59" i="13"/>
  <c r="AA42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AA3" i="13"/>
  <c r="AC3" i="13"/>
  <c r="V3" i="13"/>
  <c r="R3" i="13"/>
  <c r="R59" i="13"/>
  <c r="Y3" i="13"/>
  <c r="F3" i="13"/>
  <c r="F59" i="13"/>
  <c r="F72" i="13"/>
  <c r="Z3" i="13"/>
  <c r="Q3" i="13"/>
  <c r="Q59" i="13"/>
  <c r="I3" i="13"/>
  <c r="I59" i="13"/>
  <c r="N3" i="13"/>
  <c r="N59" i="13"/>
  <c r="U3" i="13"/>
  <c r="T3" i="13"/>
  <c r="X3" i="13"/>
  <c r="O3" i="13"/>
  <c r="O59" i="13"/>
  <c r="J3" i="13"/>
  <c r="J59" i="13"/>
  <c r="AB3" i="13"/>
  <c r="S3" i="13"/>
  <c r="P3" i="13"/>
  <c r="P59" i="13"/>
  <c r="P72" i="13"/>
  <c r="L3" i="13"/>
  <c r="L59" i="13"/>
  <c r="L72" i="13"/>
  <c r="H3" i="13"/>
  <c r="H59" i="13"/>
  <c r="H72" i="13"/>
  <c r="K3" i="13"/>
  <c r="K59" i="13"/>
  <c r="W3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E35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E25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61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112" i="8"/>
  <c r="L111" i="12"/>
  <c r="L62" i="12"/>
  <c r="L110" i="12"/>
  <c r="L61" i="12"/>
  <c r="L57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16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63" i="8"/>
  <c r="D16" i="13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J39" i="1"/>
  <c r="G82" i="9"/>
  <c r="Y13" i="1"/>
  <c r="Y12" i="1"/>
  <c r="Y17" i="1"/>
  <c r="J47" i="1"/>
  <c r="AE18" i="1"/>
  <c r="Y7" i="1"/>
  <c r="J33" i="1"/>
  <c r="AE15" i="1"/>
  <c r="Y19" i="1"/>
  <c r="AE20" i="1"/>
  <c r="J46" i="1"/>
  <c r="M21" i="1"/>
  <c r="AE21" i="1"/>
  <c r="G81" i="9"/>
  <c r="AA14" i="1"/>
  <c r="Y11" i="1"/>
  <c r="G85" i="9"/>
  <c r="AE16" i="1"/>
  <c r="J44" i="1"/>
  <c r="G86" i="9"/>
  <c r="J50" i="1"/>
  <c r="M98" i="1"/>
  <c r="J34" i="1"/>
  <c r="Y9" i="1"/>
  <c r="J48" i="1"/>
  <c r="J37" i="1"/>
  <c r="M21" i="7"/>
  <c r="AA15" i="1"/>
  <c r="Y10" i="1"/>
  <c r="M97" i="1"/>
  <c r="L60" i="7"/>
  <c r="L63" i="7"/>
  <c r="L113" i="7"/>
  <c r="L64" i="7"/>
  <c r="L23" i="7"/>
  <c r="J31" i="1"/>
  <c r="Y8" i="1"/>
  <c r="M100" i="1"/>
  <c r="J51" i="1"/>
  <c r="J38" i="1"/>
  <c r="G80" i="9"/>
  <c r="BV72" i="13"/>
  <c r="J29" i="1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M99" i="12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J40" i="12"/>
  <c r="AA19" i="12"/>
  <c r="J42" i="12"/>
  <c r="AH72" i="13"/>
  <c r="AN38" i="13"/>
  <c r="AD72" i="13"/>
  <c r="AC72" i="13"/>
  <c r="BH72" i="13"/>
  <c r="J45" i="12"/>
  <c r="J41" i="12"/>
  <c r="AA13" i="12"/>
  <c r="J49" i="12"/>
  <c r="J30" i="12"/>
  <c r="J35" i="12"/>
  <c r="AG14" i="1"/>
  <c r="AA16" i="1"/>
  <c r="AC16" i="1"/>
  <c r="AG16" i="1"/>
  <c r="AI16" i="1"/>
  <c r="AA21" i="1"/>
  <c r="AE12" i="1"/>
  <c r="AB72" i="13"/>
  <c r="Q38" i="13"/>
  <c r="BL72" i="13"/>
  <c r="BZ72" i="13"/>
  <c r="BP72" i="13"/>
  <c r="BQ72" i="13"/>
  <c r="CU25" i="13"/>
  <c r="AA15" i="12"/>
  <c r="J44" i="12"/>
  <c r="M95" i="12"/>
  <c r="M21" i="12"/>
  <c r="AC21" i="12"/>
  <c r="AK16" i="1"/>
  <c r="Y15" i="1"/>
  <c r="BL38" i="13"/>
  <c r="S38" i="13"/>
  <c r="X72" i="13"/>
  <c r="CD72" i="13"/>
  <c r="BX72" i="13"/>
  <c r="Y18" i="1"/>
  <c r="J47" i="12"/>
  <c r="AG12" i="12"/>
  <c r="Y9" i="12"/>
  <c r="AC17" i="12"/>
  <c r="G84" i="9"/>
  <c r="AC21" i="1"/>
  <c r="AC15" i="1"/>
  <c r="AJ15" i="1"/>
  <c r="M96" i="1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E16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113" i="12"/>
  <c r="L64" i="12"/>
  <c r="L60" i="12"/>
  <c r="L63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57" i="8"/>
  <c r="L110" i="8"/>
  <c r="L61" i="8"/>
  <c r="L111" i="8"/>
  <c r="L62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AA17" i="1"/>
  <c r="J49" i="1"/>
  <c r="AC49" i="1"/>
  <c r="Y16" i="1"/>
  <c r="AG21" i="1"/>
  <c r="AK21" i="1"/>
  <c r="M95" i="1"/>
  <c r="AG15" i="1"/>
  <c r="AK15" i="1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57" i="8"/>
  <c r="L23" i="12"/>
  <c r="E112" i="13"/>
  <c r="CR63" i="13"/>
  <c r="CB19" i="13"/>
  <c r="BM19" i="13"/>
  <c r="BP19" i="13"/>
  <c r="J30" i="1"/>
  <c r="AC6" i="1"/>
  <c r="AC12" i="1"/>
  <c r="AC13" i="1"/>
  <c r="AC14" i="1"/>
  <c r="AC17" i="1"/>
  <c r="AC18" i="1"/>
  <c r="AC19" i="1"/>
  <c r="AC20" i="1"/>
  <c r="AA6" i="1"/>
  <c r="AA12" i="1"/>
  <c r="AA13" i="1"/>
  <c r="AA18" i="1"/>
  <c r="AA19" i="1"/>
  <c r="AA20" i="1"/>
  <c r="AA8" i="1"/>
  <c r="AA9" i="1"/>
  <c r="AA10" i="1"/>
  <c r="AA11" i="1"/>
  <c r="AC8" i="1"/>
  <c r="AC9" i="1"/>
  <c r="AC10" i="1"/>
  <c r="AC11" i="1"/>
  <c r="J57" i="1"/>
  <c r="AC57" i="1"/>
  <c r="J32" i="1"/>
  <c r="AB9" i="1"/>
  <c r="AB32" i="1"/>
  <c r="AC32" i="1"/>
  <c r="AB11" i="1"/>
  <c r="AB33" i="1"/>
  <c r="AC33" i="1"/>
  <c r="AC34" i="1"/>
  <c r="J35" i="1"/>
  <c r="AC35" i="1"/>
  <c r="J36" i="1"/>
  <c r="AC36" i="1"/>
  <c r="AC37" i="1"/>
  <c r="AC38" i="1"/>
  <c r="AC39" i="1"/>
  <c r="J40" i="1"/>
  <c r="AC40" i="1"/>
  <c r="J41" i="1"/>
  <c r="AC41" i="1"/>
  <c r="J42" i="1"/>
  <c r="AC42" i="1"/>
  <c r="J43" i="1"/>
  <c r="AC43" i="1"/>
  <c r="AC44" i="1"/>
  <c r="J45" i="1"/>
  <c r="AC45" i="1"/>
  <c r="AC46" i="1"/>
  <c r="AC47" i="1"/>
  <c r="AC48" i="1"/>
  <c r="AC50" i="1"/>
  <c r="AC51" i="1"/>
  <c r="AC30" i="1"/>
  <c r="AB30" i="1"/>
  <c r="Z38" i="13"/>
  <c r="AR38" i="13"/>
  <c r="AV38" i="13"/>
  <c r="CV25" i="13"/>
  <c r="CR25" i="13"/>
  <c r="CE19" i="13"/>
  <c r="CG19" i="13"/>
  <c r="BE19" i="13"/>
  <c r="BH19" i="13"/>
  <c r="BR19" i="13"/>
  <c r="CV35" i="13"/>
  <c r="AE42" i="1"/>
  <c r="AE17" i="1"/>
  <c r="Y21" i="1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AE13" i="1"/>
  <c r="AE19" i="1"/>
  <c r="M32" i="1"/>
  <c r="AG19" i="1"/>
  <c r="G83" i="9"/>
  <c r="AG18" i="1"/>
  <c r="AK18" i="1"/>
  <c r="AE14" i="1"/>
  <c r="Y14" i="1"/>
  <c r="AG13" i="1"/>
  <c r="G76" i="9"/>
  <c r="AJ14" i="1"/>
  <c r="M45" i="1"/>
  <c r="AG12" i="1"/>
  <c r="G77" i="9"/>
  <c r="G72" i="9"/>
  <c r="AG17" i="1"/>
  <c r="M99" i="1"/>
  <c r="AE43" i="1"/>
  <c r="AG20" i="1"/>
  <c r="AI20" i="1"/>
  <c r="Y20" i="1"/>
  <c r="AG35" i="1"/>
  <c r="J23" i="1"/>
  <c r="M23" i="1"/>
  <c r="Y23" i="1"/>
  <c r="AK20" i="1"/>
  <c r="G78" i="9"/>
  <c r="M31" i="1"/>
  <c r="AG15" i="12"/>
  <c r="J46" i="7"/>
  <c r="M95" i="7"/>
  <c r="J50" i="7"/>
  <c r="M99" i="7"/>
  <c r="H80" i="9"/>
  <c r="J44" i="7"/>
  <c r="M98" i="7"/>
  <c r="J49" i="7"/>
  <c r="Y7" i="7"/>
  <c r="AC12" i="7"/>
  <c r="AG12" i="7"/>
  <c r="Y12" i="7"/>
  <c r="AA12" i="7"/>
  <c r="AE12" i="7"/>
  <c r="M98" i="12"/>
  <c r="AE48" i="1"/>
  <c r="M48" i="1"/>
  <c r="AG48" i="1"/>
  <c r="AA48" i="1"/>
  <c r="AE34" i="1"/>
  <c r="M34" i="1"/>
  <c r="AG34" i="1"/>
  <c r="AA34" i="1"/>
  <c r="AA50" i="1"/>
  <c r="AG50" i="1"/>
  <c r="M50" i="1"/>
  <c r="AE50" i="1"/>
  <c r="M44" i="1"/>
  <c r="AA44" i="1"/>
  <c r="AE44" i="1"/>
  <c r="AG44" i="1"/>
  <c r="AA46" i="1"/>
  <c r="M46" i="1"/>
  <c r="AG46" i="1"/>
  <c r="AE46" i="1"/>
  <c r="Y9" i="7"/>
  <c r="M97" i="7"/>
  <c r="J48" i="7"/>
  <c r="J30" i="7"/>
  <c r="M100" i="7"/>
  <c r="J51" i="7"/>
  <c r="H86" i="9"/>
  <c r="J45" i="7"/>
  <c r="Y11" i="7"/>
  <c r="H81" i="9"/>
  <c r="J41" i="7"/>
  <c r="AE16" i="7"/>
  <c r="Y16" i="7"/>
  <c r="AG16" i="7"/>
  <c r="H84" i="9"/>
  <c r="AA16" i="7"/>
  <c r="AC16" i="7"/>
  <c r="AG47" i="1"/>
  <c r="AA47" i="1"/>
  <c r="M47" i="1"/>
  <c r="AE47" i="1"/>
  <c r="M40" i="1"/>
  <c r="AE40" i="1"/>
  <c r="AA40" i="1"/>
  <c r="M29" i="1"/>
  <c r="AD7" i="1"/>
  <c r="AB7" i="1"/>
  <c r="Z7" i="1"/>
  <c r="AE6" i="1"/>
  <c r="AG6" i="1"/>
  <c r="Y6" i="1"/>
  <c r="G74" i="9"/>
  <c r="M30" i="1"/>
  <c r="AA57" i="1"/>
  <c r="Z8" i="1"/>
  <c r="Z31" i="1"/>
  <c r="AA31" i="1"/>
  <c r="Z9" i="1"/>
  <c r="Z32" i="1"/>
  <c r="AA32" i="1"/>
  <c r="Z11" i="1"/>
  <c r="Z33" i="1"/>
  <c r="AA33" i="1"/>
  <c r="AA35" i="1"/>
  <c r="AA36" i="1"/>
  <c r="AA37" i="1"/>
  <c r="AA38" i="1"/>
  <c r="AA39" i="1"/>
  <c r="AA41" i="1"/>
  <c r="AA42" i="1"/>
  <c r="AA43" i="1"/>
  <c r="AA45" i="1"/>
  <c r="AA49" i="1"/>
  <c r="AA51" i="1"/>
  <c r="AA30" i="1"/>
  <c r="Z30" i="1"/>
  <c r="AE20" i="12"/>
  <c r="AA20" i="12"/>
  <c r="AG20" i="12"/>
  <c r="Y20" i="12"/>
  <c r="AC20" i="12"/>
  <c r="AG18" i="12"/>
  <c r="AA18" i="12"/>
  <c r="AC18" i="12"/>
  <c r="Y18" i="12"/>
  <c r="AE18" i="12"/>
  <c r="AK18" i="12"/>
  <c r="Y17" i="12"/>
  <c r="Y11" i="12"/>
  <c r="AG45" i="1"/>
  <c r="AI15" i="1"/>
  <c r="J36" i="7"/>
  <c r="J38" i="7"/>
  <c r="AC17" i="7"/>
  <c r="AE17" i="7"/>
  <c r="Y17" i="7"/>
  <c r="AA17" i="7"/>
  <c r="AG17" i="7"/>
  <c r="AE13" i="7"/>
  <c r="AC13" i="7"/>
  <c r="AG13" i="7"/>
  <c r="Y13" i="7"/>
  <c r="AA13" i="7"/>
  <c r="J34" i="7"/>
  <c r="J23" i="7"/>
  <c r="M23" i="7"/>
  <c r="H77" i="9"/>
  <c r="J35" i="7"/>
  <c r="Y15" i="7"/>
  <c r="AE15" i="7"/>
  <c r="AA15" i="7"/>
  <c r="AC15" i="7"/>
  <c r="AG15" i="7"/>
  <c r="J29" i="7"/>
  <c r="AC20" i="7"/>
  <c r="AA20" i="7"/>
  <c r="Y20" i="7"/>
  <c r="AG20" i="7"/>
  <c r="AE20" i="7"/>
  <c r="G79" i="9"/>
  <c r="AE16" i="12"/>
  <c r="F84" i="9"/>
  <c r="AC16" i="12"/>
  <c r="AA16" i="12"/>
  <c r="AG16" i="12"/>
  <c r="Y16" i="12"/>
  <c r="Y8" i="12"/>
  <c r="AG21" i="12"/>
  <c r="F82" i="9"/>
  <c r="AI14" i="1"/>
  <c r="AI21" i="1"/>
  <c r="AJ21" i="1"/>
  <c r="M33" i="1"/>
  <c r="H82" i="9"/>
  <c r="J42" i="7"/>
  <c r="M96" i="7"/>
  <c r="J47" i="7"/>
  <c r="J39" i="7"/>
  <c r="M37" i="1"/>
  <c r="AG37" i="1"/>
  <c r="AE37" i="1"/>
  <c r="AE51" i="1"/>
  <c r="AG51" i="1"/>
  <c r="M51" i="1"/>
  <c r="M101" i="1"/>
  <c r="AC13" i="12"/>
  <c r="J31" i="12"/>
  <c r="F77" i="9"/>
  <c r="J51" i="12"/>
  <c r="M100" i="12"/>
  <c r="Y10" i="12"/>
  <c r="AE18" i="7"/>
  <c r="AG18" i="7"/>
  <c r="Y18" i="7"/>
  <c r="AA18" i="7"/>
  <c r="AC18" i="7"/>
  <c r="H85" i="9"/>
  <c r="J43" i="7"/>
  <c r="AE38" i="1"/>
  <c r="M38" i="1"/>
  <c r="AG38" i="1"/>
  <c r="AG39" i="1"/>
  <c r="M39" i="1"/>
  <c r="AE39" i="1"/>
  <c r="AE11" i="1"/>
  <c r="AD11" i="1"/>
  <c r="AD33" i="1"/>
  <c r="AE33" i="1"/>
  <c r="J36" i="12"/>
  <c r="J34" i="12"/>
  <c r="J38" i="12"/>
  <c r="Y7" i="12"/>
  <c r="AG14" i="12"/>
  <c r="AE14" i="12"/>
  <c r="AA14" i="12"/>
  <c r="AC14" i="12"/>
  <c r="Y14" i="12"/>
  <c r="M97" i="12"/>
  <c r="J48" i="12"/>
  <c r="J43" i="12"/>
  <c r="F85" i="9"/>
  <c r="Y10" i="7"/>
  <c r="J40" i="7"/>
  <c r="Y21" i="7"/>
  <c r="AE21" i="7"/>
  <c r="AC21" i="7"/>
  <c r="AA21" i="7"/>
  <c r="AG21" i="7"/>
  <c r="J33" i="7"/>
  <c r="AE14" i="7"/>
  <c r="AA14" i="7"/>
  <c r="Y14" i="7"/>
  <c r="AC14" i="7"/>
  <c r="AG14" i="7"/>
  <c r="J37" i="7"/>
  <c r="Y19" i="7"/>
  <c r="AG19" i="7"/>
  <c r="AC19" i="7"/>
  <c r="AA19" i="7"/>
  <c r="AE19" i="7"/>
  <c r="J31" i="7"/>
  <c r="J32" i="7"/>
  <c r="Y8" i="7"/>
  <c r="AG49" i="1"/>
  <c r="M96" i="12"/>
  <c r="CT38" i="13"/>
  <c r="J29" i="12"/>
  <c r="AE13" i="12"/>
  <c r="AJ16" i="1"/>
  <c r="J39" i="12"/>
  <c r="AG39" i="12"/>
  <c r="M49" i="1"/>
  <c r="AE49" i="1"/>
  <c r="Y12" i="12"/>
  <c r="CL38" i="13"/>
  <c r="CP38" i="13"/>
  <c r="J33" i="12"/>
  <c r="AG13" i="12"/>
  <c r="AK13" i="12"/>
  <c r="J46" i="12"/>
  <c r="AG46" i="12"/>
  <c r="AE12" i="12"/>
  <c r="J50" i="12"/>
  <c r="AA50" i="12"/>
  <c r="Y13" i="12"/>
  <c r="Y19" i="12"/>
  <c r="J37" i="12"/>
  <c r="AE37" i="12"/>
  <c r="J32" i="12"/>
  <c r="M32" i="12"/>
  <c r="AC12" i="12"/>
  <c r="AA12" i="12"/>
  <c r="AJ12" i="12"/>
  <c r="AE8" i="1"/>
  <c r="AE9" i="1"/>
  <c r="AE10" i="1"/>
  <c r="AE57" i="1"/>
  <c r="AD9" i="1"/>
  <c r="AD32" i="1"/>
  <c r="AE32" i="1"/>
  <c r="AE35" i="1"/>
  <c r="AE36" i="1"/>
  <c r="AE41" i="1"/>
  <c r="AE45" i="1"/>
  <c r="AE30" i="1"/>
  <c r="AD30" i="1"/>
  <c r="AG40" i="1"/>
  <c r="AK40" i="1"/>
  <c r="CR38" i="13"/>
  <c r="AG36" i="1"/>
  <c r="AC19" i="12"/>
  <c r="AJ19" i="12"/>
  <c r="AJ45" i="1"/>
  <c r="F81" i="9"/>
  <c r="AK14" i="1"/>
  <c r="AJ12" i="1"/>
  <c r="CL72" i="13"/>
  <c r="CT72" i="13"/>
  <c r="CX72" i="13"/>
  <c r="CV19" i="13"/>
  <c r="CJ19" i="13"/>
  <c r="BU72" i="13"/>
  <c r="F86" i="9"/>
  <c r="AA21" i="12"/>
  <c r="AE21" i="12"/>
  <c r="AI21" i="12"/>
  <c r="AG19" i="12"/>
  <c r="AE19" i="12"/>
  <c r="AK19" i="12"/>
  <c r="F80" i="9"/>
  <c r="AK45" i="1"/>
  <c r="AA17" i="12"/>
  <c r="AE17" i="12"/>
  <c r="AG17" i="12"/>
  <c r="AI17" i="12"/>
  <c r="AE15" i="12"/>
  <c r="AC15" i="12"/>
  <c r="AJ15" i="12"/>
  <c r="CH38" i="13"/>
  <c r="CR19" i="13"/>
  <c r="CI19" i="13"/>
  <c r="Y21" i="12"/>
  <c r="AI12" i="1"/>
  <c r="Y15" i="12"/>
  <c r="AK37" i="1"/>
  <c r="AK21" i="12"/>
  <c r="AK17" i="12"/>
  <c r="AK12" i="1"/>
  <c r="AI13" i="1"/>
  <c r="AJ18" i="1"/>
  <c r="CP72" i="13"/>
  <c r="CV72" i="13"/>
  <c r="CO72" i="13"/>
  <c r="CY72" i="13"/>
  <c r="CP19" i="13"/>
  <c r="L60" i="8"/>
  <c r="L63" i="8"/>
  <c r="L113" i="8"/>
  <c r="L64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M42" i="1"/>
  <c r="AJ42" i="1"/>
  <c r="AJ17" i="1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61" i="8"/>
  <c r="L23" i="8"/>
  <c r="E118" i="13"/>
  <c r="CR69" i="13"/>
  <c r="M41" i="1"/>
  <c r="AG42" i="1"/>
  <c r="AK42" i="1"/>
  <c r="CS72" i="13"/>
  <c r="N23" i="1"/>
  <c r="AK17" i="1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G41" i="1"/>
  <c r="AI41" i="1"/>
  <c r="AG43" i="1"/>
  <c r="AK43" i="1"/>
  <c r="AK19" i="1"/>
  <c r="AJ19" i="1"/>
  <c r="AK13" i="1"/>
  <c r="AI18" i="1"/>
  <c r="M36" i="1"/>
  <c r="AI19" i="1"/>
  <c r="J52" i="1"/>
  <c r="AK36" i="1"/>
  <c r="AJ36" i="1"/>
  <c r="AI17" i="1"/>
  <c r="M22" i="7"/>
  <c r="Y22" i="7"/>
  <c r="AK35" i="1"/>
  <c r="AK41" i="1"/>
  <c r="AJ13" i="1"/>
  <c r="M35" i="1"/>
  <c r="G73" i="9"/>
  <c r="AJ20" i="1"/>
  <c r="M43" i="1"/>
  <c r="F78" i="9"/>
  <c r="AK44" i="1"/>
  <c r="M22" i="1"/>
  <c r="Y22" i="1"/>
  <c r="Y24" i="1"/>
  <c r="AK47" i="1"/>
  <c r="AK20" i="12"/>
  <c r="AK46" i="1"/>
  <c r="AK14" i="7"/>
  <c r="H73" i="9"/>
  <c r="H78" i="9"/>
  <c r="AK21" i="7"/>
  <c r="AK39" i="1"/>
  <c r="AK20" i="7"/>
  <c r="AK15" i="7"/>
  <c r="AK17" i="7"/>
  <c r="AK48" i="1"/>
  <c r="AK19" i="7"/>
  <c r="AK12" i="7"/>
  <c r="AK15" i="12"/>
  <c r="J52" i="12"/>
  <c r="Z29" i="12"/>
  <c r="AD29" i="12"/>
  <c r="M29" i="12"/>
  <c r="AB29" i="12"/>
  <c r="AG51" i="12"/>
  <c r="M51" i="12"/>
  <c r="AC51" i="12"/>
  <c r="AA51" i="12"/>
  <c r="AE51" i="12"/>
  <c r="AK51" i="12"/>
  <c r="AE47" i="7"/>
  <c r="AG47" i="7"/>
  <c r="M47" i="7"/>
  <c r="AC47" i="7"/>
  <c r="AA47" i="7"/>
  <c r="AC42" i="7"/>
  <c r="AG42" i="7"/>
  <c r="AE42" i="7"/>
  <c r="M42" i="7"/>
  <c r="AA42" i="7"/>
  <c r="AI19" i="12"/>
  <c r="AI35" i="1"/>
  <c r="AJ35" i="1"/>
  <c r="M101" i="7"/>
  <c r="N23" i="7"/>
  <c r="Y23" i="7"/>
  <c r="AJ13" i="7"/>
  <c r="AI13" i="7"/>
  <c r="AG38" i="7"/>
  <c r="AE38" i="7"/>
  <c r="AA38" i="7"/>
  <c r="M38" i="7"/>
  <c r="AC38" i="7"/>
  <c r="AI49" i="1"/>
  <c r="AJ49" i="1"/>
  <c r="M22" i="12"/>
  <c r="Y22" i="12"/>
  <c r="AC48" i="7"/>
  <c r="AE48" i="7"/>
  <c r="AG48" i="7"/>
  <c r="AA48" i="7"/>
  <c r="M48" i="7"/>
  <c r="AI46" i="1"/>
  <c r="AJ46" i="1"/>
  <c r="AJ44" i="1"/>
  <c r="AI44" i="1"/>
  <c r="AI48" i="1"/>
  <c r="AJ48" i="1"/>
  <c r="AJ12" i="7"/>
  <c r="AI12" i="7"/>
  <c r="AA44" i="7"/>
  <c r="M44" i="7"/>
  <c r="AG44" i="7"/>
  <c r="AC44" i="7"/>
  <c r="AE44" i="7"/>
  <c r="AG39" i="7"/>
  <c r="AA39" i="7"/>
  <c r="M39" i="7"/>
  <c r="AE39" i="7"/>
  <c r="AC39" i="7"/>
  <c r="AI15" i="7"/>
  <c r="AJ15" i="7"/>
  <c r="AD11" i="12"/>
  <c r="AD33" i="12"/>
  <c r="AE33" i="12"/>
  <c r="AB11" i="12"/>
  <c r="AB33" i="12"/>
  <c r="AC33" i="12"/>
  <c r="Z11" i="12"/>
  <c r="AJ17" i="12"/>
  <c r="AD9" i="12"/>
  <c r="AD32" i="12"/>
  <c r="Z9" i="12"/>
  <c r="AB9" i="12"/>
  <c r="AB32" i="12"/>
  <c r="AF7" i="1"/>
  <c r="AG7" i="1"/>
  <c r="AI40" i="1"/>
  <c r="AJ40" i="1"/>
  <c r="M41" i="12"/>
  <c r="AC41" i="12"/>
  <c r="AA41" i="12"/>
  <c r="AE41" i="12"/>
  <c r="AG41" i="12"/>
  <c r="M50" i="7"/>
  <c r="AC50" i="7"/>
  <c r="AG50" i="7"/>
  <c r="AA50" i="7"/>
  <c r="AE50" i="7"/>
  <c r="AI15" i="12"/>
  <c r="H72" i="9"/>
  <c r="M31" i="7"/>
  <c r="M33" i="12"/>
  <c r="AC38" i="12"/>
  <c r="AE38" i="12"/>
  <c r="AG38" i="12"/>
  <c r="AA38" i="12"/>
  <c r="M38" i="12"/>
  <c r="AI39" i="1"/>
  <c r="AJ39" i="1"/>
  <c r="AB10" i="12"/>
  <c r="AD10" i="12"/>
  <c r="Z10" i="12"/>
  <c r="AE35" i="12"/>
  <c r="AC35" i="12"/>
  <c r="AA35" i="12"/>
  <c r="AG35" i="12"/>
  <c r="M35" i="12"/>
  <c r="M31" i="12"/>
  <c r="AJ13" i="12"/>
  <c r="AI13" i="12"/>
  <c r="J63" i="1"/>
  <c r="M112" i="1"/>
  <c r="AI37" i="1"/>
  <c r="AJ37" i="1"/>
  <c r="M110" i="7"/>
  <c r="J61" i="7"/>
  <c r="M61" i="7"/>
  <c r="AA46" i="12"/>
  <c r="AC46" i="12"/>
  <c r="M46" i="12"/>
  <c r="AE39" i="12"/>
  <c r="AA39" i="12"/>
  <c r="AC35" i="7"/>
  <c r="AG35" i="7"/>
  <c r="M35" i="7"/>
  <c r="AA35" i="7"/>
  <c r="AE35" i="7"/>
  <c r="AG36" i="7"/>
  <c r="AA36" i="7"/>
  <c r="M36" i="7"/>
  <c r="AC36" i="7"/>
  <c r="AE36" i="7"/>
  <c r="AK36" i="7"/>
  <c r="AJ18" i="12"/>
  <c r="AI18" i="12"/>
  <c r="AC47" i="12"/>
  <c r="AE47" i="12"/>
  <c r="M47" i="12"/>
  <c r="AG47" i="12"/>
  <c r="AA47" i="12"/>
  <c r="AF30" i="1"/>
  <c r="AG30" i="1"/>
  <c r="AK6" i="1"/>
  <c r="AC41" i="7"/>
  <c r="AG41" i="7"/>
  <c r="AA41" i="7"/>
  <c r="AE41" i="7"/>
  <c r="M41" i="7"/>
  <c r="AA45" i="7"/>
  <c r="M45" i="7"/>
  <c r="AG45" i="7"/>
  <c r="AC45" i="7"/>
  <c r="AE45" i="7"/>
  <c r="M30" i="7"/>
  <c r="AE6" i="7"/>
  <c r="AA6" i="7"/>
  <c r="AA8" i="7"/>
  <c r="AC6" i="7"/>
  <c r="AA9" i="7"/>
  <c r="AA10" i="7"/>
  <c r="AA11" i="7"/>
  <c r="AC8" i="7"/>
  <c r="AC9" i="7"/>
  <c r="AC10" i="7"/>
  <c r="AC11" i="7"/>
  <c r="AE8" i="7"/>
  <c r="AE9" i="7"/>
  <c r="AE10" i="7"/>
  <c r="AE11" i="7"/>
  <c r="J57" i="7"/>
  <c r="AE57" i="7"/>
  <c r="AD8" i="7"/>
  <c r="AD31" i="7"/>
  <c r="AE31" i="7"/>
  <c r="AD9" i="7"/>
  <c r="AD32" i="7"/>
  <c r="AE32" i="7"/>
  <c r="AD11" i="7"/>
  <c r="AD33" i="7"/>
  <c r="AE33" i="7"/>
  <c r="AE34" i="7"/>
  <c r="AE37" i="7"/>
  <c r="AE40" i="7"/>
  <c r="AE43" i="7"/>
  <c r="AE46" i="7"/>
  <c r="AE49" i="7"/>
  <c r="AE51" i="7"/>
  <c r="AE30" i="7"/>
  <c r="AD30" i="7"/>
  <c r="AC57" i="7"/>
  <c r="AB8" i="7"/>
  <c r="AB31" i="7"/>
  <c r="AC31" i="7"/>
  <c r="AB9" i="7"/>
  <c r="AB32" i="7"/>
  <c r="AC32" i="7"/>
  <c r="AB11" i="7"/>
  <c r="AB33" i="7"/>
  <c r="AC33" i="7"/>
  <c r="AC34" i="7"/>
  <c r="AC37" i="7"/>
  <c r="AC40" i="7"/>
  <c r="AC43" i="7"/>
  <c r="AC46" i="7"/>
  <c r="AC49" i="7"/>
  <c r="AC51" i="7"/>
  <c r="AC30" i="7"/>
  <c r="AB30" i="7"/>
  <c r="AA57" i="7"/>
  <c r="Z8" i="7"/>
  <c r="Z31" i="7"/>
  <c r="AA31" i="7"/>
  <c r="Z9" i="7"/>
  <c r="Z32" i="7"/>
  <c r="AA32" i="7"/>
  <c r="Z11" i="7"/>
  <c r="Z33" i="7"/>
  <c r="AA33" i="7"/>
  <c r="AA34" i="7"/>
  <c r="AA37" i="7"/>
  <c r="AA40" i="7"/>
  <c r="AA43" i="7"/>
  <c r="AA46" i="7"/>
  <c r="AA49" i="7"/>
  <c r="AA51" i="7"/>
  <c r="AA30" i="7"/>
  <c r="Z30" i="7"/>
  <c r="AI50" i="1"/>
  <c r="AJ50" i="1"/>
  <c r="M49" i="12"/>
  <c r="AG49" i="12"/>
  <c r="AC49" i="12"/>
  <c r="AE49" i="12"/>
  <c r="AA49" i="12"/>
  <c r="AG49" i="7"/>
  <c r="M49" i="7"/>
  <c r="AI42" i="1"/>
  <c r="AK16" i="12"/>
  <c r="AK14" i="12"/>
  <c r="F76" i="9"/>
  <c r="AK38" i="1"/>
  <c r="AK18" i="7"/>
  <c r="H79" i="9"/>
  <c r="H76" i="9"/>
  <c r="AK49" i="1"/>
  <c r="J23" i="12"/>
  <c r="M23" i="12"/>
  <c r="AK12" i="12"/>
  <c r="AK50" i="1"/>
  <c r="AK34" i="1"/>
  <c r="AJ19" i="7"/>
  <c r="AI19" i="7"/>
  <c r="AG48" i="12"/>
  <c r="M48" i="12"/>
  <c r="AA48" i="12"/>
  <c r="AE48" i="12"/>
  <c r="AC48" i="12"/>
  <c r="M43" i="7"/>
  <c r="AG43" i="7"/>
  <c r="AI20" i="7"/>
  <c r="AJ20" i="7"/>
  <c r="AG51" i="7"/>
  <c r="M51" i="7"/>
  <c r="M32" i="7"/>
  <c r="AI21" i="7"/>
  <c r="AJ21" i="7"/>
  <c r="M40" i="7"/>
  <c r="AG40" i="7"/>
  <c r="AC43" i="12"/>
  <c r="AG43" i="12"/>
  <c r="AE43" i="12"/>
  <c r="AA43" i="12"/>
  <c r="M43" i="12"/>
  <c r="AA34" i="12"/>
  <c r="AG34" i="12"/>
  <c r="AE34" i="12"/>
  <c r="AC34" i="12"/>
  <c r="M34" i="12"/>
  <c r="AJ18" i="7"/>
  <c r="AI18" i="7"/>
  <c r="Z30" i="12"/>
  <c r="AB30" i="12"/>
  <c r="AD30" i="12"/>
  <c r="M30" i="12"/>
  <c r="AG42" i="12"/>
  <c r="AA42" i="12"/>
  <c r="AE42" i="12"/>
  <c r="M42" i="12"/>
  <c r="AC42" i="12"/>
  <c r="F72" i="9"/>
  <c r="AA40" i="12"/>
  <c r="AE40" i="12"/>
  <c r="AG40" i="12"/>
  <c r="AC40" i="12"/>
  <c r="M40" i="12"/>
  <c r="J52" i="7"/>
  <c r="M29" i="7"/>
  <c r="AG34" i="7"/>
  <c r="M34" i="7"/>
  <c r="AJ17" i="7"/>
  <c r="AI17" i="7"/>
  <c r="AJ20" i="12"/>
  <c r="AI20" i="12"/>
  <c r="AI34" i="1"/>
  <c r="AJ34" i="1"/>
  <c r="M37" i="7"/>
  <c r="AG37" i="7"/>
  <c r="AJ14" i="7"/>
  <c r="AI14" i="7"/>
  <c r="M33" i="7"/>
  <c r="Z10" i="7"/>
  <c r="AB10" i="7"/>
  <c r="AD10" i="7"/>
  <c r="AG50" i="12"/>
  <c r="AJ14" i="12"/>
  <c r="AI14" i="12"/>
  <c r="AB7" i="12"/>
  <c r="Z7" i="12"/>
  <c r="AD7" i="12"/>
  <c r="M101" i="12"/>
  <c r="M36" i="12"/>
  <c r="AG36" i="12"/>
  <c r="AC36" i="12"/>
  <c r="AA36" i="12"/>
  <c r="AE36" i="12"/>
  <c r="AF11" i="1"/>
  <c r="AG11" i="1"/>
  <c r="AI38" i="1"/>
  <c r="AJ38" i="1"/>
  <c r="AC45" i="12"/>
  <c r="AE45" i="12"/>
  <c r="AG45" i="12"/>
  <c r="M45" i="12"/>
  <c r="AA45" i="12"/>
  <c r="M106" i="1"/>
  <c r="AI51" i="1"/>
  <c r="AJ51" i="1"/>
  <c r="AG44" i="12"/>
  <c r="AC44" i="12"/>
  <c r="M44" i="12"/>
  <c r="AA44" i="12"/>
  <c r="AE44" i="12"/>
  <c r="AK44" i="12"/>
  <c r="AI16" i="12"/>
  <c r="AJ16" i="12"/>
  <c r="H83" i="9"/>
  <c r="Y6" i="7"/>
  <c r="Y24" i="7"/>
  <c r="H74" i="9"/>
  <c r="AG6" i="7"/>
  <c r="M37" i="12"/>
  <c r="AC6" i="12"/>
  <c r="AG6" i="12"/>
  <c r="AA6" i="12"/>
  <c r="Y6" i="12"/>
  <c r="F74" i="9"/>
  <c r="AE6" i="12"/>
  <c r="F83" i="9"/>
  <c r="AI12" i="12"/>
  <c r="AJ6" i="1"/>
  <c r="AI6" i="1"/>
  <c r="AJ47" i="1"/>
  <c r="AI47" i="1"/>
  <c r="AI16" i="7"/>
  <c r="AJ16" i="7"/>
  <c r="AD7" i="7"/>
  <c r="Z7" i="7"/>
  <c r="AB7" i="7"/>
  <c r="M46" i="7"/>
  <c r="AG46" i="7"/>
  <c r="F73" i="9"/>
  <c r="AK51" i="1"/>
  <c r="F79" i="9"/>
  <c r="AK13" i="7"/>
  <c r="AK16" i="7"/>
  <c r="AJ21" i="12"/>
  <c r="AC39" i="12"/>
  <c r="AJ39" i="12"/>
  <c r="AE46" i="12"/>
  <c r="AC32" i="12"/>
  <c r="AI45" i="1"/>
  <c r="M39" i="12"/>
  <c r="AA37" i="12"/>
  <c r="AC37" i="12"/>
  <c r="AG37" i="12"/>
  <c r="AI37" i="12"/>
  <c r="AE50" i="12"/>
  <c r="AK50" i="12"/>
  <c r="M50" i="12"/>
  <c r="AE32" i="12"/>
  <c r="AC50" i="12"/>
  <c r="AK37" i="12"/>
  <c r="AI36" i="1"/>
  <c r="Y7" i="8"/>
  <c r="M21" i="8"/>
  <c r="Y10" i="8"/>
  <c r="Y11" i="8"/>
  <c r="Y9" i="8"/>
  <c r="CR72" i="13"/>
  <c r="AJ41" i="1"/>
  <c r="M110" i="1"/>
  <c r="J61" i="1"/>
  <c r="M61" i="1"/>
  <c r="AI43" i="1"/>
  <c r="M52" i="1"/>
  <c r="AK46" i="12"/>
  <c r="AK39" i="12"/>
  <c r="AJ43" i="1"/>
  <c r="AK34" i="12"/>
  <c r="AK48" i="7"/>
  <c r="AK36" i="12"/>
  <c r="AK34" i="7"/>
  <c r="AK37" i="7"/>
  <c r="AK48" i="12"/>
  <c r="AK38" i="7"/>
  <c r="AK40" i="12"/>
  <c r="AK43" i="7"/>
  <c r="AK45" i="7"/>
  <c r="AK35" i="12"/>
  <c r="AK50" i="7"/>
  <c r="AK39" i="7"/>
  <c r="AJ6" i="7"/>
  <c r="AI6" i="7"/>
  <c r="AJ44" i="12"/>
  <c r="AI44" i="12"/>
  <c r="M57" i="1"/>
  <c r="AG57" i="1"/>
  <c r="M112" i="12"/>
  <c r="J63" i="12"/>
  <c r="AF30" i="12"/>
  <c r="AG30" i="12"/>
  <c r="AJ51" i="7"/>
  <c r="AI51" i="7"/>
  <c r="AJ38" i="12"/>
  <c r="AI38" i="12"/>
  <c r="J61" i="12"/>
  <c r="M61" i="12"/>
  <c r="M110" i="12"/>
  <c r="AI38" i="7"/>
  <c r="AJ38" i="7"/>
  <c r="J63" i="7"/>
  <c r="M112" i="7"/>
  <c r="AI42" i="7"/>
  <c r="AJ42" i="7"/>
  <c r="AF33" i="1"/>
  <c r="AG33" i="1"/>
  <c r="AK33" i="1"/>
  <c r="AF10" i="7"/>
  <c r="AG10" i="7"/>
  <c r="AJ42" i="12"/>
  <c r="AI42" i="12"/>
  <c r="AJ41" i="7"/>
  <c r="AI41" i="7"/>
  <c r="AI35" i="7"/>
  <c r="AJ35" i="7"/>
  <c r="AI35" i="12"/>
  <c r="AJ35" i="12"/>
  <c r="AI7" i="1"/>
  <c r="AK7" i="1"/>
  <c r="AJ51" i="12"/>
  <c r="AI51" i="12"/>
  <c r="AF29" i="12"/>
  <c r="AG29" i="12"/>
  <c r="Z10" i="1"/>
  <c r="AJ45" i="12"/>
  <c r="AI45" i="12"/>
  <c r="M106" i="12"/>
  <c r="J57" i="12"/>
  <c r="AF7" i="12"/>
  <c r="AG7" i="12"/>
  <c r="AI49" i="7"/>
  <c r="AJ49" i="7"/>
  <c r="AJ47" i="12"/>
  <c r="AI47" i="12"/>
  <c r="AI39" i="12"/>
  <c r="AI46" i="12"/>
  <c r="AJ46" i="12"/>
  <c r="AF10" i="12"/>
  <c r="AG10" i="12"/>
  <c r="AJ41" i="12"/>
  <c r="AI41" i="12"/>
  <c r="AJ39" i="7"/>
  <c r="AI39" i="7"/>
  <c r="M106" i="7"/>
  <c r="M52" i="7"/>
  <c r="AH11" i="1"/>
  <c r="AK42" i="12"/>
  <c r="AK43" i="12"/>
  <c r="AK41" i="7"/>
  <c r="AK35" i="7"/>
  <c r="AK38" i="12"/>
  <c r="AH7" i="1"/>
  <c r="AK42" i="7"/>
  <c r="AF11" i="7"/>
  <c r="AG11" i="7"/>
  <c r="AK6" i="12"/>
  <c r="AJ37" i="7"/>
  <c r="AI37" i="7"/>
  <c r="AI40" i="7"/>
  <c r="AJ40" i="7"/>
  <c r="Y23" i="12"/>
  <c r="Y24" i="12"/>
  <c r="N23" i="12"/>
  <c r="AJ49" i="12"/>
  <c r="AI49" i="12"/>
  <c r="AI45" i="7"/>
  <c r="AJ45" i="7"/>
  <c r="AI36" i="7"/>
  <c r="AJ36" i="7"/>
  <c r="AA10" i="12"/>
  <c r="AA9" i="12"/>
  <c r="AI6" i="12"/>
  <c r="AJ6" i="12"/>
  <c r="AA11" i="12"/>
  <c r="AA8" i="12"/>
  <c r="AC11" i="12"/>
  <c r="AK6" i="7"/>
  <c r="AI34" i="12"/>
  <c r="AJ34" i="12"/>
  <c r="AF30" i="7"/>
  <c r="AG30" i="7"/>
  <c r="AJ46" i="7"/>
  <c r="AI46" i="7"/>
  <c r="AF7" i="7"/>
  <c r="AG7" i="7"/>
  <c r="AJ36" i="12"/>
  <c r="AI36" i="12"/>
  <c r="AI50" i="12"/>
  <c r="AJ50" i="12"/>
  <c r="AJ34" i="7"/>
  <c r="AI34" i="7"/>
  <c r="AI40" i="12"/>
  <c r="AJ40" i="12"/>
  <c r="AJ43" i="12"/>
  <c r="AI43" i="12"/>
  <c r="AI43" i="7"/>
  <c r="AJ43" i="7"/>
  <c r="AJ48" i="12"/>
  <c r="AI48" i="12"/>
  <c r="AJ50" i="7"/>
  <c r="AI50" i="7"/>
  <c r="Z32" i="12"/>
  <c r="AF9" i="12"/>
  <c r="AG9" i="12"/>
  <c r="AF11" i="12"/>
  <c r="AG11" i="12"/>
  <c r="Z33" i="12"/>
  <c r="AI44" i="7"/>
  <c r="AJ44" i="7"/>
  <c r="AJ48" i="7"/>
  <c r="AI48" i="7"/>
  <c r="J64" i="7"/>
  <c r="M64" i="7"/>
  <c r="N26" i="7"/>
  <c r="J60" i="7"/>
  <c r="M60" i="7"/>
  <c r="M109" i="7"/>
  <c r="M113" i="7"/>
  <c r="AI47" i="7"/>
  <c r="AJ47" i="7"/>
  <c r="AK46" i="7"/>
  <c r="AB10" i="1"/>
  <c r="AJ8" i="1"/>
  <c r="AK45" i="12"/>
  <c r="AK40" i="7"/>
  <c r="AK51" i="7"/>
  <c r="AK49" i="7"/>
  <c r="AK49" i="12"/>
  <c r="AH30" i="1"/>
  <c r="AK47" i="12"/>
  <c r="AK41" i="12"/>
  <c r="AK44" i="7"/>
  <c r="AK47" i="7"/>
  <c r="M52" i="12"/>
  <c r="AJ37" i="12"/>
  <c r="AG17" i="8"/>
  <c r="AC17" i="8"/>
  <c r="AE17" i="8"/>
  <c r="Y17" i="8"/>
  <c r="AA17" i="8"/>
  <c r="J41" i="8"/>
  <c r="I81" i="9"/>
  <c r="J44" i="8"/>
  <c r="I80" i="9"/>
  <c r="AG21" i="8"/>
  <c r="Y21" i="8"/>
  <c r="AE21" i="8"/>
  <c r="AA21" i="8"/>
  <c r="AC21" i="8"/>
  <c r="J23" i="8"/>
  <c r="M23" i="8"/>
  <c r="J49" i="8"/>
  <c r="M98" i="8"/>
  <c r="J48" i="8"/>
  <c r="M97" i="8"/>
  <c r="J29" i="8"/>
  <c r="I76" i="9"/>
  <c r="AE20" i="8"/>
  <c r="AA20" i="8"/>
  <c r="I83" i="9"/>
  <c r="AC20" i="8"/>
  <c r="AG20" i="8"/>
  <c r="Y20" i="8"/>
  <c r="M96" i="8"/>
  <c r="J47" i="8"/>
  <c r="J35" i="8"/>
  <c r="I77" i="9"/>
  <c r="AA19" i="8"/>
  <c r="AC19" i="8"/>
  <c r="Y19" i="8"/>
  <c r="AE19" i="8"/>
  <c r="AG19" i="8"/>
  <c r="AK19" i="8"/>
  <c r="J38" i="8"/>
  <c r="J31" i="8"/>
  <c r="M31" i="8"/>
  <c r="I73" i="9"/>
  <c r="J32" i="8"/>
  <c r="M32" i="8"/>
  <c r="AB7" i="8"/>
  <c r="AD7" i="8"/>
  <c r="Z7" i="8"/>
  <c r="AF7" i="8"/>
  <c r="AG7" i="8"/>
  <c r="Z11" i="8"/>
  <c r="AB11" i="8"/>
  <c r="AD11" i="8"/>
  <c r="AF11" i="8"/>
  <c r="AH11" i="8"/>
  <c r="AB33" i="8"/>
  <c r="J33" i="8"/>
  <c r="AC33" i="8"/>
  <c r="AD33" i="8"/>
  <c r="I79" i="9"/>
  <c r="J39" i="8"/>
  <c r="J34" i="8"/>
  <c r="AG14" i="8"/>
  <c r="Y14" i="8"/>
  <c r="AA14" i="8"/>
  <c r="AC14" i="8"/>
  <c r="AE14" i="8"/>
  <c r="AK14" i="8"/>
  <c r="J37" i="8"/>
  <c r="AC16" i="8"/>
  <c r="AE16" i="8"/>
  <c r="Y16" i="8"/>
  <c r="AG16" i="8"/>
  <c r="AA16" i="8"/>
  <c r="I84" i="9"/>
  <c r="AB10" i="8"/>
  <c r="Z10" i="8"/>
  <c r="AD10" i="8"/>
  <c r="AF10" i="8"/>
  <c r="AG10" i="8"/>
  <c r="Y8" i="8"/>
  <c r="AA6" i="8"/>
  <c r="AA12" i="8"/>
  <c r="AA13" i="8"/>
  <c r="AA15" i="8"/>
  <c r="AA18" i="8"/>
  <c r="AA8" i="8"/>
  <c r="Z8" i="8"/>
  <c r="J40" i="8"/>
  <c r="I86" i="9"/>
  <c r="J45" i="8"/>
  <c r="J42" i="8"/>
  <c r="I82" i="9"/>
  <c r="J36" i="8"/>
  <c r="I78" i="9"/>
  <c r="M95" i="8"/>
  <c r="J46" i="8"/>
  <c r="M22" i="8"/>
  <c r="Y22" i="8"/>
  <c r="AC18" i="8"/>
  <c r="Y18" i="8"/>
  <c r="AG18" i="8"/>
  <c r="AE18" i="8"/>
  <c r="J30" i="8"/>
  <c r="J43" i="8"/>
  <c r="I85" i="9"/>
  <c r="M99" i="8"/>
  <c r="J50" i="8"/>
  <c r="AE13" i="8"/>
  <c r="AG13" i="8"/>
  <c r="AK13" i="8"/>
  <c r="Y13" i="8"/>
  <c r="AC13" i="8"/>
  <c r="AC12" i="8"/>
  <c r="AG12" i="8"/>
  <c r="AE12" i="8"/>
  <c r="AK12" i="8"/>
  <c r="Y12" i="8"/>
  <c r="Y15" i="8"/>
  <c r="AE15" i="8"/>
  <c r="AG15" i="8"/>
  <c r="AK15" i="8"/>
  <c r="AC15" i="8"/>
  <c r="M100" i="8"/>
  <c r="J51" i="8"/>
  <c r="M33" i="8"/>
  <c r="J64" i="1"/>
  <c r="M64" i="1"/>
  <c r="N26" i="1"/>
  <c r="M109" i="1"/>
  <c r="M113" i="1"/>
  <c r="J60" i="1"/>
  <c r="M60" i="1"/>
  <c r="AH11" i="7"/>
  <c r="AH11" i="12"/>
  <c r="AH7" i="8"/>
  <c r="AH10" i="7"/>
  <c r="AJ9" i="1"/>
  <c r="AH10" i="12"/>
  <c r="AH29" i="12"/>
  <c r="AH30" i="12"/>
  <c r="AJ10" i="1"/>
  <c r="AH33" i="1"/>
  <c r="M109" i="12"/>
  <c r="M113" i="12"/>
  <c r="J60" i="12"/>
  <c r="M60" i="12"/>
  <c r="J64" i="12"/>
  <c r="M64" i="12"/>
  <c r="N26" i="12"/>
  <c r="AF32" i="12"/>
  <c r="AG32" i="12"/>
  <c r="AK32" i="12"/>
  <c r="AA32" i="12"/>
  <c r="AA9" i="8"/>
  <c r="Z9" i="8"/>
  <c r="AF33" i="12"/>
  <c r="AG33" i="12"/>
  <c r="AK33" i="12"/>
  <c r="AA33" i="12"/>
  <c r="AI7" i="8"/>
  <c r="AK7" i="8"/>
  <c r="AI33" i="1"/>
  <c r="AJ33" i="1"/>
  <c r="AK57" i="1"/>
  <c r="AK11" i="1"/>
  <c r="AJ11" i="1"/>
  <c r="AC8" i="12"/>
  <c r="AJ8" i="12"/>
  <c r="AH7" i="7"/>
  <c r="AH7" i="12"/>
  <c r="AH9" i="12"/>
  <c r="AC9" i="12"/>
  <c r="AH30" i="7"/>
  <c r="AB8" i="1"/>
  <c r="AB31" i="1"/>
  <c r="AC31" i="1"/>
  <c r="AC29" i="1"/>
  <c r="AK7" i="7"/>
  <c r="AI7" i="7"/>
  <c r="AJ11" i="12"/>
  <c r="AK7" i="12"/>
  <c r="AI7" i="12"/>
  <c r="Z8" i="12"/>
  <c r="AF33" i="7"/>
  <c r="AG33" i="7"/>
  <c r="AK33" i="7"/>
  <c r="AG57" i="7"/>
  <c r="M57" i="7"/>
  <c r="AC57" i="12"/>
  <c r="M57" i="12"/>
  <c r="AE57" i="12"/>
  <c r="AA57" i="12"/>
  <c r="AG57" i="12"/>
  <c r="J62" i="7"/>
  <c r="M62" i="7"/>
  <c r="M111" i="7"/>
  <c r="AJ57" i="1"/>
  <c r="AI57" i="1"/>
  <c r="J62" i="1"/>
  <c r="M62" i="1"/>
  <c r="M63" i="1"/>
  <c r="AJ11" i="7"/>
  <c r="AC10" i="12"/>
  <c r="AJ10" i="12"/>
  <c r="AE33" i="8"/>
  <c r="AC51" i="8"/>
  <c r="M51" i="8"/>
  <c r="AA51" i="8"/>
  <c r="AE51" i="8"/>
  <c r="AG51" i="8"/>
  <c r="AJ13" i="8"/>
  <c r="AI13" i="8"/>
  <c r="AE43" i="8"/>
  <c r="M43" i="8"/>
  <c r="AC43" i="8"/>
  <c r="AA43" i="8"/>
  <c r="AG43" i="8"/>
  <c r="J61" i="8"/>
  <c r="M61" i="8"/>
  <c r="M110" i="8"/>
  <c r="AJ14" i="8"/>
  <c r="AI14" i="8"/>
  <c r="AI17" i="8"/>
  <c r="AJ17" i="8"/>
  <c r="AA34" i="8"/>
  <c r="AE34" i="8"/>
  <c r="AC34" i="8"/>
  <c r="M34" i="8"/>
  <c r="AG34" i="8"/>
  <c r="AI19" i="8"/>
  <c r="AJ19" i="8"/>
  <c r="AG41" i="8"/>
  <c r="AE41" i="8"/>
  <c r="M41" i="8"/>
  <c r="AC41" i="8"/>
  <c r="AA41" i="8"/>
  <c r="AC6" i="8"/>
  <c r="AA10" i="8"/>
  <c r="AA11" i="8"/>
  <c r="AC8" i="8"/>
  <c r="AC9" i="8"/>
  <c r="AC10" i="8"/>
  <c r="AC11" i="8"/>
  <c r="J57" i="8"/>
  <c r="AC57" i="8"/>
  <c r="AB8" i="8"/>
  <c r="AB31" i="8"/>
  <c r="AC31" i="8"/>
  <c r="AB9" i="8"/>
  <c r="AB32" i="8"/>
  <c r="AC32" i="8"/>
  <c r="AC35" i="8"/>
  <c r="AC36" i="8"/>
  <c r="AC37" i="8"/>
  <c r="AC38" i="8"/>
  <c r="AC39" i="8"/>
  <c r="AC40" i="8"/>
  <c r="AC42" i="8"/>
  <c r="AC44" i="8"/>
  <c r="AC45" i="8"/>
  <c r="AC46" i="8"/>
  <c r="AC47" i="8"/>
  <c r="AC48" i="8"/>
  <c r="AC49" i="8"/>
  <c r="AC50" i="8"/>
  <c r="AC30" i="8"/>
  <c r="AB30" i="8"/>
  <c r="M30" i="8"/>
  <c r="AA57" i="8"/>
  <c r="Z31" i="8"/>
  <c r="AA31" i="8"/>
  <c r="Z32" i="8"/>
  <c r="AA32" i="8"/>
  <c r="Z33" i="8"/>
  <c r="AA33" i="8"/>
  <c r="AA35" i="8"/>
  <c r="AA36" i="8"/>
  <c r="AA37" i="8"/>
  <c r="AA38" i="8"/>
  <c r="AA39" i="8"/>
  <c r="AA40" i="8"/>
  <c r="AA42" i="8"/>
  <c r="AA44" i="8"/>
  <c r="AA45" i="8"/>
  <c r="AA46" i="8"/>
  <c r="AA47" i="8"/>
  <c r="AA48" i="8"/>
  <c r="AA49" i="8"/>
  <c r="AA50" i="8"/>
  <c r="AA30" i="8"/>
  <c r="Z30" i="8"/>
  <c r="AE6" i="8"/>
  <c r="AE8" i="8"/>
  <c r="AE9" i="8"/>
  <c r="AE10" i="8"/>
  <c r="AE11" i="8"/>
  <c r="AE57" i="8"/>
  <c r="AD8" i="8"/>
  <c r="AD31" i="8"/>
  <c r="AE31" i="8"/>
  <c r="AD9" i="8"/>
  <c r="AD32" i="8"/>
  <c r="AE32" i="8"/>
  <c r="AE35" i="8"/>
  <c r="AE36" i="8"/>
  <c r="AE37" i="8"/>
  <c r="AE38" i="8"/>
  <c r="AE39" i="8"/>
  <c r="AE40" i="8"/>
  <c r="AE42" i="8"/>
  <c r="AE44" i="8"/>
  <c r="AE45" i="8"/>
  <c r="AE46" i="8"/>
  <c r="AE47" i="8"/>
  <c r="AE48" i="8"/>
  <c r="AE49" i="8"/>
  <c r="AE50" i="8"/>
  <c r="AE30" i="8"/>
  <c r="AD30" i="8"/>
  <c r="M46" i="8"/>
  <c r="AG46" i="8"/>
  <c r="AG40" i="8"/>
  <c r="M40" i="8"/>
  <c r="AI16" i="8"/>
  <c r="AJ16" i="8"/>
  <c r="AG47" i="8"/>
  <c r="M47" i="8"/>
  <c r="M101" i="8"/>
  <c r="M48" i="8"/>
  <c r="AG48" i="8"/>
  <c r="AK48" i="8"/>
  <c r="I74" i="9"/>
  <c r="Y6" i="8"/>
  <c r="AG6" i="8"/>
  <c r="AK18" i="8"/>
  <c r="AK17" i="8"/>
  <c r="AG45" i="8"/>
  <c r="M45" i="8"/>
  <c r="AI20" i="8"/>
  <c r="AJ20" i="8"/>
  <c r="J52" i="8"/>
  <c r="M29" i="8"/>
  <c r="M35" i="8"/>
  <c r="M36" i="8"/>
  <c r="M37" i="8"/>
  <c r="M38" i="8"/>
  <c r="M39" i="8"/>
  <c r="M42" i="8"/>
  <c r="M44" i="8"/>
  <c r="M49" i="8"/>
  <c r="M50" i="8"/>
  <c r="M52" i="8"/>
  <c r="AG49" i="8"/>
  <c r="AJ21" i="8"/>
  <c r="AI21" i="8"/>
  <c r="AG42" i="8"/>
  <c r="AG37" i="8"/>
  <c r="AI15" i="8"/>
  <c r="AJ15" i="8"/>
  <c r="AJ12" i="8"/>
  <c r="AI12" i="8"/>
  <c r="AG50" i="8"/>
  <c r="AI18" i="8"/>
  <c r="AJ18" i="8"/>
  <c r="AG36" i="8"/>
  <c r="AK36" i="8"/>
  <c r="I72" i="9"/>
  <c r="AG39" i="8"/>
  <c r="AF33" i="8"/>
  <c r="AH33" i="8"/>
  <c r="AG11" i="8"/>
  <c r="AG38" i="8"/>
  <c r="AG35" i="8"/>
  <c r="N23" i="8"/>
  <c r="Y23" i="8"/>
  <c r="AG44" i="8"/>
  <c r="AH10" i="8"/>
  <c r="AK16" i="8"/>
  <c r="AK20" i="8"/>
  <c r="AK21" i="8"/>
  <c r="M111" i="1"/>
  <c r="AH32" i="12"/>
  <c r="AJ8" i="7"/>
  <c r="AK10" i="7"/>
  <c r="AJ9" i="7"/>
  <c r="M63" i="7"/>
  <c r="AI10" i="7"/>
  <c r="AH33" i="7"/>
  <c r="AJ10" i="7"/>
  <c r="AC52" i="1"/>
  <c r="AC63" i="1"/>
  <c r="AB29" i="1"/>
  <c r="AB8" i="12"/>
  <c r="AB31" i="12"/>
  <c r="AC31" i="12"/>
  <c r="AC30" i="12"/>
  <c r="AE10" i="12"/>
  <c r="AK10" i="12"/>
  <c r="AK57" i="12"/>
  <c r="J62" i="12"/>
  <c r="M62" i="12"/>
  <c r="M63" i="12"/>
  <c r="M111" i="12"/>
  <c r="AI57" i="12"/>
  <c r="AJ57" i="12"/>
  <c r="Z31" i="12"/>
  <c r="AJ9" i="12"/>
  <c r="AI11" i="1"/>
  <c r="AE11" i="12"/>
  <c r="AH33" i="12"/>
  <c r="AJ33" i="7"/>
  <c r="AI33" i="7"/>
  <c r="AD8" i="1"/>
  <c r="AI32" i="12"/>
  <c r="AJ32" i="12"/>
  <c r="AK57" i="7"/>
  <c r="AI57" i="7"/>
  <c r="AJ57" i="7"/>
  <c r="AD10" i="1"/>
  <c r="AA29" i="7"/>
  <c r="AJ33" i="12"/>
  <c r="AI33" i="12"/>
  <c r="AE9" i="12"/>
  <c r="AK9" i="12"/>
  <c r="AE8" i="12"/>
  <c r="AK35" i="8"/>
  <c r="AK38" i="8"/>
  <c r="AK6" i="8"/>
  <c r="AK47" i="8"/>
  <c r="AK34" i="8"/>
  <c r="AK11" i="8"/>
  <c r="AK39" i="8"/>
  <c r="Y24" i="8"/>
  <c r="M109" i="8"/>
  <c r="M113" i="8"/>
  <c r="J64" i="8"/>
  <c r="M64" i="8"/>
  <c r="N26" i="8"/>
  <c r="J60" i="8"/>
  <c r="M60" i="8"/>
  <c r="AJ36" i="8"/>
  <c r="AI36" i="8"/>
  <c r="AJ42" i="8"/>
  <c r="AI42" i="8"/>
  <c r="AJ6" i="8"/>
  <c r="AI6" i="8"/>
  <c r="AF30" i="8"/>
  <c r="AG30" i="8"/>
  <c r="AH30" i="8"/>
  <c r="AJ10" i="8"/>
  <c r="J63" i="8"/>
  <c r="M112" i="8"/>
  <c r="AI35" i="8"/>
  <c r="AJ35" i="8"/>
  <c r="AJ39" i="8"/>
  <c r="AI39" i="8"/>
  <c r="AI37" i="8"/>
  <c r="AJ37" i="8"/>
  <c r="AI49" i="8"/>
  <c r="AJ49" i="8"/>
  <c r="AJ45" i="8"/>
  <c r="AI45" i="8"/>
  <c r="AI47" i="8"/>
  <c r="AJ47" i="8"/>
  <c r="AJ34" i="8"/>
  <c r="AI34" i="8"/>
  <c r="AI43" i="8"/>
  <c r="AJ43" i="8"/>
  <c r="AJ51" i="8"/>
  <c r="AI51" i="8"/>
  <c r="AK49" i="8"/>
  <c r="AK10" i="8"/>
  <c r="AK50" i="8"/>
  <c r="AK42" i="8"/>
  <c r="AK41" i="8"/>
  <c r="AI44" i="8"/>
  <c r="AJ44" i="8"/>
  <c r="M106" i="8"/>
  <c r="AG33" i="8"/>
  <c r="AK33" i="8"/>
  <c r="AJ50" i="8"/>
  <c r="AI50" i="8"/>
  <c r="AJ41" i="8"/>
  <c r="AI41" i="8"/>
  <c r="AJ38" i="8"/>
  <c r="AI38" i="8"/>
  <c r="AJ48" i="8"/>
  <c r="AI48" i="8"/>
  <c r="AI40" i="8"/>
  <c r="AJ40" i="8"/>
  <c r="AI46" i="8"/>
  <c r="AJ46" i="8"/>
  <c r="AK46" i="8"/>
  <c r="AK44" i="8"/>
  <c r="AK37" i="8"/>
  <c r="AK45" i="8"/>
  <c r="AK40" i="8"/>
  <c r="AK43" i="8"/>
  <c r="AK51" i="8"/>
  <c r="AC29" i="12"/>
  <c r="AC52" i="12"/>
  <c r="AC63" i="12"/>
  <c r="AD31" i="1"/>
  <c r="AF8" i="1"/>
  <c r="AG8" i="1"/>
  <c r="AF9" i="1"/>
  <c r="AG9" i="1"/>
  <c r="AA31" i="12"/>
  <c r="AJ31" i="1"/>
  <c r="AA29" i="1"/>
  <c r="AA29" i="8"/>
  <c r="AC29" i="8"/>
  <c r="AB29" i="8"/>
  <c r="AK11" i="7"/>
  <c r="AI11" i="7"/>
  <c r="AI10" i="8"/>
  <c r="AI9" i="12"/>
  <c r="AK11" i="12"/>
  <c r="AI11" i="12"/>
  <c r="AJ32" i="1"/>
  <c r="AD8" i="12"/>
  <c r="AF10" i="1"/>
  <c r="AG10" i="1"/>
  <c r="AC29" i="7"/>
  <c r="AI10" i="12"/>
  <c r="AJ9" i="8"/>
  <c r="AI33" i="8"/>
  <c r="AJ33" i="8"/>
  <c r="M111" i="8"/>
  <c r="J62" i="8"/>
  <c r="M62" i="8"/>
  <c r="AJ11" i="8"/>
  <c r="AJ8" i="8"/>
  <c r="M57" i="8"/>
  <c r="M63" i="8"/>
  <c r="AG57" i="8"/>
  <c r="AI11" i="8"/>
  <c r="AF9" i="7"/>
  <c r="AG9" i="7"/>
  <c r="AH9" i="1"/>
  <c r="AH8" i="1"/>
  <c r="AJ32" i="7"/>
  <c r="AK8" i="1"/>
  <c r="AI8" i="1"/>
  <c r="AJ31" i="7"/>
  <c r="AD31" i="12"/>
  <c r="AF8" i="12"/>
  <c r="AG8" i="12"/>
  <c r="AJ32" i="8"/>
  <c r="AJ30" i="1"/>
  <c r="AF32" i="1"/>
  <c r="AG32" i="1"/>
  <c r="AH10" i="1"/>
  <c r="AH9" i="7"/>
  <c r="AI10" i="1"/>
  <c r="AK10" i="1"/>
  <c r="AF8" i="7"/>
  <c r="AG8" i="7"/>
  <c r="AC52" i="7"/>
  <c r="AC63" i="7"/>
  <c r="AB29" i="7"/>
  <c r="AJ31" i="8"/>
  <c r="AF9" i="8"/>
  <c r="AG9" i="8"/>
  <c r="AF8" i="8"/>
  <c r="AG8" i="8"/>
  <c r="AJ29" i="1"/>
  <c r="AA52" i="1"/>
  <c r="Z29" i="1"/>
  <c r="AJ31" i="12"/>
  <c r="AA29" i="12"/>
  <c r="AA30" i="12"/>
  <c r="AK9" i="1"/>
  <c r="AI9" i="1"/>
  <c r="AE31" i="1"/>
  <c r="AF31" i="1"/>
  <c r="AG31" i="1"/>
  <c r="AF32" i="7"/>
  <c r="AA52" i="8"/>
  <c r="AK57" i="8"/>
  <c r="AC52" i="8"/>
  <c r="AC63" i="8"/>
  <c r="AI57" i="8"/>
  <c r="AJ57" i="8"/>
  <c r="AJ52" i="1"/>
  <c r="AH8" i="8"/>
  <c r="AK9" i="7"/>
  <c r="AI9" i="7"/>
  <c r="AH9" i="8"/>
  <c r="AJ29" i="12"/>
  <c r="AA52" i="12"/>
  <c r="AF32" i="8"/>
  <c r="AG32" i="8"/>
  <c r="AK8" i="7"/>
  <c r="AI8" i="7"/>
  <c r="AK32" i="1"/>
  <c r="AI32" i="1"/>
  <c r="AK9" i="8"/>
  <c r="AI9" i="8"/>
  <c r="AJ30" i="8"/>
  <c r="AH31" i="1"/>
  <c r="AH32" i="1"/>
  <c r="AH8" i="12"/>
  <c r="AG32" i="7"/>
  <c r="AH32" i="7"/>
  <c r="AK31" i="1"/>
  <c r="AE29" i="1"/>
  <c r="AI31" i="1"/>
  <c r="AA63" i="1"/>
  <c r="AJ29" i="7"/>
  <c r="AA52" i="7"/>
  <c r="Z29" i="7"/>
  <c r="AJ30" i="12"/>
  <c r="AK8" i="8"/>
  <c r="AI8" i="8"/>
  <c r="AE31" i="12"/>
  <c r="AF31" i="12"/>
  <c r="AG31" i="12"/>
  <c r="AG52" i="12"/>
  <c r="AF31" i="8"/>
  <c r="AG31" i="8"/>
  <c r="Z29" i="8"/>
  <c r="AF31" i="7"/>
  <c r="AG31" i="7"/>
  <c r="AI8" i="12"/>
  <c r="AK8" i="12"/>
  <c r="AJ30" i="7"/>
  <c r="AH8" i="7"/>
  <c r="AJ29" i="8"/>
  <c r="AH31" i="8"/>
  <c r="AJ52" i="12"/>
  <c r="AH31" i="12"/>
  <c r="AJ52" i="8"/>
  <c r="AK31" i="8"/>
  <c r="AE29" i="8"/>
  <c r="AI31" i="8"/>
  <c r="AJ63" i="1"/>
  <c r="AG63" i="12"/>
  <c r="AA65" i="12"/>
  <c r="AG62" i="12"/>
  <c r="AE52" i="1"/>
  <c r="AE63" i="1"/>
  <c r="AD29" i="1"/>
  <c r="AK30" i="1"/>
  <c r="AI30" i="1"/>
  <c r="AA63" i="12"/>
  <c r="AA66" i="12"/>
  <c r="AH31" i="7"/>
  <c r="AH32" i="8"/>
  <c r="AJ52" i="7"/>
  <c r="AK31" i="12"/>
  <c r="AE30" i="12"/>
  <c r="AE29" i="12"/>
  <c r="AI31" i="12"/>
  <c r="AK31" i="7"/>
  <c r="AE29" i="7"/>
  <c r="AI31" i="7"/>
  <c r="AA63" i="8"/>
  <c r="AA63" i="7"/>
  <c r="AK32" i="7"/>
  <c r="AI32" i="7"/>
  <c r="AK32" i="8"/>
  <c r="AI32" i="8"/>
  <c r="AJ63" i="8"/>
  <c r="AJ63" i="12"/>
  <c r="AF29" i="1"/>
  <c r="AG29" i="1"/>
  <c r="AE52" i="8"/>
  <c r="AE63" i="8"/>
  <c r="AD29" i="8"/>
  <c r="AJ63" i="7"/>
  <c r="AK30" i="7"/>
  <c r="AI30" i="7"/>
  <c r="AA22" i="12"/>
  <c r="AK30" i="8"/>
  <c r="AI30" i="8"/>
  <c r="AE52" i="12"/>
  <c r="AE63" i="12"/>
  <c r="AK63" i="12"/>
  <c r="AK29" i="12"/>
  <c r="AI29" i="12"/>
  <c r="AE52" i="7"/>
  <c r="AE63" i="7"/>
  <c r="AD29" i="7"/>
  <c r="AK30" i="12"/>
  <c r="AI30" i="12"/>
  <c r="AI52" i="12"/>
  <c r="AH29" i="1"/>
  <c r="AG52" i="1"/>
  <c r="AK29" i="1"/>
  <c r="AK52" i="1"/>
  <c r="AI29" i="1"/>
  <c r="AI52" i="1"/>
  <c r="AA61" i="12"/>
  <c r="Z22" i="12"/>
  <c r="AA24" i="12"/>
  <c r="AA23" i="12"/>
  <c r="AF29" i="8"/>
  <c r="AH29" i="8"/>
  <c r="AG29" i="8"/>
  <c r="AF29" i="7"/>
  <c r="AG29" i="7"/>
  <c r="AK52" i="12"/>
  <c r="AI63" i="12"/>
  <c r="AA64" i="12"/>
  <c r="AG52" i="8"/>
  <c r="AK29" i="8"/>
  <c r="AK52" i="8"/>
  <c r="AI29" i="8"/>
  <c r="AI52" i="8"/>
  <c r="AG52" i="7"/>
  <c r="AK29" i="7"/>
  <c r="AK52" i="7"/>
  <c r="AI29" i="7"/>
  <c r="AI52" i="7"/>
  <c r="AA62" i="12"/>
  <c r="AC66" i="12"/>
  <c r="AG62" i="1"/>
  <c r="AA65" i="1"/>
  <c r="AG63" i="1"/>
  <c r="AA66" i="1"/>
  <c r="AH29" i="7"/>
  <c r="AA22" i="1"/>
  <c r="AC22" i="12"/>
  <c r="AG62" i="7"/>
  <c r="AG63" i="7"/>
  <c r="AA65" i="7"/>
  <c r="AA66" i="7"/>
  <c r="AK63" i="1"/>
  <c r="AI63" i="1"/>
  <c r="AC65" i="12"/>
  <c r="AA65" i="8"/>
  <c r="AG62" i="8"/>
  <c r="AG63" i="8"/>
  <c r="AA66" i="8"/>
  <c r="AA61" i="1"/>
  <c r="Z22" i="1"/>
  <c r="AA24" i="1"/>
  <c r="AA23" i="1"/>
  <c r="AI63" i="8"/>
  <c r="AK63" i="8"/>
  <c r="AA22" i="8"/>
  <c r="AA22" i="7"/>
  <c r="AK63" i="7"/>
  <c r="AI63" i="7"/>
  <c r="AC61" i="12"/>
  <c r="AB22" i="12"/>
  <c r="AC24" i="12"/>
  <c r="AC23" i="12"/>
  <c r="AJ22" i="12"/>
  <c r="AA64" i="1"/>
  <c r="AA62" i="1"/>
  <c r="AC66" i="1"/>
  <c r="AC64" i="12"/>
  <c r="AJ23" i="12"/>
  <c r="AJ24" i="12"/>
  <c r="AA61" i="8"/>
  <c r="Z22" i="8"/>
  <c r="AA24" i="8"/>
  <c r="AA23" i="8"/>
  <c r="AJ61" i="12"/>
  <c r="AJ62" i="12"/>
  <c r="AE66" i="12"/>
  <c r="AC62" i="12"/>
  <c r="AA61" i="7"/>
  <c r="Z22" i="7"/>
  <c r="AA24" i="7"/>
  <c r="AA23" i="7"/>
  <c r="AC66" i="7"/>
  <c r="AA62" i="7"/>
  <c r="AE22" i="12"/>
  <c r="AC65" i="1"/>
  <c r="AE65" i="12"/>
  <c r="AA64" i="8"/>
  <c r="AC22" i="1"/>
  <c r="AA64" i="7"/>
  <c r="AC66" i="8"/>
  <c r="AA62" i="8"/>
  <c r="AJ64" i="12"/>
  <c r="AC22" i="8"/>
  <c r="AC65" i="8"/>
  <c r="AE61" i="12"/>
  <c r="AD22" i="12"/>
  <c r="AE24" i="12"/>
  <c r="AE23" i="12"/>
  <c r="AC22" i="7"/>
  <c r="AC61" i="1"/>
  <c r="AB22" i="1"/>
  <c r="AC24" i="1"/>
  <c r="AC23" i="1"/>
  <c r="AJ22" i="1"/>
  <c r="AC65" i="7"/>
  <c r="AC61" i="7"/>
  <c r="AB22" i="7"/>
  <c r="AC24" i="7"/>
  <c r="AC23" i="7"/>
  <c r="AJ22" i="7"/>
  <c r="AE64" i="12"/>
  <c r="AC61" i="8"/>
  <c r="AB22" i="8"/>
  <c r="AC24" i="8"/>
  <c r="AC23" i="8"/>
  <c r="AJ22" i="8"/>
  <c r="AC64" i="1"/>
  <c r="AJ23" i="1"/>
  <c r="AJ24" i="1"/>
  <c r="AJ61" i="1"/>
  <c r="AJ62" i="1"/>
  <c r="AC62" i="1"/>
  <c r="AE66" i="1"/>
  <c r="AE62" i="12"/>
  <c r="AG65" i="12"/>
  <c r="AG66" i="12"/>
  <c r="AG22" i="12"/>
  <c r="AG61" i="12"/>
  <c r="AF22" i="12"/>
  <c r="AH22" i="12"/>
  <c r="AG24" i="12"/>
  <c r="AG23" i="12"/>
  <c r="AK22" i="12"/>
  <c r="AI22" i="12"/>
  <c r="AJ61" i="8"/>
  <c r="AJ62" i="8"/>
  <c r="AE66" i="8"/>
  <c r="AC62" i="8"/>
  <c r="AC64" i="7"/>
  <c r="AJ23" i="7"/>
  <c r="AJ24" i="7"/>
  <c r="AE65" i="1"/>
  <c r="AC64" i="8"/>
  <c r="AJ23" i="8"/>
  <c r="AJ24" i="8"/>
  <c r="AJ61" i="7"/>
  <c r="AJ62" i="7"/>
  <c r="AC62" i="7"/>
  <c r="AE66" i="7"/>
  <c r="AE22" i="1"/>
  <c r="AJ64" i="1"/>
  <c r="AE65" i="7"/>
  <c r="AI61" i="12"/>
  <c r="AI62" i="12"/>
  <c r="AK61" i="12"/>
  <c r="AK62" i="12"/>
  <c r="AE65" i="8"/>
  <c r="AG64" i="12"/>
  <c r="AI23" i="12"/>
  <c r="AK23" i="12"/>
  <c r="AE22" i="7"/>
  <c r="AE22" i="8"/>
  <c r="AE61" i="1"/>
  <c r="AD22" i="1"/>
  <c r="AE24" i="1"/>
  <c r="AE23" i="1"/>
  <c r="AJ64" i="8"/>
  <c r="AJ64" i="7"/>
  <c r="AK24" i="12"/>
  <c r="AE61" i="8"/>
  <c r="AD22" i="8"/>
  <c r="AE24" i="8"/>
  <c r="AE23" i="8"/>
  <c r="AE61" i="7"/>
  <c r="AD22" i="7"/>
  <c r="AE24" i="7"/>
  <c r="AE23" i="7"/>
  <c r="AI64" i="12"/>
  <c r="AK64" i="12"/>
  <c r="AE64" i="1"/>
  <c r="AE62" i="1"/>
  <c r="AG65" i="1"/>
  <c r="AG66" i="1"/>
  <c r="AG22" i="1"/>
  <c r="AE64" i="7"/>
  <c r="AE62" i="8"/>
  <c r="AG65" i="8"/>
  <c r="AG66" i="8"/>
  <c r="AG22" i="8"/>
  <c r="AG66" i="7"/>
  <c r="AG22" i="7"/>
  <c r="AE62" i="7"/>
  <c r="AG65" i="7"/>
  <c r="AG61" i="1"/>
  <c r="AF22" i="1"/>
  <c r="AH22" i="1"/>
  <c r="AG24" i="1"/>
  <c r="AG23" i="1"/>
  <c r="AK22" i="1"/>
  <c r="AI22" i="1"/>
  <c r="AE64" i="8"/>
  <c r="AG61" i="7"/>
  <c r="AF22" i="7"/>
  <c r="AH22" i="7"/>
  <c r="AG24" i="7"/>
  <c r="AG23" i="7"/>
  <c r="AK22" i="7"/>
  <c r="AI22" i="7"/>
  <c r="AI61" i="1"/>
  <c r="AI62" i="1"/>
  <c r="AK61" i="1"/>
  <c r="AK62" i="1"/>
  <c r="AG61" i="8"/>
  <c r="AF22" i="8"/>
  <c r="AH22" i="8"/>
  <c r="AG24" i="8"/>
  <c r="AG23" i="8"/>
  <c r="AK22" i="8"/>
  <c r="AI22" i="8"/>
  <c r="AG64" i="1"/>
  <c r="AI23" i="1"/>
  <c r="AK23" i="1"/>
  <c r="AK24" i="1"/>
  <c r="AG64" i="8"/>
  <c r="AK23" i="8"/>
  <c r="AI23" i="8"/>
  <c r="AI64" i="1"/>
  <c r="AK64" i="1"/>
  <c r="AG64" i="7"/>
  <c r="AI23" i="7"/>
  <c r="AK23" i="7"/>
  <c r="AK24" i="7"/>
  <c r="AK24" i="8"/>
  <c r="AI61" i="7"/>
  <c r="AI62" i="7"/>
  <c r="AK61" i="7"/>
  <c r="AK62" i="7"/>
  <c r="AK61" i="8"/>
  <c r="AK62" i="8"/>
  <c r="AI61" i="8"/>
  <c r="AI62" i="8"/>
  <c r="AI64" i="8"/>
  <c r="AK64" i="8"/>
  <c r="AK64" i="7"/>
  <c r="AI64" i="7"/>
  <c r="I107" i="12"/>
  <c r="I58" i="12"/>
  <c r="I107" i="7"/>
  <c r="I58" i="7"/>
</calcChain>
</file>

<file path=xl/comments1.xml><?xml version="1.0" encoding="utf-8"?>
<comments xmlns="http://schemas.openxmlformats.org/spreadsheetml/2006/main">
  <authors>
    <author>Mark Lawrence</author>
  </authors>
  <commentList>
    <comment ref="E22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<sst xmlns="http://schemas.openxmlformats.org/spreadsheetml/2006/main" count="786" uniqueCount="145">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</sst>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28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5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17" xfId="0" applyFont="1" applyBorder="1" applyAlignment="1"/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174" fontId="8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14" fillId="0" borderId="16" xfId="0" applyFont="1" applyBorder="1" applyAlignment="1">
      <alignment horizontal="left"/>
    </xf>
  </cellXfs>
  <cellStyles count="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6" builtinId="5"/>
    <cellStyle name="Total" xfId="7" builtinId="25" customBuiltin="1"/>
  </cellStyles>
  <dxfs count="352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0.00834371108343711</c:v>
                </c:pt>
                <c:pt idx="2" formatCode="0.0%">
                  <c:v>0.00834371108343711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0.315443835616438</c:v>
                </c:pt>
                <c:pt idx="2" formatCode="0.0%">
                  <c:v>0.315443835616438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0.0159900373599004</c:v>
                </c:pt>
                <c:pt idx="2" formatCode="0.0%">
                  <c:v>0.0158875776361162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0.00540784557907845</c:v>
                </c:pt>
                <c:pt idx="2" formatCode="0.0%">
                  <c:v>0.00540784557907845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5373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-0.00102523561618315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E46C0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0.0788609589041096</c:v>
                </c:pt>
                <c:pt idx="1">
                  <c:v>0.0686090342465753</c:v>
                </c:pt>
                <c:pt idx="2" formatCode="0.0%">
                  <c:v>0.0699475318341616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604A7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0.0473165753424657</c:v>
                </c:pt>
                <c:pt idx="1">
                  <c:v>0.0411654205479452</c:v>
                </c:pt>
                <c:pt idx="2" formatCode="0.0%">
                  <c:v>0.0419685191004969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0.00943711083437111</c:v>
                </c:pt>
                <c:pt idx="1">
                  <c:v>0.00943711083437111</c:v>
                </c:pt>
                <c:pt idx="2" formatCode="0.0%">
                  <c:v>0.00943711083437111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0.103712887188915</c:v>
                </c:pt>
                <c:pt idx="1">
                  <c:v>0.103712887188915</c:v>
                </c:pt>
                <c:pt idx="2" formatCode="0.0%">
                  <c:v>0.103712887188915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0.0824196668742217</c:v>
                </c:pt>
                <c:pt idx="1">
                  <c:v>0.0824196668742217</c:v>
                </c:pt>
                <c:pt idx="2" formatCode="0.0%">
                  <c:v>0.0845321563230567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0.00882351659988881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0.0883466562889165</c:v>
                </c:pt>
                <c:pt idx="1">
                  <c:v>0.0883466562889165</c:v>
                </c:pt>
                <c:pt idx="2" formatCode="0.0%">
                  <c:v>0.081020030845354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0.377489813200498</c:v>
                </c:pt>
                <c:pt idx="1">
                  <c:v>0.359064680372591</c:v>
                </c:pt>
                <c:pt idx="2" formatCode="0.0%">
                  <c:v>0.397872624945851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574424"/>
        <c:axId val="2117569160"/>
      </c:barChart>
      <c:catAx>
        <c:axId val="211757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569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569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57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Middle!$A$29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0.0456641529977446</c:v>
                </c:pt>
                <c:pt idx="1">
                  <c:v>0.0506872098274965</c:v>
                </c:pt>
                <c:pt idx="2">
                  <c:v>0.0506350687579126</c:v>
                </c:pt>
              </c:numCache>
            </c:numRef>
          </c:val>
        </c:ser>
        <c:ser>
          <c:idx val="1"/>
          <c:order val="1"/>
          <c:tx>
            <c:strRef>
              <c:f>Middle!$A$30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0.00342481147483085</c:v>
                </c:pt>
                <c:pt idx="1">
                  <c:v>0.00373304450756562</c:v>
                </c:pt>
                <c:pt idx="2">
                  <c:v>0.00372920438825167</c:v>
                </c:pt>
              </c:numCache>
            </c:numRef>
          </c:val>
        </c:ser>
        <c:ser>
          <c:idx val="2"/>
          <c:order val="2"/>
          <c:tx>
            <c:strRef>
              <c:f>Middle!$A$31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Middle!$K$31:$M$31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Middle!$A$32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Middle!$K$32:$M$32</c:f>
              <c:numCache>
                <c:formatCode>0%</c:formatCode>
                <c:ptCount val="3"/>
                <c:pt idx="0">
                  <c:v>0.0131512760633504</c:v>
                </c:pt>
                <c:pt idx="1">
                  <c:v>0.0134143015846175</c:v>
                </c:pt>
                <c:pt idx="2">
                  <c:v>0.0134418997118264</c:v>
                </c:pt>
              </c:numCache>
            </c:numRef>
          </c:val>
        </c:ser>
        <c:ser>
          <c:idx val="4"/>
          <c:order val="4"/>
          <c:tx>
            <c:strRef>
              <c:f>Middle!$A$33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Middle!$K$33:$M$33</c:f>
              <c:numCache>
                <c:formatCode>0%</c:formatCode>
                <c:ptCount val="3"/>
                <c:pt idx="0">
                  <c:v>0.00285400956235904</c:v>
                </c:pt>
                <c:pt idx="1">
                  <c:v>0.00322503080546571</c:v>
                </c:pt>
                <c:pt idx="2">
                  <c:v>0.0032240355451848</c:v>
                </c:pt>
              </c:numCache>
            </c:numRef>
          </c:val>
        </c:ser>
        <c:ser>
          <c:idx val="5"/>
          <c:order val="5"/>
          <c:tx>
            <c:strRef>
              <c:f>Middle!$A$34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Middle!$K$34:$M$34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Middle!$A$35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Middle!$K$35:$M$35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Middle!$A$36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Middle!$K$36:$M$36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0.719210409714478</c:v>
                </c:pt>
                <c:pt idx="1">
                  <c:v>0.769555138394491</c:v>
                </c:pt>
                <c:pt idx="2">
                  <c:v>0.769555138394491</c:v>
                </c:pt>
              </c:numCache>
            </c:numRef>
          </c:val>
        </c:ser>
        <c:ser>
          <c:idx val="12"/>
          <c:order val="12"/>
          <c:tx>
            <c:strRef>
              <c:f>Middle!$A$41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0.178090196691204</c:v>
                </c:pt>
                <c:pt idx="1">
                  <c:v>0.186994706525764</c:v>
                </c:pt>
                <c:pt idx="2">
                  <c:v>0.186994706525764</c:v>
                </c:pt>
              </c:numCache>
            </c:numRef>
          </c:val>
        </c:ser>
        <c:ser>
          <c:idx val="14"/>
          <c:order val="14"/>
          <c:tx>
            <c:strRef>
              <c:f>Middle!$A$43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0.0376051434960333</c:v>
                </c:pt>
                <c:pt idx="1">
                  <c:v>0.0417417092805969</c:v>
                </c:pt>
                <c:pt idx="2">
                  <c:v>0.0417417092805969</c:v>
                </c:pt>
              </c:numCache>
            </c:numRef>
          </c:val>
        </c:ser>
        <c:ser>
          <c:idx val="15"/>
          <c:order val="15"/>
          <c:tx>
            <c:strRef>
              <c:f>Middle!$A$44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Middle!$A$45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Middle!$A$46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2275864"/>
        <c:axId val="-2002272584"/>
      </c:barChart>
      <c:catAx>
        <c:axId val="-200227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27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27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27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46587537092"/>
          <c:y val="0.706748287561616"/>
          <c:w val="0.718101123858034"/>
          <c:h val="0.2865855258946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Rich!$A$29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Rich!$K$29:$M$29</c:f>
              <c:numCache>
                <c:formatCode>0%</c:formatCode>
                <c:ptCount val="3"/>
                <c:pt idx="0">
                  <c:v>0.0294346929248656</c:v>
                </c:pt>
                <c:pt idx="1">
                  <c:v>0.0326725091466009</c:v>
                </c:pt>
                <c:pt idx="2">
                  <c:v>0.0326725091466009</c:v>
                </c:pt>
              </c:numCache>
            </c:numRef>
          </c:val>
        </c:ser>
        <c:ser>
          <c:idx val="1"/>
          <c:order val="1"/>
          <c:tx>
            <c:strRef>
              <c:f>Rich!$A$30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Rich!$K$30:$M$30</c:f>
              <c:numCache>
                <c:formatCode>0%</c:formatCode>
                <c:ptCount val="3"/>
                <c:pt idx="0">
                  <c:v>0.00662280590809477</c:v>
                </c:pt>
                <c:pt idx="1">
                  <c:v>0.0072188584398233</c:v>
                </c:pt>
                <c:pt idx="2">
                  <c:v>0.00722116594936094</c:v>
                </c:pt>
              </c:numCache>
            </c:numRef>
          </c:val>
        </c:ser>
        <c:ser>
          <c:idx val="2"/>
          <c:order val="2"/>
          <c:tx>
            <c:strRef>
              <c:f>Rich!$A$31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Rich!$K$31:$M$31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Rich!$A$32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Rich!$K$32:$M$32</c:f>
              <c:numCache>
                <c:formatCode>0%</c:formatCode>
                <c:ptCount val="3"/>
                <c:pt idx="0">
                  <c:v>0.0264912236323791</c:v>
                </c:pt>
                <c:pt idx="1">
                  <c:v>0.0270210481050267</c:v>
                </c:pt>
                <c:pt idx="2">
                  <c:v>0.0270469599552475</c:v>
                </c:pt>
              </c:numCache>
            </c:numRef>
          </c:val>
        </c:ser>
        <c:ser>
          <c:idx val="4"/>
          <c:order val="4"/>
          <c:tx>
            <c:strRef>
              <c:f>Rich!$A$33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Rich!$K$33:$M$33</c:f>
              <c:numCache>
                <c:formatCode>0%</c:formatCode>
                <c:ptCount val="3"/>
                <c:pt idx="0">
                  <c:v>0.0036793366156082</c:v>
                </c:pt>
                <c:pt idx="1">
                  <c:v>0.00415765037563727</c:v>
                </c:pt>
                <c:pt idx="2">
                  <c:v>0.00415765037563727</c:v>
                </c:pt>
              </c:numCache>
            </c:numRef>
          </c:val>
        </c:ser>
        <c:ser>
          <c:idx val="5"/>
          <c:order val="5"/>
          <c:tx>
            <c:strRef>
              <c:f>Rich!$A$34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Rich!$K$34:$M$34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Rich!$A$35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Rich!$K$35:$M$35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Rich!$A$36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Rich!$K$36:$M$36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0.618128551422179</c:v>
                </c:pt>
                <c:pt idx="1">
                  <c:v>0.661397550021731</c:v>
                </c:pt>
                <c:pt idx="2">
                  <c:v>0.661397550021731</c:v>
                </c:pt>
              </c:numCache>
            </c:numRef>
          </c:val>
        </c:ser>
        <c:ser>
          <c:idx val="12"/>
          <c:order val="12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0.29140345995617</c:v>
                </c:pt>
                <c:pt idx="1">
                  <c:v>0.305973632953978</c:v>
                </c:pt>
                <c:pt idx="2">
                  <c:v>0.305973632953978</c:v>
                </c:pt>
              </c:numCache>
            </c:numRef>
          </c:val>
        </c:ser>
        <c:ser>
          <c:idx val="14"/>
          <c:order val="14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0.0242399295407038</c:v>
                </c:pt>
                <c:pt idx="1">
                  <c:v>0.0269063217901812</c:v>
                </c:pt>
                <c:pt idx="2">
                  <c:v>0.0269063217901812</c:v>
                </c:pt>
              </c:numCache>
            </c:numRef>
          </c:val>
        </c:ser>
        <c:ser>
          <c:idx val="15"/>
          <c:order val="15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Rich!$A$45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2456808"/>
        <c:axId val="-2002459256"/>
      </c:barChart>
      <c:catAx>
        <c:axId val="-200245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45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45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456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V.Poor!$A$29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V.Poor!$K$31:$M$31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V.Poor!$A$32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V.Poor!$K$32:$M$32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V.Poor!$A$33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V.Poor!$K$33:$M$33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V.Poor!$A$34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V.Poor!$K$34:$M$34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V.Poor!$A$35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V.Poor!$K$35:$M$35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-0.000572753602110662</c:v>
                </c:pt>
              </c:numCache>
            </c:numRef>
          </c:val>
        </c:ser>
        <c:ser>
          <c:idx val="7"/>
          <c:order val="7"/>
          <c:tx>
            <c:strRef>
              <c:f>V.Poor!$A$36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V.Poor!$K$36:$M$36</c:f>
              <c:numCache>
                <c:formatCode>0%</c:formatCode>
                <c:ptCount val="3"/>
                <c:pt idx="0">
                  <c:v>0.0267993346333263</c:v>
                </c:pt>
                <c:pt idx="1">
                  <c:v>0.0258801174554032</c:v>
                </c:pt>
                <c:pt idx="2">
                  <c:v>0.0258801174554032</c:v>
                </c:pt>
              </c:numCache>
            </c:numRef>
          </c:val>
        </c:ser>
        <c:ser>
          <c:idx val="8"/>
          <c:order val="8"/>
          <c:tx>
            <c:strRef>
              <c:f>V.Poor!$A$37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0.0336905921104673</c:v>
                </c:pt>
                <c:pt idx="1">
                  <c:v>0.037059651321514</c:v>
                </c:pt>
                <c:pt idx="2">
                  <c:v>0.037059651321514</c:v>
                </c:pt>
              </c:numCache>
            </c:numRef>
          </c:val>
        </c:ser>
        <c:ser>
          <c:idx val="9"/>
          <c:order val="9"/>
          <c:tx>
            <c:strRef>
              <c:f>V.Poor!$A$38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0.229708582571368</c:v>
                </c:pt>
                <c:pt idx="1">
                  <c:v>0.252679440828505</c:v>
                </c:pt>
                <c:pt idx="2">
                  <c:v>0.252679440828505</c:v>
                </c:pt>
              </c:numCache>
            </c:numRef>
          </c:val>
        </c:ser>
        <c:ser>
          <c:idx val="10"/>
          <c:order val="10"/>
          <c:tx>
            <c:strRef>
              <c:f>V.Poor!$A$39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0.0877486785422625</c:v>
                </c:pt>
                <c:pt idx="1">
                  <c:v>0.0965235463964888</c:v>
                </c:pt>
                <c:pt idx="2">
                  <c:v>0.096042204269275</c:v>
                </c:pt>
              </c:numCache>
            </c:numRef>
          </c:val>
        </c:ser>
        <c:ser>
          <c:idx val="13"/>
          <c:order val="13"/>
          <c:tx>
            <c:strRef>
              <c:f>V.Poor!$A$42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0.622052812142576</c:v>
                </c:pt>
                <c:pt idx="1">
                  <c:v>0.690478621478259</c:v>
                </c:pt>
                <c:pt idx="2">
                  <c:v>0.690478621478259</c:v>
                </c:pt>
              </c:numCache>
            </c:numRef>
          </c:val>
        </c:ser>
        <c:ser>
          <c:idx val="15"/>
          <c:order val="15"/>
          <c:tx>
            <c:strRef>
              <c:f>V.Poor!$A$44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V.Poor!$A$45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V.Poor!$A$46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826568"/>
        <c:axId val="-2084798728"/>
      </c:barChart>
      <c:catAx>
        <c:axId val="-208482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798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79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826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/>
            </a:pPr>
            <a:r>
              <a:rPr lang="en-US" sz="1300"/>
              <a:t>ZALOF - Unaffected Area</a:t>
            </a:r>
          </a:p>
        </c:rich>
      </c:tx>
      <c:layout>
        <c:manualLayout>
          <c:xMode val="edge"/>
          <c:yMode val="edge"/>
          <c:x val="0.40466900476262"/>
          <c:y val="0.0192599688407933"/>
        </c:manualLayout>
      </c:layout>
      <c:overlay val="1"/>
      <c:spPr>
        <a:solidFill>
          <a:schemeClr val="bg1"/>
        </a:solidFill>
        <a:ln w="635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5695429150194"/>
          <c:y val="0.0355557305336833"/>
          <c:w val="0.849529774929147"/>
          <c:h val="0.675052002189566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1200.529423967038</c:v>
                </c:pt>
                <c:pt idx="1">
                  <c:v>2791.871137228448</c:v>
                </c:pt>
                <c:pt idx="2">
                  <c:v>3104.472928176795</c:v>
                </c:pt>
                <c:pt idx="3">
                  <c:v>4088.247513812153</c:v>
                </c:pt>
                <c:pt idx="4">
                  <c:v>1200.529423967038</c:v>
                </c:pt>
                <c:pt idx="5">
                  <c:v>2791.14155002397</c:v>
                </c:pt>
                <c:pt idx="6">
                  <c:v>3093.47907841193</c:v>
                </c:pt>
                <c:pt idx="7">
                  <c:v>4072.092639992363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447.9999999999999</c:v>
                </c:pt>
                <c:pt idx="2">
                  <c:v>3768.576</c:v>
                </c:pt>
                <c:pt idx="3">
                  <c:v>11020.8</c:v>
                </c:pt>
                <c:pt idx="4">
                  <c:v>0.0</c:v>
                </c:pt>
                <c:pt idx="5">
                  <c:v>500.5078745174345</c:v>
                </c:pt>
                <c:pt idx="6">
                  <c:v>3503.688735345861</c:v>
                </c:pt>
                <c:pt idx="7">
                  <c:v>10177.25103982416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59.4132466837369</c:v>
                </c:pt>
                <c:pt idx="2">
                  <c:v>352.4764017614951</c:v>
                </c:pt>
                <c:pt idx="3">
                  <c:v>507.0180155785586</c:v>
                </c:pt>
                <c:pt idx="4">
                  <c:v>0.0</c:v>
                </c:pt>
                <c:pt idx="5">
                  <c:v>59.4132466837369</c:v>
                </c:pt>
                <c:pt idx="6">
                  <c:v>352.4764017614951</c:v>
                </c:pt>
                <c:pt idx="7">
                  <c:v>507.0180155785586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4175.92</c:v>
                </c:pt>
                <c:pt idx="2">
                  <c:v>11558.4</c:v>
                </c:pt>
                <c:pt idx="3">
                  <c:v>13171.2</c:v>
                </c:pt>
                <c:pt idx="4">
                  <c:v>0.0</c:v>
                </c:pt>
                <c:pt idx="5">
                  <c:v>4127.815</c:v>
                </c:pt>
                <c:pt idx="6">
                  <c:v>11429.03104386835</c:v>
                </c:pt>
                <c:pt idx="7">
                  <c:v>13011.15258442879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-19.22149429006295</c:v>
                </c:pt>
                <c:pt idx="5">
                  <c:v>-22.67895200219714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8489.599999999999</c:v>
                </c:pt>
                <c:pt idx="1">
                  <c:v>14808.87513812155</c:v>
                </c:pt>
                <c:pt idx="2">
                  <c:v>0.0</c:v>
                </c:pt>
                <c:pt idx="3">
                  <c:v>0.0</c:v>
                </c:pt>
                <c:pt idx="4">
                  <c:v>8243.990000000001</c:v>
                </c:pt>
                <c:pt idx="5">
                  <c:v>14004.98908081591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1344</c:v>
                </c:pt>
                <c:pt idx="2">
                  <c:v>169343.9999999999</c:v>
                </c:pt>
                <c:pt idx="3">
                  <c:v>225792.0</c:v>
                </c:pt>
                <c:pt idx="4">
                  <c:v>0.0</c:v>
                </c:pt>
                <c:pt idx="5">
                  <c:v>12840.0</c:v>
                </c:pt>
                <c:pt idx="6">
                  <c:v>161784.0</c:v>
                </c:pt>
                <c:pt idx="7">
                  <c:v>215712.0000000001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628.3199999999999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600.27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2567.04</c:v>
                </c:pt>
                <c:pt idx="1">
                  <c:v>7044.8</c:v>
                </c:pt>
                <c:pt idx="2">
                  <c:v>0.0</c:v>
                </c:pt>
                <c:pt idx="3">
                  <c:v>0.0</c:v>
                </c:pt>
                <c:pt idx="4">
                  <c:v>2508.627318862213</c:v>
                </c:pt>
                <c:pt idx="5">
                  <c:v>6883.531973858146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2150.4</c:v>
                </c:pt>
                <c:pt idx="2">
                  <c:v>41932.79999999999</c:v>
                </c:pt>
                <c:pt idx="3">
                  <c:v>106444.8</c:v>
                </c:pt>
                <c:pt idx="4">
                  <c:v>0.0</c:v>
                </c:pt>
                <c:pt idx="5">
                  <c:v>2016.0</c:v>
                </c:pt>
                <c:pt idx="6">
                  <c:v>39312.00000000001</c:v>
                </c:pt>
                <c:pt idx="7">
                  <c:v>99792.0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0.0</c:v>
                </c:pt>
                <c:pt idx="1">
                  <c:v>61.25966850828729</c:v>
                </c:pt>
                <c:pt idx="2">
                  <c:v>73.51160220994474</c:v>
                </c:pt>
                <c:pt idx="3">
                  <c:v>0.0</c:v>
                </c:pt>
                <c:pt idx="4">
                  <c:v>0.0</c:v>
                </c:pt>
                <c:pt idx="5">
                  <c:v>62.82980835804403</c:v>
                </c:pt>
                <c:pt idx="6">
                  <c:v>73.66284247663526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171.5251564110725</c:v>
                </c:pt>
                <c:pt idx="1">
                  <c:v>67.19904229393406</c:v>
                </c:pt>
                <c:pt idx="2">
                  <c:v>0.0</c:v>
                </c:pt>
                <c:pt idx="3">
                  <c:v>0.0</c:v>
                </c:pt>
                <c:pt idx="4">
                  <c:v>171.5251564110725</c:v>
                </c:pt>
                <c:pt idx="5">
                  <c:v>67.19904229393406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18197.81764705882</c:v>
                </c:pt>
                <c:pt idx="1">
                  <c:v>18197.81764705882</c:v>
                </c:pt>
                <c:pt idx="2">
                  <c:v>8854.44</c:v>
                </c:pt>
                <c:pt idx="3">
                  <c:v>8854.44</c:v>
                </c:pt>
                <c:pt idx="4">
                  <c:v>18035.33713235294</c:v>
                </c:pt>
                <c:pt idx="5">
                  <c:v>18035.33713235294</c:v>
                </c:pt>
                <c:pt idx="6">
                  <c:v>8775.382500000001</c:v>
                </c:pt>
                <c:pt idx="7">
                  <c:v>8775.382500000001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168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1575.0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5246856"/>
        <c:axId val="-208524818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21925.55336467335</c:v>
                </c:pt>
                <c:pt idx="1">
                  <c:v>21925.55336467335</c:v>
                </c:pt>
                <c:pt idx="2">
                  <c:v>21925.55336467335</c:v>
                </c:pt>
                <c:pt idx="3">
                  <c:v>21925.55336467335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21925.55336467335</c:v>
                </c:pt>
                <c:pt idx="5" formatCode="#,##0">
                  <c:v>21925.55336467335</c:v>
                </c:pt>
                <c:pt idx="6" formatCode="#,##0">
                  <c:v>21925.55336467335</c:v>
                </c:pt>
                <c:pt idx="7" formatCode="#,##0">
                  <c:v>21925.55336467335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Income!$B$90:$E$90</c:f>
              <c:numCache>
                <c:formatCode>#,##0</c:formatCode>
                <c:ptCount val="4"/>
                <c:pt idx="0">
                  <c:v>35197.14682714796</c:v>
                </c:pt>
                <c:pt idx="1">
                  <c:v>35197.14682714796</c:v>
                </c:pt>
                <c:pt idx="2">
                  <c:v>35197.14682714796</c:v>
                </c:pt>
                <c:pt idx="3">
                  <c:v>35197.14682714796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Income!$B$94:$I$94</c:f>
              <c:numCache>
                <c:formatCode>General</c:formatCode>
                <c:ptCount val="8"/>
                <c:pt idx="4" formatCode="#,##0">
                  <c:v>34894.79336467335</c:v>
                </c:pt>
                <c:pt idx="5" formatCode="#,##0">
                  <c:v>34894.79336467335</c:v>
                </c:pt>
                <c:pt idx="6" formatCode="#,##0">
                  <c:v>34894.79336467335</c:v>
                </c:pt>
                <c:pt idx="7" formatCode="#,##0">
                  <c:v>34894.79336467335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val>
            <c:numRef>
              <c:f>Income!$B$91:$E$91</c:f>
              <c:numCache>
                <c:formatCode>#,##0</c:formatCode>
                <c:ptCount val="4"/>
                <c:pt idx="0">
                  <c:v>58832.48718722773</c:v>
                </c:pt>
                <c:pt idx="1">
                  <c:v>58832.48718722773</c:v>
                </c:pt>
                <c:pt idx="2">
                  <c:v>58832.48718722774</c:v>
                </c:pt>
                <c:pt idx="3">
                  <c:v>58832.48718722774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val>
            <c:numRef>
              <c:f>Income!$B$95:$I$95</c:f>
              <c:numCache>
                <c:formatCode>General</c:formatCode>
                <c:ptCount val="8"/>
                <c:pt idx="4" formatCode="#,##0">
                  <c:v>57991.67336467336</c:v>
                </c:pt>
                <c:pt idx="5" formatCode="#,##0">
                  <c:v>57991.67336467336</c:v>
                </c:pt>
                <c:pt idx="6" formatCode="#,##0">
                  <c:v>57991.67336467336</c:v>
                </c:pt>
                <c:pt idx="7" formatCode="#,##0">
                  <c:v>57991.67336467336</c:v>
                </c:pt>
              </c:numCache>
            </c:numRef>
          </c:val>
          <c:smooth val="0"/>
        </c:ser>
        <c:ser>
          <c:idx val="14"/>
          <c:order val="20"/>
          <c:tx>
            <c:strRef>
              <c:f>Income!$A$92</c:f>
              <c:strCache>
                <c:ptCount val="1"/>
                <c:pt idx="0">
                  <c:v>Resilience line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Income!$B$92:$E$92</c:f>
              <c:numCache>
                <c:formatCode>#,##0</c:formatCode>
                <c:ptCount val="4"/>
                <c:pt idx="0">
                  <c:v>59871.81515865569</c:v>
                </c:pt>
                <c:pt idx="1">
                  <c:v>63126.10438066782</c:v>
                </c:pt>
                <c:pt idx="2">
                  <c:v>99965.33990038385</c:v>
                </c:pt>
                <c:pt idx="3">
                  <c:v>136608.2957769712</c:v>
                </c:pt>
              </c:numCache>
            </c:numRef>
          </c:val>
          <c:smooth val="0"/>
        </c:ser>
        <c:ser>
          <c:idx val="16"/>
          <c:order val="21"/>
          <c:tx>
            <c:strRef>
              <c:f>Income!$A$96</c:f>
              <c:strCache>
                <c:ptCount val="1"/>
                <c:pt idx="0">
                  <c:v>Resilience line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Income!$B$96:$I$96</c:f>
              <c:numCache>
                <c:formatCode>General</c:formatCode>
                <c:ptCount val="8"/>
                <c:pt idx="4" formatCode="#,##0">
                  <c:v>59007.32336467336</c:v>
                </c:pt>
                <c:pt idx="5" formatCode="#,##0">
                  <c:v>62187.47336467336</c:v>
                </c:pt>
                <c:pt idx="6" formatCode="#,##0">
                  <c:v>98187.43736467336</c:v>
                </c:pt>
                <c:pt idx="7" formatCode="#,##0">
                  <c:v>133995.5933646734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46856"/>
        <c:axId val="-2085248184"/>
      </c:lineChart>
      <c:catAx>
        <c:axId val="-208524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248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248184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251691077475419"/>
              <c:y val="0.08987858225038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24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5"/>
        <c:delete val="1"/>
      </c:legendEntry>
      <c:legendEntry>
        <c:idx val="17"/>
        <c:delete val="1"/>
      </c:legendEntry>
      <c:legendEntry>
        <c:idx val="19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0276338514680484"/>
          <c:y val="0.794038367155325"/>
          <c:w val="0.956371697061183"/>
          <c:h val="0.20596163284467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Income!$B$72:$E$72</c:f>
              <c:numCache>
                <c:formatCode>#,##0</c:formatCode>
                <c:ptCount val="4"/>
                <c:pt idx="0">
                  <c:v>1200.529423967038</c:v>
                </c:pt>
                <c:pt idx="1">
                  <c:v>2791.871137228448</c:v>
                </c:pt>
                <c:pt idx="2">
                  <c:v>3104.472928176795</c:v>
                </c:pt>
                <c:pt idx="3">
                  <c:v>4088.247513812153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447.9999999999999</c:v>
                </c:pt>
                <c:pt idx="2">
                  <c:v>3768.576</c:v>
                </c:pt>
                <c:pt idx="3">
                  <c:v>11020.8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59.4132466837369</c:v>
                </c:pt>
                <c:pt idx="2">
                  <c:v>352.4764017614951</c:v>
                </c:pt>
                <c:pt idx="3">
                  <c:v>507.0180155785586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4175.92</c:v>
                </c:pt>
                <c:pt idx="2">
                  <c:v>11558.4</c:v>
                </c:pt>
                <c:pt idx="3">
                  <c:v>13171.2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8489.599999999999</c:v>
                </c:pt>
                <c:pt idx="1">
                  <c:v>14808.87513812155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1344</c:v>
                </c:pt>
                <c:pt idx="2">
                  <c:v>169343.9999999999</c:v>
                </c:pt>
                <c:pt idx="3">
                  <c:v>225792.0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628.3199999999999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Income!$B$81:$E$81</c:f>
              <c:numCache>
                <c:formatCode>#,##0</c:formatCode>
                <c:ptCount val="4"/>
                <c:pt idx="0">
                  <c:v>2567.04</c:v>
                </c:pt>
                <c:pt idx="1">
                  <c:v>7044.8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2150.4</c:v>
                </c:pt>
                <c:pt idx="2">
                  <c:v>41932.79999999999</c:v>
                </c:pt>
                <c:pt idx="3">
                  <c:v>106444.8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Income!$B$83:$E$83</c:f>
              <c:numCache>
                <c:formatCode>#,##0</c:formatCode>
                <c:ptCount val="4"/>
                <c:pt idx="0">
                  <c:v>0.0</c:v>
                </c:pt>
                <c:pt idx="1">
                  <c:v>61.25966850828729</c:v>
                </c:pt>
                <c:pt idx="2">
                  <c:v>73.51160220994474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Income!$B$84:$E$84</c:f>
              <c:numCache>
                <c:formatCode>#,##0</c:formatCode>
                <c:ptCount val="4"/>
                <c:pt idx="0">
                  <c:v>171.5251564110725</c:v>
                </c:pt>
                <c:pt idx="1">
                  <c:v>67.19904229393406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Income!$B$85:$E$85</c:f>
              <c:numCache>
                <c:formatCode>#,##0</c:formatCode>
                <c:ptCount val="4"/>
                <c:pt idx="0">
                  <c:v>18197.81764705882</c:v>
                </c:pt>
                <c:pt idx="1">
                  <c:v>18197.81764705882</c:v>
                </c:pt>
                <c:pt idx="2">
                  <c:v>8854.44</c:v>
                </c:pt>
                <c:pt idx="3">
                  <c:v>8854.44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168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374568"/>
        <c:axId val="2117377912"/>
      </c:barChart>
      <c:lineChart>
        <c:grouping val="standard"/>
        <c:varyColors val="0"/>
        <c:ser>
          <c:idx val="13"/>
          <c:order val="14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21925.55336467335</c:v>
                </c:pt>
                <c:pt idx="1">
                  <c:v>21925.55336467335</c:v>
                </c:pt>
                <c:pt idx="2">
                  <c:v>21925.55336467335</c:v>
                </c:pt>
                <c:pt idx="3">
                  <c:v>21925.55336467335</c:v>
                </c:pt>
              </c:numCache>
            </c:numRef>
          </c:val>
          <c:smooth val="0"/>
        </c:ser>
        <c:ser>
          <c:idx val="14"/>
          <c:order val="15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35197.14682714796</c:v>
                </c:pt>
                <c:pt idx="1">
                  <c:v>35197.14682714796</c:v>
                </c:pt>
                <c:pt idx="2">
                  <c:v>35197.14682714796</c:v>
                </c:pt>
                <c:pt idx="3">
                  <c:v>35197.14682714796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74568"/>
        <c:axId val="2117377912"/>
      </c:lineChart>
      <c:catAx>
        <c:axId val="211737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37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37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374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99389162403579"/>
          <c:h val="0.89808917197452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1200.529423967038</c:v>
                </c:pt>
                <c:pt idx="1">
                  <c:v>1200.529423967038</c:v>
                </c:pt>
                <c:pt idx="2">
                  <c:v>1200.529423967038</c:v>
                </c:pt>
                <c:pt idx="3">
                  <c:v>1200.529423967038</c:v>
                </c:pt>
                <c:pt idx="4">
                  <c:v>1200.529423967038</c:v>
                </c:pt>
                <c:pt idx="5">
                  <c:v>1200.529423967038</c:v>
                </c:pt>
                <c:pt idx="6">
                  <c:v>1200.529423967038</c:v>
                </c:pt>
                <c:pt idx="7">
                  <c:v>1200.529423967038</c:v>
                </c:pt>
                <c:pt idx="8">
                  <c:v>1200.529423967038</c:v>
                </c:pt>
                <c:pt idx="9">
                  <c:v>1200.529423967038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8489.599999999999</c:v>
                </c:pt>
                <c:pt idx="1">
                  <c:v>8489.599999999999</c:v>
                </c:pt>
                <c:pt idx="2">
                  <c:v>8489.599999999999</c:v>
                </c:pt>
                <c:pt idx="3">
                  <c:v>8489.599999999999</c:v>
                </c:pt>
                <c:pt idx="4">
                  <c:v>8489.599999999999</c:v>
                </c:pt>
                <c:pt idx="5">
                  <c:v>8489.599999999999</c:v>
                </c:pt>
                <c:pt idx="6">
                  <c:v>8489.599999999999</c:v>
                </c:pt>
                <c:pt idx="7">
                  <c:v>8489.599999999999</c:v>
                </c:pt>
                <c:pt idx="8">
                  <c:v>8489.599999999999</c:v>
                </c:pt>
                <c:pt idx="9">
                  <c:v>8489.599999999999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2567.04</c:v>
                </c:pt>
                <c:pt idx="1">
                  <c:v>2567.04</c:v>
                </c:pt>
                <c:pt idx="2">
                  <c:v>2567.04</c:v>
                </c:pt>
                <c:pt idx="3">
                  <c:v>2567.04</c:v>
                </c:pt>
                <c:pt idx="4">
                  <c:v>2567.04</c:v>
                </c:pt>
                <c:pt idx="5">
                  <c:v>2567.04</c:v>
                </c:pt>
                <c:pt idx="6">
                  <c:v>2567.04</c:v>
                </c:pt>
                <c:pt idx="7">
                  <c:v>2567.04</c:v>
                </c:pt>
                <c:pt idx="8">
                  <c:v>2567.04</c:v>
                </c:pt>
                <c:pt idx="9">
                  <c:v>2567.04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267912"/>
        <c:axId val="211727125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21925.55336467335</c:v>
                </c:pt>
                <c:pt idx="1">
                  <c:v>21925.55336467335</c:v>
                </c:pt>
                <c:pt idx="2">
                  <c:v>21925.55336467335</c:v>
                </c:pt>
                <c:pt idx="3">
                  <c:v>21925.55336467335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35197.14682714796</c:v>
                </c:pt>
                <c:pt idx="1">
                  <c:v>35197.14682714796</c:v>
                </c:pt>
                <c:pt idx="2">
                  <c:v>35197.14682714796</c:v>
                </c:pt>
                <c:pt idx="3">
                  <c:v>35197.14682714796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67912"/>
        <c:axId val="2117271256"/>
      </c:lineChart>
      <c:catAx>
        <c:axId val="21172679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271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271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267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Poor!$A$57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0.278276903689435</c:v>
                </c:pt>
                <c:pt idx="1">
                  <c:v>0.317235670205956</c:v>
                </c:pt>
                <c:pt idx="2">
                  <c:v>0.317235670205956</c:v>
                </c:pt>
              </c:numCache>
            </c:numRef>
          </c:val>
        </c:ser>
        <c:ser>
          <c:idx val="2"/>
          <c:order val="1"/>
          <c:tx>
            <c:strRef>
              <c:f>Poor!$A$61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Poor!$K$61:$M$61</c:f>
              <c:numCache>
                <c:formatCode>0%</c:formatCode>
                <c:ptCount val="3"/>
                <c:pt idx="0">
                  <c:v>0.0435828348257294</c:v>
                </c:pt>
                <c:pt idx="1">
                  <c:v>0.0464302422007203</c:v>
                </c:pt>
                <c:pt idx="2">
                  <c:v>0.0514484530255189</c:v>
                </c:pt>
              </c:numCache>
            </c:numRef>
          </c:val>
        </c:ser>
        <c:ser>
          <c:idx val="1"/>
          <c:order val="2"/>
          <c:tx>
            <c:strRef>
              <c:f>Poor!$A$60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Poor!$K$60:$M$60</c:f>
              <c:numCache>
                <c:formatCode>0%</c:formatCode>
                <c:ptCount val="3"/>
                <c:pt idx="0">
                  <c:v>0.0686429648505238</c:v>
                </c:pt>
                <c:pt idx="1">
                  <c:v>0.0731276314661345</c:v>
                </c:pt>
                <c:pt idx="2">
                  <c:v>0.0761936909840814</c:v>
                </c:pt>
              </c:numCache>
            </c:numRef>
          </c:val>
        </c:ser>
        <c:ser>
          <c:idx val="3"/>
          <c:order val="3"/>
          <c:tx>
            <c:strRef>
              <c:f>Poor!$A$62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Poor!$K$62:$M$62</c:f>
              <c:numCache>
                <c:formatCode>0%</c:formatCode>
                <c:ptCount val="3"/>
                <c:pt idx="0">
                  <c:v>0.609497296634312</c:v>
                </c:pt>
                <c:pt idx="1">
                  <c:v>0.649317723745423</c:v>
                </c:pt>
                <c:pt idx="2">
                  <c:v>0.640537241480351</c:v>
                </c:pt>
              </c:numCache>
            </c:numRef>
          </c:val>
        </c:ser>
        <c:ser>
          <c:idx val="4"/>
          <c:order val="4"/>
          <c:tx>
            <c:strRef>
              <c:f>Poor!$A$64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Poor!$K$64:$M$64</c:f>
              <c:numCache>
                <c:formatCode>0%</c:formatCode>
                <c:ptCount val="3"/>
                <c:pt idx="1">
                  <c:v>-0.00306605951794701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198392"/>
        <c:axId val="2117201816"/>
      </c:barChart>
      <c:catAx>
        <c:axId val="211719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201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201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198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Middle!$A$57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0.0728915360635925</c:v>
                </c:pt>
                <c:pt idx="1">
                  <c:v>0.0830963511124954</c:v>
                </c:pt>
                <c:pt idx="2">
                  <c:v>0.0830963511124954</c:v>
                </c:pt>
              </c:numCache>
            </c:numRef>
          </c:val>
        </c:ser>
        <c:ser>
          <c:idx val="2"/>
          <c:order val="1"/>
          <c:tx>
            <c:strRef>
              <c:f>Middle!$A$61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Middle!$K$61:$M$61</c:f>
              <c:numCache>
                <c:formatCode>0%</c:formatCode>
                <c:ptCount val="3"/>
                <c:pt idx="0">
                  <c:v>0.0154163820393283</c:v>
                </c:pt>
                <c:pt idx="1">
                  <c:v>0.0163998941001205</c:v>
                </c:pt>
                <c:pt idx="2">
                  <c:v>0.0173227244934038</c:v>
                </c:pt>
              </c:numCache>
            </c:numRef>
          </c:val>
        </c:ser>
        <c:ser>
          <c:idx val="1"/>
          <c:order val="2"/>
          <c:tx>
            <c:strRef>
              <c:f>Middle!$A$60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Middle!$K$60:$M$60</c:f>
              <c:numCache>
                <c:formatCode>0%</c:formatCode>
                <c:ptCount val="3"/>
                <c:pt idx="0">
                  <c:v>0.172250893126617</c:v>
                </c:pt>
                <c:pt idx="1">
                  <c:v>0.183239906660406</c:v>
                </c:pt>
                <c:pt idx="2">
                  <c:v>0.191198491370545</c:v>
                </c:pt>
              </c:numCache>
            </c:numRef>
          </c:val>
        </c:ser>
        <c:ser>
          <c:idx val="3"/>
          <c:order val="3"/>
          <c:tx>
            <c:strRef>
              <c:f>Middle!$A$62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Middle!$K$62:$M$62</c:f>
              <c:numCache>
                <c:formatCode>0%</c:formatCode>
                <c:ptCount val="3"/>
                <c:pt idx="0">
                  <c:v>0.739441188770462</c:v>
                </c:pt>
                <c:pt idx="1">
                  <c:v>0.786614989052975</c:v>
                </c:pt>
                <c:pt idx="2">
                  <c:v>0.777704195627583</c:v>
                </c:pt>
              </c:numCache>
            </c:numRef>
          </c:val>
        </c:ser>
        <c:ser>
          <c:idx val="4"/>
          <c:order val="4"/>
          <c:tx>
            <c:strRef>
              <c:f>Middle!$A$64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25400">
              <a:noFill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Middle!$K$64:$M$64</c:f>
              <c:numCache>
                <c:formatCode>0%</c:formatCode>
                <c:ptCount val="3"/>
                <c:pt idx="1">
                  <c:v>-0.00795858471013885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149736"/>
        <c:axId val="2117153160"/>
      </c:barChart>
      <c:catAx>
        <c:axId val="211714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153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153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149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0949554896142433"/>
          <c:y val="0.80666719160105"/>
          <c:w val="0.955489847893642"/>
          <c:h val="0.9200005249343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Rich!$A$57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0.0469852135647755</c:v>
                </c:pt>
                <c:pt idx="1">
                  <c:v>0.0535631434638441</c:v>
                </c:pt>
                <c:pt idx="2">
                  <c:v>0.0535631434638441</c:v>
                </c:pt>
              </c:numCache>
            </c:numRef>
          </c:val>
        </c:ser>
        <c:ser>
          <c:idx val="2"/>
          <c:order val="1"/>
          <c:tx>
            <c:strRef>
              <c:f>Rich!$A$61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Rich!$K$61:$M$61</c:f>
              <c:numCache>
                <c:formatCode>0%</c:formatCode>
                <c:ptCount val="3"/>
                <c:pt idx="0">
                  <c:v>0.00993725803613299</c:v>
                </c:pt>
                <c:pt idx="1">
                  <c:v>0.0105500597417977</c:v>
                </c:pt>
                <c:pt idx="2">
                  <c:v>0.0111793207980009</c:v>
                </c:pt>
              </c:numCache>
            </c:numRef>
          </c:val>
        </c:ser>
        <c:ser>
          <c:idx val="1"/>
          <c:order val="2"/>
          <c:tx>
            <c:strRef>
              <c:f>Rich!$A$60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Rich!$K$60:$M$60</c:f>
              <c:numCache>
                <c:formatCode>0%</c:formatCode>
                <c:ptCount val="3"/>
                <c:pt idx="0">
                  <c:v>0.209942947286604</c:v>
                </c:pt>
                <c:pt idx="1">
                  <c:v>0.222889516221586</c:v>
                </c:pt>
                <c:pt idx="2">
                  <c:v>0.233036671488131</c:v>
                </c:pt>
              </c:numCache>
            </c:numRef>
          </c:val>
        </c:ser>
        <c:ser>
          <c:idx val="3"/>
          <c:order val="3"/>
          <c:tx>
            <c:strRef>
              <c:f>Rich!$A$62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Rich!$K$62:$M$62</c:f>
              <c:numCache>
                <c:formatCode>0%</c:formatCode>
                <c:ptCount val="3"/>
                <c:pt idx="0">
                  <c:v>0.733134581112487</c:v>
                </c:pt>
                <c:pt idx="1">
                  <c:v>0.778344851405751</c:v>
                </c:pt>
                <c:pt idx="2">
                  <c:v>0.657013824526995</c:v>
                </c:pt>
              </c:numCache>
            </c:numRef>
          </c:val>
        </c:ser>
        <c:ser>
          <c:idx val="4"/>
          <c:order val="4"/>
          <c:tx>
            <c:strRef>
              <c:f>Rich!$A$64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Rich!$K$64:$M$64</c:f>
              <c:numCache>
                <c:formatCode>0%</c:formatCode>
                <c:ptCount val="3"/>
                <c:pt idx="1">
                  <c:v>-0.120729985182311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090600"/>
        <c:axId val="2117094024"/>
      </c:barChart>
      <c:catAx>
        <c:axId val="211709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094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094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090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V.Poor!$A$57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0.586676781025837</c:v>
                </c:pt>
                <c:pt idx="1">
                  <c:v>0.668811530369454</c:v>
                </c:pt>
                <c:pt idx="2">
                  <c:v>0.668811530369454</c:v>
                </c:pt>
              </c:numCache>
            </c:numRef>
          </c:val>
        </c:ser>
        <c:ser>
          <c:idx val="2"/>
          <c:order val="1"/>
          <c:tx>
            <c:strRef>
              <c:f>V.Poor!$A$61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V.Poor!$K$61:$M$61</c:f>
              <c:numCache>
                <c:formatCode>0%</c:formatCode>
                <c:ptCount val="3"/>
                <c:pt idx="0">
                  <c:v>0.183766866057094</c:v>
                </c:pt>
                <c:pt idx="1">
                  <c:v>0.192875387610941</c:v>
                </c:pt>
                <c:pt idx="2">
                  <c:v>0.208304530062413</c:v>
                </c:pt>
              </c:numCache>
            </c:numRef>
          </c:val>
        </c:ser>
        <c:ser>
          <c:idx val="1"/>
          <c:order val="2"/>
          <c:tx>
            <c:strRef>
              <c:f>V.Poor!$A$60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V.Poor!$K$60:$M$60</c:f>
              <c:numCache>
                <c:formatCode>0%</c:formatCode>
                <c:ptCount val="3"/>
                <c:pt idx="0">
                  <c:v>0.0350305588421336</c:v>
                </c:pt>
                <c:pt idx="1">
                  <c:v>0.0367668707633356</c:v>
                </c:pt>
                <c:pt idx="2">
                  <c:v>0.0388839203147683</c:v>
                </c:pt>
              </c:numCache>
            </c:numRef>
          </c:val>
        </c:ser>
        <c:ser>
          <c:idx val="3"/>
          <c:order val="3"/>
          <c:tx>
            <c:strRef>
              <c:f>V.Poor!$A$62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V.Poor!$K$62:$M$62</c:f>
              <c:numCache>
                <c:formatCode>0%</c:formatCode>
                <c:ptCount val="3"/>
                <c:pt idx="0">
                  <c:v>0.194525794074935</c:v>
                </c:pt>
                <c:pt idx="1">
                  <c:v>0.204167588736439</c:v>
                </c:pt>
                <c:pt idx="2">
                  <c:v>0.18556730100421</c:v>
                </c:pt>
              </c:numCache>
            </c:numRef>
          </c:val>
        </c:ser>
        <c:ser>
          <c:idx val="4"/>
          <c:order val="4"/>
          <c:tx>
            <c:strRef>
              <c:f>V.Poor!$A$64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V.Poor!$K$64:$M$64</c:f>
              <c:numCache>
                <c:formatCode>0%</c:formatCode>
                <c:ptCount val="3"/>
                <c:pt idx="1">
                  <c:v>-0.00211704955143265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2479976"/>
        <c:axId val="-2002476552"/>
      </c:barChart>
      <c:catAx>
        <c:axId val="-200247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47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47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479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61300712496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0.0400498132004981</c:v>
                </c:pt>
                <c:pt idx="1">
                  <c:v>0.0400498132004981</c:v>
                </c:pt>
                <c:pt idx="2" formatCode="0.0%">
                  <c:v>0.0400498132004981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0.0094502801992528</c:v>
                </c:pt>
                <c:pt idx="2" formatCode="0.0%">
                  <c:v>0.0094502801992528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0.378532602739726</c:v>
                </c:pt>
                <c:pt idx="2" formatCode="0.0%">
                  <c:v>0.376975042570491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0.0574446687422167</c:v>
                </c:pt>
                <c:pt idx="2" formatCode="0.0%">
                  <c:v>0.0574583054389463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CD5B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E46C0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604A7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0.103322420921544</c:v>
                </c:pt>
                <c:pt idx="1">
                  <c:v>0.103322420921544</c:v>
                </c:pt>
                <c:pt idx="2" formatCode="0.0%">
                  <c:v>0.10353499295134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0.0103448558952094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0.201969073972603</c:v>
                </c:pt>
                <c:pt idx="1">
                  <c:v>0.201969073972603</c:v>
                </c:pt>
                <c:pt idx="2" formatCode="0.0%">
                  <c:v>0.20161473596732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0.509767666251557</c:v>
                </c:pt>
                <c:pt idx="1">
                  <c:v>0.484186684893274</c:v>
                </c:pt>
                <c:pt idx="2" formatCode="0.0%">
                  <c:v>0.511432116242696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66722952"/>
        <c:axId val="-1966719976"/>
      </c:barChart>
      <c:catAx>
        <c:axId val="-196672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6671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6671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6672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29673590504451"/>
          <c:y val="0.808889413823272"/>
          <c:w val="0.949555129792752"/>
          <c:h val="0.1866668416447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1200.529423967038</c:v>
                </c:pt>
                <c:pt idx="1">
                  <c:v>1200.529423967038</c:v>
                </c:pt>
                <c:pt idx="2">
                  <c:v>1200.529423967038</c:v>
                </c:pt>
                <c:pt idx="3">
                  <c:v>1200.529423967038</c:v>
                </c:pt>
                <c:pt idx="4">
                  <c:v>1200.529423967038</c:v>
                </c:pt>
                <c:pt idx="5">
                  <c:v>1200.529423967038</c:v>
                </c:pt>
                <c:pt idx="6">
                  <c:v>1200.529423967038</c:v>
                </c:pt>
                <c:pt idx="7">
                  <c:v>1200.529423967038</c:v>
                </c:pt>
                <c:pt idx="8">
                  <c:v>1200.529423967038</c:v>
                </c:pt>
                <c:pt idx="9">
                  <c:v>1200.529423967038</c:v>
                </c:pt>
                <c:pt idx="10">
                  <c:v>1200.529423967038</c:v>
                </c:pt>
                <c:pt idx="11">
                  <c:v>1200.529423967038</c:v>
                </c:pt>
                <c:pt idx="12">
                  <c:v>1200.529423967038</c:v>
                </c:pt>
                <c:pt idx="13">
                  <c:v>1200.529423967038</c:v>
                </c:pt>
                <c:pt idx="14">
                  <c:v>1200.529423967038</c:v>
                </c:pt>
                <c:pt idx="15">
                  <c:v>1200.529423967038</c:v>
                </c:pt>
                <c:pt idx="16">
                  <c:v>1200.529423967038</c:v>
                </c:pt>
                <c:pt idx="17">
                  <c:v>1200.529423967038</c:v>
                </c:pt>
                <c:pt idx="18">
                  <c:v>1200.529423967038</c:v>
                </c:pt>
                <c:pt idx="19">
                  <c:v>1200.529423967038</c:v>
                </c:pt>
                <c:pt idx="20">
                  <c:v>1200.529423967038</c:v>
                </c:pt>
                <c:pt idx="21">
                  <c:v>1200.529423967038</c:v>
                </c:pt>
                <c:pt idx="22">
                  <c:v>1200.529423967038</c:v>
                </c:pt>
                <c:pt idx="23">
                  <c:v>1200.529423967038</c:v>
                </c:pt>
                <c:pt idx="24">
                  <c:v>1200.529423967038</c:v>
                </c:pt>
                <c:pt idx="25">
                  <c:v>2791.871137228448</c:v>
                </c:pt>
                <c:pt idx="26">
                  <c:v>2791.871137228448</c:v>
                </c:pt>
                <c:pt idx="27">
                  <c:v>2791.871137228448</c:v>
                </c:pt>
                <c:pt idx="28">
                  <c:v>2791.871137228448</c:v>
                </c:pt>
                <c:pt idx="29">
                  <c:v>2791.871137228448</c:v>
                </c:pt>
                <c:pt idx="30">
                  <c:v>2791.871137228448</c:v>
                </c:pt>
                <c:pt idx="31">
                  <c:v>2791.871137228448</c:v>
                </c:pt>
                <c:pt idx="32">
                  <c:v>2791.871137228448</c:v>
                </c:pt>
                <c:pt idx="33">
                  <c:v>2791.871137228448</c:v>
                </c:pt>
                <c:pt idx="34">
                  <c:v>2791.871137228448</c:v>
                </c:pt>
                <c:pt idx="35">
                  <c:v>2791.871137228448</c:v>
                </c:pt>
                <c:pt idx="36">
                  <c:v>2791.871137228448</c:v>
                </c:pt>
                <c:pt idx="37">
                  <c:v>2791.871137228448</c:v>
                </c:pt>
                <c:pt idx="38">
                  <c:v>2791.871137228448</c:v>
                </c:pt>
                <c:pt idx="39">
                  <c:v>2791.871137228448</c:v>
                </c:pt>
                <c:pt idx="40">
                  <c:v>2791.871137228448</c:v>
                </c:pt>
                <c:pt idx="41">
                  <c:v>2791.871137228448</c:v>
                </c:pt>
                <c:pt idx="42">
                  <c:v>2791.871137228448</c:v>
                </c:pt>
                <c:pt idx="43">
                  <c:v>2791.871137228448</c:v>
                </c:pt>
                <c:pt idx="44">
                  <c:v>2791.871137228448</c:v>
                </c:pt>
                <c:pt idx="45">
                  <c:v>2791.871137228448</c:v>
                </c:pt>
                <c:pt idx="46">
                  <c:v>2791.871137228448</c:v>
                </c:pt>
                <c:pt idx="47">
                  <c:v>2791.871137228448</c:v>
                </c:pt>
                <c:pt idx="48">
                  <c:v>2791.871137228448</c:v>
                </c:pt>
                <c:pt idx="49">
                  <c:v>2791.871137228448</c:v>
                </c:pt>
                <c:pt idx="50">
                  <c:v>2791.871137228448</c:v>
                </c:pt>
                <c:pt idx="51">
                  <c:v>2791.871137228448</c:v>
                </c:pt>
                <c:pt idx="52">
                  <c:v>2791.871137228448</c:v>
                </c:pt>
                <c:pt idx="53">
                  <c:v>2791.871137228448</c:v>
                </c:pt>
                <c:pt idx="54">
                  <c:v>2791.871137228448</c:v>
                </c:pt>
                <c:pt idx="55">
                  <c:v>2791.871137228448</c:v>
                </c:pt>
                <c:pt idx="56">
                  <c:v>2791.871137228448</c:v>
                </c:pt>
                <c:pt idx="57">
                  <c:v>2791.871137228448</c:v>
                </c:pt>
                <c:pt idx="58">
                  <c:v>2791.871137228448</c:v>
                </c:pt>
                <c:pt idx="59">
                  <c:v>2791.871137228448</c:v>
                </c:pt>
                <c:pt idx="60">
                  <c:v>2791.871137228448</c:v>
                </c:pt>
                <c:pt idx="61">
                  <c:v>2791.871137228448</c:v>
                </c:pt>
                <c:pt idx="62">
                  <c:v>2791.871137228448</c:v>
                </c:pt>
                <c:pt idx="63">
                  <c:v>2791.871137228448</c:v>
                </c:pt>
                <c:pt idx="64">
                  <c:v>2791.871137228448</c:v>
                </c:pt>
                <c:pt idx="65">
                  <c:v>2791.871137228448</c:v>
                </c:pt>
                <c:pt idx="66">
                  <c:v>2791.871137228448</c:v>
                </c:pt>
                <c:pt idx="67">
                  <c:v>2791.871137228448</c:v>
                </c:pt>
                <c:pt idx="68">
                  <c:v>3104.472928176795</c:v>
                </c:pt>
                <c:pt idx="69">
                  <c:v>3104.472928176795</c:v>
                </c:pt>
                <c:pt idx="70">
                  <c:v>3104.472928176795</c:v>
                </c:pt>
                <c:pt idx="71">
                  <c:v>3104.472928176795</c:v>
                </c:pt>
                <c:pt idx="72">
                  <c:v>3104.472928176795</c:v>
                </c:pt>
                <c:pt idx="73">
                  <c:v>3104.472928176795</c:v>
                </c:pt>
                <c:pt idx="74">
                  <c:v>3104.472928176795</c:v>
                </c:pt>
                <c:pt idx="75">
                  <c:v>3104.472928176795</c:v>
                </c:pt>
                <c:pt idx="76">
                  <c:v>3104.472928176795</c:v>
                </c:pt>
                <c:pt idx="77">
                  <c:v>3104.472928176795</c:v>
                </c:pt>
                <c:pt idx="78">
                  <c:v>3104.472928176795</c:v>
                </c:pt>
                <c:pt idx="79">
                  <c:v>3104.472928176795</c:v>
                </c:pt>
                <c:pt idx="80">
                  <c:v>3104.472928176795</c:v>
                </c:pt>
                <c:pt idx="81">
                  <c:v>3104.472928176795</c:v>
                </c:pt>
                <c:pt idx="82">
                  <c:v>3104.472928176795</c:v>
                </c:pt>
                <c:pt idx="83">
                  <c:v>3104.472928176795</c:v>
                </c:pt>
                <c:pt idx="84">
                  <c:v>3104.472928176795</c:v>
                </c:pt>
                <c:pt idx="85">
                  <c:v>3104.472928176795</c:v>
                </c:pt>
                <c:pt idx="86">
                  <c:v>3104.472928176795</c:v>
                </c:pt>
                <c:pt idx="87">
                  <c:v>3104.472928176795</c:v>
                </c:pt>
                <c:pt idx="88">
                  <c:v>3104.472928176795</c:v>
                </c:pt>
                <c:pt idx="89">
                  <c:v>3104.472928176795</c:v>
                </c:pt>
                <c:pt idx="90">
                  <c:v>3104.472928176795</c:v>
                </c:pt>
                <c:pt idx="91">
                  <c:v>4088.247513812153</c:v>
                </c:pt>
                <c:pt idx="92">
                  <c:v>4088.247513812153</c:v>
                </c:pt>
                <c:pt idx="93">
                  <c:v>4088.247513812153</c:v>
                </c:pt>
                <c:pt idx="94">
                  <c:v>4088.247513812153</c:v>
                </c:pt>
                <c:pt idx="95">
                  <c:v>4088.247513812153</c:v>
                </c:pt>
                <c:pt idx="96">
                  <c:v>4088.247513812153</c:v>
                </c:pt>
                <c:pt idx="97">
                  <c:v>4088.247513812153</c:v>
                </c:pt>
                <c:pt idx="98">
                  <c:v>4088.247513812153</c:v>
                </c:pt>
                <c:pt idx="99">
                  <c:v>4088.247513812153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447.9999999999999</c:v>
                </c:pt>
                <c:pt idx="26">
                  <c:v>447.9999999999999</c:v>
                </c:pt>
                <c:pt idx="27">
                  <c:v>447.9999999999999</c:v>
                </c:pt>
                <c:pt idx="28">
                  <c:v>447.9999999999999</c:v>
                </c:pt>
                <c:pt idx="29">
                  <c:v>447.9999999999999</c:v>
                </c:pt>
                <c:pt idx="30">
                  <c:v>447.9999999999999</c:v>
                </c:pt>
                <c:pt idx="31">
                  <c:v>447.9999999999999</c:v>
                </c:pt>
                <c:pt idx="32">
                  <c:v>447.9999999999999</c:v>
                </c:pt>
                <c:pt idx="33">
                  <c:v>447.9999999999999</c:v>
                </c:pt>
                <c:pt idx="34">
                  <c:v>447.9999999999999</c:v>
                </c:pt>
                <c:pt idx="35">
                  <c:v>447.9999999999999</c:v>
                </c:pt>
                <c:pt idx="36">
                  <c:v>447.9999999999999</c:v>
                </c:pt>
                <c:pt idx="37">
                  <c:v>447.9999999999999</c:v>
                </c:pt>
                <c:pt idx="38">
                  <c:v>447.9999999999999</c:v>
                </c:pt>
                <c:pt idx="39">
                  <c:v>447.9999999999999</c:v>
                </c:pt>
                <c:pt idx="40">
                  <c:v>447.9999999999999</c:v>
                </c:pt>
                <c:pt idx="41">
                  <c:v>447.9999999999999</c:v>
                </c:pt>
                <c:pt idx="42">
                  <c:v>447.9999999999999</c:v>
                </c:pt>
                <c:pt idx="43">
                  <c:v>447.9999999999999</c:v>
                </c:pt>
                <c:pt idx="44">
                  <c:v>447.9999999999999</c:v>
                </c:pt>
                <c:pt idx="45">
                  <c:v>447.9999999999999</c:v>
                </c:pt>
                <c:pt idx="46">
                  <c:v>447.9999999999999</c:v>
                </c:pt>
                <c:pt idx="47">
                  <c:v>447.9999999999999</c:v>
                </c:pt>
                <c:pt idx="48">
                  <c:v>447.9999999999999</c:v>
                </c:pt>
                <c:pt idx="49">
                  <c:v>447.9999999999999</c:v>
                </c:pt>
                <c:pt idx="50">
                  <c:v>447.9999999999999</c:v>
                </c:pt>
                <c:pt idx="51">
                  <c:v>447.9999999999999</c:v>
                </c:pt>
                <c:pt idx="52">
                  <c:v>447.9999999999999</c:v>
                </c:pt>
                <c:pt idx="53">
                  <c:v>447.9999999999999</c:v>
                </c:pt>
                <c:pt idx="54">
                  <c:v>447.9999999999999</c:v>
                </c:pt>
                <c:pt idx="55">
                  <c:v>447.9999999999999</c:v>
                </c:pt>
                <c:pt idx="56">
                  <c:v>447.9999999999999</c:v>
                </c:pt>
                <c:pt idx="57">
                  <c:v>447.9999999999999</c:v>
                </c:pt>
                <c:pt idx="58">
                  <c:v>447.9999999999999</c:v>
                </c:pt>
                <c:pt idx="59">
                  <c:v>447.9999999999999</c:v>
                </c:pt>
                <c:pt idx="60">
                  <c:v>447.9999999999999</c:v>
                </c:pt>
                <c:pt idx="61">
                  <c:v>447.9999999999999</c:v>
                </c:pt>
                <c:pt idx="62">
                  <c:v>447.9999999999999</c:v>
                </c:pt>
                <c:pt idx="63">
                  <c:v>447.9999999999999</c:v>
                </c:pt>
                <c:pt idx="64">
                  <c:v>447.9999999999999</c:v>
                </c:pt>
                <c:pt idx="65">
                  <c:v>447.9999999999999</c:v>
                </c:pt>
                <c:pt idx="66">
                  <c:v>447.9999999999999</c:v>
                </c:pt>
                <c:pt idx="67">
                  <c:v>447.9999999999999</c:v>
                </c:pt>
                <c:pt idx="68">
                  <c:v>3768.576</c:v>
                </c:pt>
                <c:pt idx="69">
                  <c:v>3768.576</c:v>
                </c:pt>
                <c:pt idx="70">
                  <c:v>3768.576</c:v>
                </c:pt>
                <c:pt idx="71">
                  <c:v>3768.576</c:v>
                </c:pt>
                <c:pt idx="72">
                  <c:v>3768.576</c:v>
                </c:pt>
                <c:pt idx="73">
                  <c:v>3768.576</c:v>
                </c:pt>
                <c:pt idx="74">
                  <c:v>3768.576</c:v>
                </c:pt>
                <c:pt idx="75">
                  <c:v>3768.576</c:v>
                </c:pt>
                <c:pt idx="76">
                  <c:v>3768.576</c:v>
                </c:pt>
                <c:pt idx="77">
                  <c:v>3768.576</c:v>
                </c:pt>
                <c:pt idx="78">
                  <c:v>3768.576</c:v>
                </c:pt>
                <c:pt idx="79">
                  <c:v>3768.576</c:v>
                </c:pt>
                <c:pt idx="80">
                  <c:v>3768.576</c:v>
                </c:pt>
                <c:pt idx="81">
                  <c:v>3768.576</c:v>
                </c:pt>
                <c:pt idx="82">
                  <c:v>3768.576</c:v>
                </c:pt>
                <c:pt idx="83">
                  <c:v>3768.576</c:v>
                </c:pt>
                <c:pt idx="84">
                  <c:v>3768.576</c:v>
                </c:pt>
                <c:pt idx="85">
                  <c:v>3768.576</c:v>
                </c:pt>
                <c:pt idx="86">
                  <c:v>3768.576</c:v>
                </c:pt>
                <c:pt idx="87">
                  <c:v>3768.576</c:v>
                </c:pt>
                <c:pt idx="88">
                  <c:v>3768.576</c:v>
                </c:pt>
                <c:pt idx="89">
                  <c:v>3768.576</c:v>
                </c:pt>
                <c:pt idx="90">
                  <c:v>3768.576</c:v>
                </c:pt>
                <c:pt idx="91">
                  <c:v>11020.8</c:v>
                </c:pt>
                <c:pt idx="92">
                  <c:v>11020.8</c:v>
                </c:pt>
                <c:pt idx="93">
                  <c:v>11020.8</c:v>
                </c:pt>
                <c:pt idx="94">
                  <c:v>11020.8</c:v>
                </c:pt>
                <c:pt idx="95">
                  <c:v>11020.8</c:v>
                </c:pt>
                <c:pt idx="96">
                  <c:v>11020.8</c:v>
                </c:pt>
                <c:pt idx="97">
                  <c:v>11020.8</c:v>
                </c:pt>
                <c:pt idx="98">
                  <c:v>11020.8</c:v>
                </c:pt>
                <c:pt idx="99">
                  <c:v>11020.8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59.4132466837369</c:v>
                </c:pt>
                <c:pt idx="26">
                  <c:v>59.4132466837369</c:v>
                </c:pt>
                <c:pt idx="27">
                  <c:v>59.4132466837369</c:v>
                </c:pt>
                <c:pt idx="28">
                  <c:v>59.4132466837369</c:v>
                </c:pt>
                <c:pt idx="29">
                  <c:v>59.4132466837369</c:v>
                </c:pt>
                <c:pt idx="30">
                  <c:v>59.4132466837369</c:v>
                </c:pt>
                <c:pt idx="31">
                  <c:v>59.4132466837369</c:v>
                </c:pt>
                <c:pt idx="32">
                  <c:v>59.4132466837369</c:v>
                </c:pt>
                <c:pt idx="33">
                  <c:v>59.4132466837369</c:v>
                </c:pt>
                <c:pt idx="34">
                  <c:v>59.4132466837369</c:v>
                </c:pt>
                <c:pt idx="35">
                  <c:v>59.4132466837369</c:v>
                </c:pt>
                <c:pt idx="36">
                  <c:v>59.4132466837369</c:v>
                </c:pt>
                <c:pt idx="37">
                  <c:v>59.4132466837369</c:v>
                </c:pt>
                <c:pt idx="38">
                  <c:v>59.4132466837369</c:v>
                </c:pt>
                <c:pt idx="39">
                  <c:v>59.4132466837369</c:v>
                </c:pt>
                <c:pt idx="40">
                  <c:v>59.4132466837369</c:v>
                </c:pt>
                <c:pt idx="41">
                  <c:v>59.4132466837369</c:v>
                </c:pt>
                <c:pt idx="42">
                  <c:v>59.4132466837369</c:v>
                </c:pt>
                <c:pt idx="43">
                  <c:v>59.4132466837369</c:v>
                </c:pt>
                <c:pt idx="44">
                  <c:v>59.4132466837369</c:v>
                </c:pt>
                <c:pt idx="45">
                  <c:v>59.4132466837369</c:v>
                </c:pt>
                <c:pt idx="46">
                  <c:v>59.4132466837369</c:v>
                </c:pt>
                <c:pt idx="47">
                  <c:v>59.4132466837369</c:v>
                </c:pt>
                <c:pt idx="48">
                  <c:v>59.4132466837369</c:v>
                </c:pt>
                <c:pt idx="49">
                  <c:v>59.4132466837369</c:v>
                </c:pt>
                <c:pt idx="50">
                  <c:v>59.4132466837369</c:v>
                </c:pt>
                <c:pt idx="51">
                  <c:v>59.4132466837369</c:v>
                </c:pt>
                <c:pt idx="52">
                  <c:v>59.4132466837369</c:v>
                </c:pt>
                <c:pt idx="53">
                  <c:v>59.4132466837369</c:v>
                </c:pt>
                <c:pt idx="54">
                  <c:v>59.4132466837369</c:v>
                </c:pt>
                <c:pt idx="55">
                  <c:v>59.4132466837369</c:v>
                </c:pt>
                <c:pt idx="56">
                  <c:v>59.4132466837369</c:v>
                </c:pt>
                <c:pt idx="57">
                  <c:v>59.4132466837369</c:v>
                </c:pt>
                <c:pt idx="58">
                  <c:v>59.4132466837369</c:v>
                </c:pt>
                <c:pt idx="59">
                  <c:v>59.4132466837369</c:v>
                </c:pt>
                <c:pt idx="60">
                  <c:v>59.4132466837369</c:v>
                </c:pt>
                <c:pt idx="61">
                  <c:v>59.4132466837369</c:v>
                </c:pt>
                <c:pt idx="62">
                  <c:v>59.4132466837369</c:v>
                </c:pt>
                <c:pt idx="63">
                  <c:v>59.4132466837369</c:v>
                </c:pt>
                <c:pt idx="64">
                  <c:v>59.4132466837369</c:v>
                </c:pt>
                <c:pt idx="65">
                  <c:v>59.4132466837369</c:v>
                </c:pt>
                <c:pt idx="66">
                  <c:v>59.4132466837369</c:v>
                </c:pt>
                <c:pt idx="67">
                  <c:v>59.4132466837369</c:v>
                </c:pt>
                <c:pt idx="68">
                  <c:v>352.4764017614951</c:v>
                </c:pt>
                <c:pt idx="69">
                  <c:v>352.4764017614951</c:v>
                </c:pt>
                <c:pt idx="70">
                  <c:v>352.4764017614951</c:v>
                </c:pt>
                <c:pt idx="71">
                  <c:v>352.4764017614951</c:v>
                </c:pt>
                <c:pt idx="72">
                  <c:v>352.4764017614951</c:v>
                </c:pt>
                <c:pt idx="73">
                  <c:v>352.4764017614951</c:v>
                </c:pt>
                <c:pt idx="74">
                  <c:v>352.4764017614951</c:v>
                </c:pt>
                <c:pt idx="75">
                  <c:v>352.4764017614951</c:v>
                </c:pt>
                <c:pt idx="76">
                  <c:v>352.4764017614951</c:v>
                </c:pt>
                <c:pt idx="77">
                  <c:v>352.4764017614951</c:v>
                </c:pt>
                <c:pt idx="78">
                  <c:v>352.4764017614951</c:v>
                </c:pt>
                <c:pt idx="79">
                  <c:v>352.4764017614951</c:v>
                </c:pt>
                <c:pt idx="80">
                  <c:v>352.4764017614951</c:v>
                </c:pt>
                <c:pt idx="81">
                  <c:v>352.4764017614951</c:v>
                </c:pt>
                <c:pt idx="82">
                  <c:v>352.4764017614951</c:v>
                </c:pt>
                <c:pt idx="83">
                  <c:v>352.4764017614951</c:v>
                </c:pt>
                <c:pt idx="84">
                  <c:v>352.4764017614951</c:v>
                </c:pt>
                <c:pt idx="85">
                  <c:v>352.4764017614951</c:v>
                </c:pt>
                <c:pt idx="86">
                  <c:v>352.4764017614951</c:v>
                </c:pt>
                <c:pt idx="87">
                  <c:v>352.4764017614951</c:v>
                </c:pt>
                <c:pt idx="88">
                  <c:v>352.4764017614951</c:v>
                </c:pt>
                <c:pt idx="89">
                  <c:v>352.4764017614951</c:v>
                </c:pt>
                <c:pt idx="90">
                  <c:v>352.4764017614951</c:v>
                </c:pt>
                <c:pt idx="91">
                  <c:v>507.0180155785586</c:v>
                </c:pt>
                <c:pt idx="92">
                  <c:v>507.0180155785586</c:v>
                </c:pt>
                <c:pt idx="93">
                  <c:v>507.0180155785586</c:v>
                </c:pt>
                <c:pt idx="94">
                  <c:v>507.0180155785586</c:v>
                </c:pt>
                <c:pt idx="95">
                  <c:v>507.0180155785586</c:v>
                </c:pt>
                <c:pt idx="96">
                  <c:v>507.0180155785586</c:v>
                </c:pt>
                <c:pt idx="97">
                  <c:v>507.0180155785586</c:v>
                </c:pt>
                <c:pt idx="98">
                  <c:v>507.0180155785586</c:v>
                </c:pt>
                <c:pt idx="99">
                  <c:v>507.0180155785586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4175.92</c:v>
                </c:pt>
                <c:pt idx="26">
                  <c:v>4175.92</c:v>
                </c:pt>
                <c:pt idx="27">
                  <c:v>4175.92</c:v>
                </c:pt>
                <c:pt idx="28">
                  <c:v>4175.92</c:v>
                </c:pt>
                <c:pt idx="29">
                  <c:v>4175.92</c:v>
                </c:pt>
                <c:pt idx="30">
                  <c:v>4175.92</c:v>
                </c:pt>
                <c:pt idx="31">
                  <c:v>4175.92</c:v>
                </c:pt>
                <c:pt idx="32">
                  <c:v>4175.92</c:v>
                </c:pt>
                <c:pt idx="33">
                  <c:v>4175.92</c:v>
                </c:pt>
                <c:pt idx="34">
                  <c:v>4175.92</c:v>
                </c:pt>
                <c:pt idx="35">
                  <c:v>4175.92</c:v>
                </c:pt>
                <c:pt idx="36">
                  <c:v>4175.92</c:v>
                </c:pt>
                <c:pt idx="37">
                  <c:v>4175.92</c:v>
                </c:pt>
                <c:pt idx="38">
                  <c:v>4175.92</c:v>
                </c:pt>
                <c:pt idx="39">
                  <c:v>4175.92</c:v>
                </c:pt>
                <c:pt idx="40">
                  <c:v>4175.92</c:v>
                </c:pt>
                <c:pt idx="41">
                  <c:v>4175.92</c:v>
                </c:pt>
                <c:pt idx="42">
                  <c:v>4175.92</c:v>
                </c:pt>
                <c:pt idx="43">
                  <c:v>4175.92</c:v>
                </c:pt>
                <c:pt idx="44">
                  <c:v>4175.92</c:v>
                </c:pt>
                <c:pt idx="45">
                  <c:v>4175.92</c:v>
                </c:pt>
                <c:pt idx="46">
                  <c:v>4175.92</c:v>
                </c:pt>
                <c:pt idx="47">
                  <c:v>4175.92</c:v>
                </c:pt>
                <c:pt idx="48">
                  <c:v>4175.92</c:v>
                </c:pt>
                <c:pt idx="49">
                  <c:v>4175.92</c:v>
                </c:pt>
                <c:pt idx="50">
                  <c:v>4175.92</c:v>
                </c:pt>
                <c:pt idx="51">
                  <c:v>4175.92</c:v>
                </c:pt>
                <c:pt idx="52">
                  <c:v>4175.92</c:v>
                </c:pt>
                <c:pt idx="53">
                  <c:v>4175.92</c:v>
                </c:pt>
                <c:pt idx="54">
                  <c:v>4175.92</c:v>
                </c:pt>
                <c:pt idx="55">
                  <c:v>4175.92</c:v>
                </c:pt>
                <c:pt idx="56">
                  <c:v>4175.92</c:v>
                </c:pt>
                <c:pt idx="57">
                  <c:v>4175.92</c:v>
                </c:pt>
                <c:pt idx="58">
                  <c:v>4175.92</c:v>
                </c:pt>
                <c:pt idx="59">
                  <c:v>4175.92</c:v>
                </c:pt>
                <c:pt idx="60">
                  <c:v>4175.92</c:v>
                </c:pt>
                <c:pt idx="61">
                  <c:v>4175.92</c:v>
                </c:pt>
                <c:pt idx="62">
                  <c:v>4175.92</c:v>
                </c:pt>
                <c:pt idx="63">
                  <c:v>4175.92</c:v>
                </c:pt>
                <c:pt idx="64">
                  <c:v>4175.92</c:v>
                </c:pt>
                <c:pt idx="65">
                  <c:v>4175.92</c:v>
                </c:pt>
                <c:pt idx="66">
                  <c:v>4175.92</c:v>
                </c:pt>
                <c:pt idx="67">
                  <c:v>4175.92</c:v>
                </c:pt>
                <c:pt idx="68">
                  <c:v>11558.4</c:v>
                </c:pt>
                <c:pt idx="69">
                  <c:v>11558.4</c:v>
                </c:pt>
                <c:pt idx="70">
                  <c:v>11558.4</c:v>
                </c:pt>
                <c:pt idx="71">
                  <c:v>11558.4</c:v>
                </c:pt>
                <c:pt idx="72">
                  <c:v>11558.4</c:v>
                </c:pt>
                <c:pt idx="73">
                  <c:v>11558.4</c:v>
                </c:pt>
                <c:pt idx="74">
                  <c:v>11558.4</c:v>
                </c:pt>
                <c:pt idx="75">
                  <c:v>11558.4</c:v>
                </c:pt>
                <c:pt idx="76">
                  <c:v>11558.4</c:v>
                </c:pt>
                <c:pt idx="77">
                  <c:v>11558.4</c:v>
                </c:pt>
                <c:pt idx="78">
                  <c:v>11558.4</c:v>
                </c:pt>
                <c:pt idx="79">
                  <c:v>11558.4</c:v>
                </c:pt>
                <c:pt idx="80">
                  <c:v>11558.4</c:v>
                </c:pt>
                <c:pt idx="81">
                  <c:v>11558.4</c:v>
                </c:pt>
                <c:pt idx="82">
                  <c:v>11558.4</c:v>
                </c:pt>
                <c:pt idx="83">
                  <c:v>11558.4</c:v>
                </c:pt>
                <c:pt idx="84">
                  <c:v>11558.4</c:v>
                </c:pt>
                <c:pt idx="85">
                  <c:v>11558.4</c:v>
                </c:pt>
                <c:pt idx="86">
                  <c:v>11558.4</c:v>
                </c:pt>
                <c:pt idx="87">
                  <c:v>11558.4</c:v>
                </c:pt>
                <c:pt idx="88">
                  <c:v>11558.4</c:v>
                </c:pt>
                <c:pt idx="89">
                  <c:v>11558.4</c:v>
                </c:pt>
                <c:pt idx="90">
                  <c:v>11558.4</c:v>
                </c:pt>
                <c:pt idx="91">
                  <c:v>13171.2</c:v>
                </c:pt>
                <c:pt idx="92">
                  <c:v>13171.2</c:v>
                </c:pt>
                <c:pt idx="93">
                  <c:v>13171.2</c:v>
                </c:pt>
                <c:pt idx="94">
                  <c:v>13171.2</c:v>
                </c:pt>
                <c:pt idx="95">
                  <c:v>13171.2</c:v>
                </c:pt>
                <c:pt idx="96">
                  <c:v>13171.2</c:v>
                </c:pt>
                <c:pt idx="97">
                  <c:v>13171.2</c:v>
                </c:pt>
                <c:pt idx="98">
                  <c:v>13171.2</c:v>
                </c:pt>
                <c:pt idx="99">
                  <c:v>13171.2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8489.599999999999</c:v>
                </c:pt>
                <c:pt idx="1">
                  <c:v>8489.599999999999</c:v>
                </c:pt>
                <c:pt idx="2">
                  <c:v>8489.599999999999</c:v>
                </c:pt>
                <c:pt idx="3">
                  <c:v>8489.599999999999</c:v>
                </c:pt>
                <c:pt idx="4">
                  <c:v>8489.599999999999</c:v>
                </c:pt>
                <c:pt idx="5">
                  <c:v>8489.599999999999</c:v>
                </c:pt>
                <c:pt idx="6">
                  <c:v>8489.599999999999</c:v>
                </c:pt>
                <c:pt idx="7">
                  <c:v>8489.599999999999</c:v>
                </c:pt>
                <c:pt idx="8">
                  <c:v>8489.599999999999</c:v>
                </c:pt>
                <c:pt idx="9">
                  <c:v>8489.599999999999</c:v>
                </c:pt>
                <c:pt idx="10">
                  <c:v>8489.599999999999</c:v>
                </c:pt>
                <c:pt idx="11">
                  <c:v>8489.599999999999</c:v>
                </c:pt>
                <c:pt idx="12">
                  <c:v>8489.599999999999</c:v>
                </c:pt>
                <c:pt idx="13">
                  <c:v>8489.599999999999</c:v>
                </c:pt>
                <c:pt idx="14">
                  <c:v>8489.599999999999</c:v>
                </c:pt>
                <c:pt idx="15">
                  <c:v>8489.599999999999</c:v>
                </c:pt>
                <c:pt idx="16">
                  <c:v>8489.599999999999</c:v>
                </c:pt>
                <c:pt idx="17">
                  <c:v>8489.599999999999</c:v>
                </c:pt>
                <c:pt idx="18">
                  <c:v>8489.599999999999</c:v>
                </c:pt>
                <c:pt idx="19">
                  <c:v>8489.599999999999</c:v>
                </c:pt>
                <c:pt idx="20">
                  <c:v>8489.599999999999</c:v>
                </c:pt>
                <c:pt idx="21">
                  <c:v>8489.599999999999</c:v>
                </c:pt>
                <c:pt idx="22">
                  <c:v>8489.599999999999</c:v>
                </c:pt>
                <c:pt idx="23">
                  <c:v>8489.599999999999</c:v>
                </c:pt>
                <c:pt idx="24">
                  <c:v>8489.599999999999</c:v>
                </c:pt>
                <c:pt idx="25">
                  <c:v>14808.87513812155</c:v>
                </c:pt>
                <c:pt idx="26">
                  <c:v>14808.87513812155</c:v>
                </c:pt>
                <c:pt idx="27">
                  <c:v>14808.87513812155</c:v>
                </c:pt>
                <c:pt idx="28">
                  <c:v>14808.87513812155</c:v>
                </c:pt>
                <c:pt idx="29">
                  <c:v>14808.87513812155</c:v>
                </c:pt>
                <c:pt idx="30">
                  <c:v>14808.87513812155</c:v>
                </c:pt>
                <c:pt idx="31">
                  <c:v>14808.87513812155</c:v>
                </c:pt>
                <c:pt idx="32">
                  <c:v>14808.87513812155</c:v>
                </c:pt>
                <c:pt idx="33">
                  <c:v>14808.87513812155</c:v>
                </c:pt>
                <c:pt idx="34">
                  <c:v>14808.87513812155</c:v>
                </c:pt>
                <c:pt idx="35">
                  <c:v>14808.87513812155</c:v>
                </c:pt>
                <c:pt idx="36">
                  <c:v>14808.87513812155</c:v>
                </c:pt>
                <c:pt idx="37">
                  <c:v>14808.87513812155</c:v>
                </c:pt>
                <c:pt idx="38">
                  <c:v>14808.87513812155</c:v>
                </c:pt>
                <c:pt idx="39">
                  <c:v>14808.87513812155</c:v>
                </c:pt>
                <c:pt idx="40">
                  <c:v>14808.87513812155</c:v>
                </c:pt>
                <c:pt idx="41">
                  <c:v>14808.87513812155</c:v>
                </c:pt>
                <c:pt idx="42">
                  <c:v>14808.87513812155</c:v>
                </c:pt>
                <c:pt idx="43">
                  <c:v>14808.87513812155</c:v>
                </c:pt>
                <c:pt idx="44">
                  <c:v>14808.87513812155</c:v>
                </c:pt>
                <c:pt idx="45">
                  <c:v>14808.87513812155</c:v>
                </c:pt>
                <c:pt idx="46">
                  <c:v>14808.87513812155</c:v>
                </c:pt>
                <c:pt idx="47">
                  <c:v>14808.87513812155</c:v>
                </c:pt>
                <c:pt idx="48">
                  <c:v>14808.87513812155</c:v>
                </c:pt>
                <c:pt idx="49">
                  <c:v>14808.87513812155</c:v>
                </c:pt>
                <c:pt idx="50">
                  <c:v>14808.87513812155</c:v>
                </c:pt>
                <c:pt idx="51">
                  <c:v>14808.87513812155</c:v>
                </c:pt>
                <c:pt idx="52">
                  <c:v>14808.87513812155</c:v>
                </c:pt>
                <c:pt idx="53">
                  <c:v>14808.87513812155</c:v>
                </c:pt>
                <c:pt idx="54">
                  <c:v>14808.87513812155</c:v>
                </c:pt>
                <c:pt idx="55">
                  <c:v>14808.87513812155</c:v>
                </c:pt>
                <c:pt idx="56">
                  <c:v>14808.87513812155</c:v>
                </c:pt>
                <c:pt idx="57">
                  <c:v>14808.87513812155</c:v>
                </c:pt>
                <c:pt idx="58">
                  <c:v>14808.87513812155</c:v>
                </c:pt>
                <c:pt idx="59">
                  <c:v>14808.87513812155</c:v>
                </c:pt>
                <c:pt idx="60">
                  <c:v>14808.87513812155</c:v>
                </c:pt>
                <c:pt idx="61">
                  <c:v>14808.87513812155</c:v>
                </c:pt>
                <c:pt idx="62">
                  <c:v>14808.87513812155</c:v>
                </c:pt>
                <c:pt idx="63">
                  <c:v>14808.87513812155</c:v>
                </c:pt>
                <c:pt idx="64">
                  <c:v>14808.87513812155</c:v>
                </c:pt>
                <c:pt idx="65">
                  <c:v>14808.87513812155</c:v>
                </c:pt>
                <c:pt idx="66">
                  <c:v>14808.87513812155</c:v>
                </c:pt>
                <c:pt idx="67">
                  <c:v>14808.87513812155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1344</c:v>
                </c:pt>
                <c:pt idx="26">
                  <c:v>1344</c:v>
                </c:pt>
                <c:pt idx="27">
                  <c:v>1344</c:v>
                </c:pt>
                <c:pt idx="28">
                  <c:v>1344</c:v>
                </c:pt>
                <c:pt idx="29">
                  <c:v>1344</c:v>
                </c:pt>
                <c:pt idx="30">
                  <c:v>1344</c:v>
                </c:pt>
                <c:pt idx="31">
                  <c:v>1344</c:v>
                </c:pt>
                <c:pt idx="32">
                  <c:v>1344</c:v>
                </c:pt>
                <c:pt idx="33">
                  <c:v>1344</c:v>
                </c:pt>
                <c:pt idx="34">
                  <c:v>1344</c:v>
                </c:pt>
                <c:pt idx="35">
                  <c:v>1344</c:v>
                </c:pt>
                <c:pt idx="36">
                  <c:v>1344</c:v>
                </c:pt>
                <c:pt idx="37">
                  <c:v>1344</c:v>
                </c:pt>
                <c:pt idx="38">
                  <c:v>1344</c:v>
                </c:pt>
                <c:pt idx="39">
                  <c:v>1344</c:v>
                </c:pt>
                <c:pt idx="40">
                  <c:v>1344</c:v>
                </c:pt>
                <c:pt idx="41">
                  <c:v>1344</c:v>
                </c:pt>
                <c:pt idx="42">
                  <c:v>1344</c:v>
                </c:pt>
                <c:pt idx="43">
                  <c:v>1344</c:v>
                </c:pt>
                <c:pt idx="44">
                  <c:v>1344</c:v>
                </c:pt>
                <c:pt idx="45">
                  <c:v>1344</c:v>
                </c:pt>
                <c:pt idx="46">
                  <c:v>1344</c:v>
                </c:pt>
                <c:pt idx="47">
                  <c:v>1344</c:v>
                </c:pt>
                <c:pt idx="48">
                  <c:v>1344</c:v>
                </c:pt>
                <c:pt idx="49">
                  <c:v>1344</c:v>
                </c:pt>
                <c:pt idx="50">
                  <c:v>1344</c:v>
                </c:pt>
                <c:pt idx="51">
                  <c:v>1344</c:v>
                </c:pt>
                <c:pt idx="52">
                  <c:v>1344</c:v>
                </c:pt>
                <c:pt idx="53">
                  <c:v>1344</c:v>
                </c:pt>
                <c:pt idx="54">
                  <c:v>1344</c:v>
                </c:pt>
                <c:pt idx="55">
                  <c:v>1344</c:v>
                </c:pt>
                <c:pt idx="56">
                  <c:v>1344</c:v>
                </c:pt>
                <c:pt idx="57">
                  <c:v>1344</c:v>
                </c:pt>
                <c:pt idx="58">
                  <c:v>1344</c:v>
                </c:pt>
                <c:pt idx="59">
                  <c:v>1344</c:v>
                </c:pt>
                <c:pt idx="60">
                  <c:v>1344</c:v>
                </c:pt>
                <c:pt idx="61">
                  <c:v>1344</c:v>
                </c:pt>
                <c:pt idx="62">
                  <c:v>1344</c:v>
                </c:pt>
                <c:pt idx="63">
                  <c:v>1344</c:v>
                </c:pt>
                <c:pt idx="64">
                  <c:v>1344</c:v>
                </c:pt>
                <c:pt idx="65">
                  <c:v>1344</c:v>
                </c:pt>
                <c:pt idx="66">
                  <c:v>1344</c:v>
                </c:pt>
                <c:pt idx="67">
                  <c:v>1344</c:v>
                </c:pt>
                <c:pt idx="68">
                  <c:v>169343.9999999999</c:v>
                </c:pt>
                <c:pt idx="69">
                  <c:v>169343.9999999999</c:v>
                </c:pt>
                <c:pt idx="70">
                  <c:v>169343.9999999999</c:v>
                </c:pt>
                <c:pt idx="71">
                  <c:v>169343.9999999999</c:v>
                </c:pt>
                <c:pt idx="72">
                  <c:v>169343.9999999999</c:v>
                </c:pt>
                <c:pt idx="73">
                  <c:v>169343.9999999999</c:v>
                </c:pt>
                <c:pt idx="74">
                  <c:v>169343.9999999999</c:v>
                </c:pt>
                <c:pt idx="75">
                  <c:v>169343.9999999999</c:v>
                </c:pt>
                <c:pt idx="76">
                  <c:v>169343.9999999999</c:v>
                </c:pt>
                <c:pt idx="77">
                  <c:v>169343.9999999999</c:v>
                </c:pt>
                <c:pt idx="78">
                  <c:v>169343.9999999999</c:v>
                </c:pt>
                <c:pt idx="79">
                  <c:v>169343.9999999999</c:v>
                </c:pt>
                <c:pt idx="80">
                  <c:v>169343.9999999999</c:v>
                </c:pt>
                <c:pt idx="81">
                  <c:v>169343.9999999999</c:v>
                </c:pt>
                <c:pt idx="82">
                  <c:v>169343.9999999999</c:v>
                </c:pt>
                <c:pt idx="83">
                  <c:v>169343.9999999999</c:v>
                </c:pt>
                <c:pt idx="84">
                  <c:v>169343.9999999999</c:v>
                </c:pt>
                <c:pt idx="85">
                  <c:v>169343.9999999999</c:v>
                </c:pt>
                <c:pt idx="86">
                  <c:v>169343.9999999999</c:v>
                </c:pt>
                <c:pt idx="87">
                  <c:v>169343.9999999999</c:v>
                </c:pt>
                <c:pt idx="88">
                  <c:v>169343.9999999999</c:v>
                </c:pt>
                <c:pt idx="89">
                  <c:v>169343.9999999999</c:v>
                </c:pt>
                <c:pt idx="90">
                  <c:v>169343.9999999999</c:v>
                </c:pt>
                <c:pt idx="91">
                  <c:v>225792.0</c:v>
                </c:pt>
                <c:pt idx="92">
                  <c:v>225792.0</c:v>
                </c:pt>
                <c:pt idx="93">
                  <c:v>225792.0</c:v>
                </c:pt>
                <c:pt idx="94">
                  <c:v>225792.0</c:v>
                </c:pt>
                <c:pt idx="95">
                  <c:v>225792.0</c:v>
                </c:pt>
                <c:pt idx="96">
                  <c:v>225792.0</c:v>
                </c:pt>
                <c:pt idx="97">
                  <c:v>225792.0</c:v>
                </c:pt>
                <c:pt idx="98">
                  <c:v>225792.0</c:v>
                </c:pt>
                <c:pt idx="99">
                  <c:v>225792.0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2567.04</c:v>
                </c:pt>
                <c:pt idx="1">
                  <c:v>2567.04</c:v>
                </c:pt>
                <c:pt idx="2">
                  <c:v>2567.04</c:v>
                </c:pt>
                <c:pt idx="3">
                  <c:v>2567.04</c:v>
                </c:pt>
                <c:pt idx="4">
                  <c:v>2567.04</c:v>
                </c:pt>
                <c:pt idx="5">
                  <c:v>2567.04</c:v>
                </c:pt>
                <c:pt idx="6">
                  <c:v>2567.04</c:v>
                </c:pt>
                <c:pt idx="7">
                  <c:v>2567.04</c:v>
                </c:pt>
                <c:pt idx="8">
                  <c:v>2567.04</c:v>
                </c:pt>
                <c:pt idx="9">
                  <c:v>2567.04</c:v>
                </c:pt>
                <c:pt idx="10">
                  <c:v>2567.04</c:v>
                </c:pt>
                <c:pt idx="11">
                  <c:v>2567.04</c:v>
                </c:pt>
                <c:pt idx="12">
                  <c:v>2567.04</c:v>
                </c:pt>
                <c:pt idx="13">
                  <c:v>2567.04</c:v>
                </c:pt>
                <c:pt idx="14">
                  <c:v>2567.04</c:v>
                </c:pt>
                <c:pt idx="15">
                  <c:v>2567.04</c:v>
                </c:pt>
                <c:pt idx="16">
                  <c:v>2567.04</c:v>
                </c:pt>
                <c:pt idx="17">
                  <c:v>2567.04</c:v>
                </c:pt>
                <c:pt idx="18">
                  <c:v>2567.04</c:v>
                </c:pt>
                <c:pt idx="19">
                  <c:v>2567.04</c:v>
                </c:pt>
                <c:pt idx="20">
                  <c:v>2567.04</c:v>
                </c:pt>
                <c:pt idx="21">
                  <c:v>2567.04</c:v>
                </c:pt>
                <c:pt idx="22">
                  <c:v>2567.04</c:v>
                </c:pt>
                <c:pt idx="23">
                  <c:v>2567.04</c:v>
                </c:pt>
                <c:pt idx="24">
                  <c:v>2567.04</c:v>
                </c:pt>
                <c:pt idx="25">
                  <c:v>7044.8</c:v>
                </c:pt>
                <c:pt idx="26">
                  <c:v>7044.8</c:v>
                </c:pt>
                <c:pt idx="27">
                  <c:v>7044.8</c:v>
                </c:pt>
                <c:pt idx="28">
                  <c:v>7044.8</c:v>
                </c:pt>
                <c:pt idx="29">
                  <c:v>7044.8</c:v>
                </c:pt>
                <c:pt idx="30">
                  <c:v>7044.8</c:v>
                </c:pt>
                <c:pt idx="31">
                  <c:v>7044.8</c:v>
                </c:pt>
                <c:pt idx="32">
                  <c:v>7044.8</c:v>
                </c:pt>
                <c:pt idx="33">
                  <c:v>7044.8</c:v>
                </c:pt>
                <c:pt idx="34">
                  <c:v>7044.8</c:v>
                </c:pt>
                <c:pt idx="35">
                  <c:v>7044.8</c:v>
                </c:pt>
                <c:pt idx="36">
                  <c:v>7044.8</c:v>
                </c:pt>
                <c:pt idx="37">
                  <c:v>7044.8</c:v>
                </c:pt>
                <c:pt idx="38">
                  <c:v>7044.8</c:v>
                </c:pt>
                <c:pt idx="39">
                  <c:v>7044.8</c:v>
                </c:pt>
                <c:pt idx="40">
                  <c:v>7044.8</c:v>
                </c:pt>
                <c:pt idx="41">
                  <c:v>7044.8</c:v>
                </c:pt>
                <c:pt idx="42">
                  <c:v>7044.8</c:v>
                </c:pt>
                <c:pt idx="43">
                  <c:v>7044.8</c:v>
                </c:pt>
                <c:pt idx="44">
                  <c:v>7044.8</c:v>
                </c:pt>
                <c:pt idx="45">
                  <c:v>7044.8</c:v>
                </c:pt>
                <c:pt idx="46">
                  <c:v>7044.8</c:v>
                </c:pt>
                <c:pt idx="47">
                  <c:v>7044.8</c:v>
                </c:pt>
                <c:pt idx="48">
                  <c:v>7044.8</c:v>
                </c:pt>
                <c:pt idx="49">
                  <c:v>7044.8</c:v>
                </c:pt>
                <c:pt idx="50">
                  <c:v>7044.8</c:v>
                </c:pt>
                <c:pt idx="51">
                  <c:v>7044.8</c:v>
                </c:pt>
                <c:pt idx="52">
                  <c:v>7044.8</c:v>
                </c:pt>
                <c:pt idx="53">
                  <c:v>7044.8</c:v>
                </c:pt>
                <c:pt idx="54">
                  <c:v>7044.8</c:v>
                </c:pt>
                <c:pt idx="55">
                  <c:v>7044.8</c:v>
                </c:pt>
                <c:pt idx="56">
                  <c:v>7044.8</c:v>
                </c:pt>
                <c:pt idx="57">
                  <c:v>7044.8</c:v>
                </c:pt>
                <c:pt idx="58">
                  <c:v>7044.8</c:v>
                </c:pt>
                <c:pt idx="59">
                  <c:v>7044.8</c:v>
                </c:pt>
                <c:pt idx="60">
                  <c:v>7044.8</c:v>
                </c:pt>
                <c:pt idx="61">
                  <c:v>7044.8</c:v>
                </c:pt>
                <c:pt idx="62">
                  <c:v>7044.8</c:v>
                </c:pt>
                <c:pt idx="63">
                  <c:v>7044.8</c:v>
                </c:pt>
                <c:pt idx="64">
                  <c:v>7044.8</c:v>
                </c:pt>
                <c:pt idx="65">
                  <c:v>7044.8</c:v>
                </c:pt>
                <c:pt idx="66">
                  <c:v>7044.8</c:v>
                </c:pt>
                <c:pt idx="67">
                  <c:v>7044.8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2150.4</c:v>
                </c:pt>
                <c:pt idx="26">
                  <c:v>2150.4</c:v>
                </c:pt>
                <c:pt idx="27">
                  <c:v>2150.4</c:v>
                </c:pt>
                <c:pt idx="28">
                  <c:v>2150.4</c:v>
                </c:pt>
                <c:pt idx="29">
                  <c:v>2150.4</c:v>
                </c:pt>
                <c:pt idx="30">
                  <c:v>2150.4</c:v>
                </c:pt>
                <c:pt idx="31">
                  <c:v>2150.4</c:v>
                </c:pt>
                <c:pt idx="32">
                  <c:v>2150.4</c:v>
                </c:pt>
                <c:pt idx="33">
                  <c:v>2150.4</c:v>
                </c:pt>
                <c:pt idx="34">
                  <c:v>2150.4</c:v>
                </c:pt>
                <c:pt idx="35">
                  <c:v>2150.4</c:v>
                </c:pt>
                <c:pt idx="36">
                  <c:v>2150.4</c:v>
                </c:pt>
                <c:pt idx="37">
                  <c:v>2150.4</c:v>
                </c:pt>
                <c:pt idx="38">
                  <c:v>2150.4</c:v>
                </c:pt>
                <c:pt idx="39">
                  <c:v>2150.4</c:v>
                </c:pt>
                <c:pt idx="40">
                  <c:v>2150.4</c:v>
                </c:pt>
                <c:pt idx="41">
                  <c:v>2150.4</c:v>
                </c:pt>
                <c:pt idx="42">
                  <c:v>2150.4</c:v>
                </c:pt>
                <c:pt idx="43">
                  <c:v>2150.4</c:v>
                </c:pt>
                <c:pt idx="44">
                  <c:v>2150.4</c:v>
                </c:pt>
                <c:pt idx="45">
                  <c:v>2150.4</c:v>
                </c:pt>
                <c:pt idx="46">
                  <c:v>2150.4</c:v>
                </c:pt>
                <c:pt idx="47">
                  <c:v>2150.4</c:v>
                </c:pt>
                <c:pt idx="48">
                  <c:v>2150.4</c:v>
                </c:pt>
                <c:pt idx="49">
                  <c:v>2150.4</c:v>
                </c:pt>
                <c:pt idx="50">
                  <c:v>2150.4</c:v>
                </c:pt>
                <c:pt idx="51">
                  <c:v>2150.4</c:v>
                </c:pt>
                <c:pt idx="52">
                  <c:v>2150.4</c:v>
                </c:pt>
                <c:pt idx="53">
                  <c:v>2150.4</c:v>
                </c:pt>
                <c:pt idx="54">
                  <c:v>2150.4</c:v>
                </c:pt>
                <c:pt idx="55">
                  <c:v>2150.4</c:v>
                </c:pt>
                <c:pt idx="56">
                  <c:v>2150.4</c:v>
                </c:pt>
                <c:pt idx="57">
                  <c:v>2150.4</c:v>
                </c:pt>
                <c:pt idx="58">
                  <c:v>2150.4</c:v>
                </c:pt>
                <c:pt idx="59">
                  <c:v>2150.4</c:v>
                </c:pt>
                <c:pt idx="60">
                  <c:v>2150.4</c:v>
                </c:pt>
                <c:pt idx="61">
                  <c:v>2150.4</c:v>
                </c:pt>
                <c:pt idx="62">
                  <c:v>2150.4</c:v>
                </c:pt>
                <c:pt idx="63">
                  <c:v>2150.4</c:v>
                </c:pt>
                <c:pt idx="64">
                  <c:v>2150.4</c:v>
                </c:pt>
                <c:pt idx="65">
                  <c:v>2150.4</c:v>
                </c:pt>
                <c:pt idx="66">
                  <c:v>2150.4</c:v>
                </c:pt>
                <c:pt idx="67">
                  <c:v>2150.4</c:v>
                </c:pt>
                <c:pt idx="68">
                  <c:v>41932.79999999999</c:v>
                </c:pt>
                <c:pt idx="69">
                  <c:v>41932.79999999999</c:v>
                </c:pt>
                <c:pt idx="70">
                  <c:v>41932.79999999999</c:v>
                </c:pt>
                <c:pt idx="71">
                  <c:v>41932.79999999999</c:v>
                </c:pt>
                <c:pt idx="72">
                  <c:v>41932.79999999999</c:v>
                </c:pt>
                <c:pt idx="73">
                  <c:v>41932.79999999999</c:v>
                </c:pt>
                <c:pt idx="74">
                  <c:v>41932.79999999999</c:v>
                </c:pt>
                <c:pt idx="75">
                  <c:v>41932.79999999999</c:v>
                </c:pt>
                <c:pt idx="76">
                  <c:v>41932.79999999999</c:v>
                </c:pt>
                <c:pt idx="77">
                  <c:v>41932.79999999999</c:v>
                </c:pt>
                <c:pt idx="78">
                  <c:v>41932.79999999999</c:v>
                </c:pt>
                <c:pt idx="79">
                  <c:v>41932.79999999999</c:v>
                </c:pt>
                <c:pt idx="80">
                  <c:v>41932.79999999999</c:v>
                </c:pt>
                <c:pt idx="81">
                  <c:v>41932.79999999999</c:v>
                </c:pt>
                <c:pt idx="82">
                  <c:v>41932.79999999999</c:v>
                </c:pt>
                <c:pt idx="83">
                  <c:v>41932.79999999999</c:v>
                </c:pt>
                <c:pt idx="84">
                  <c:v>41932.79999999999</c:v>
                </c:pt>
                <c:pt idx="85">
                  <c:v>41932.79999999999</c:v>
                </c:pt>
                <c:pt idx="86">
                  <c:v>41932.79999999999</c:v>
                </c:pt>
                <c:pt idx="87">
                  <c:v>41932.79999999999</c:v>
                </c:pt>
                <c:pt idx="88">
                  <c:v>41932.79999999999</c:v>
                </c:pt>
                <c:pt idx="89">
                  <c:v>41932.79999999999</c:v>
                </c:pt>
                <c:pt idx="90">
                  <c:v>41932.79999999999</c:v>
                </c:pt>
                <c:pt idx="91">
                  <c:v>106444.8</c:v>
                </c:pt>
                <c:pt idx="92">
                  <c:v>106444.8</c:v>
                </c:pt>
                <c:pt idx="93">
                  <c:v>106444.8</c:v>
                </c:pt>
                <c:pt idx="94">
                  <c:v>106444.8</c:v>
                </c:pt>
                <c:pt idx="95">
                  <c:v>106444.8</c:v>
                </c:pt>
                <c:pt idx="96">
                  <c:v>106444.8</c:v>
                </c:pt>
                <c:pt idx="97">
                  <c:v>106444.8</c:v>
                </c:pt>
                <c:pt idx="98">
                  <c:v>106444.8</c:v>
                </c:pt>
                <c:pt idx="99">
                  <c:v>106444.8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61.25966850828729</c:v>
                </c:pt>
                <c:pt idx="26">
                  <c:v>61.25966850828729</c:v>
                </c:pt>
                <c:pt idx="27">
                  <c:v>61.25966850828729</c:v>
                </c:pt>
                <c:pt idx="28">
                  <c:v>61.25966850828729</c:v>
                </c:pt>
                <c:pt idx="29">
                  <c:v>61.25966850828729</c:v>
                </c:pt>
                <c:pt idx="30">
                  <c:v>61.25966850828729</c:v>
                </c:pt>
                <c:pt idx="31">
                  <c:v>61.25966850828729</c:v>
                </c:pt>
                <c:pt idx="32">
                  <c:v>61.25966850828729</c:v>
                </c:pt>
                <c:pt idx="33">
                  <c:v>61.25966850828729</c:v>
                </c:pt>
                <c:pt idx="34">
                  <c:v>61.25966850828729</c:v>
                </c:pt>
                <c:pt idx="35">
                  <c:v>61.25966850828729</c:v>
                </c:pt>
                <c:pt idx="36">
                  <c:v>61.25966850828729</c:v>
                </c:pt>
                <c:pt idx="37">
                  <c:v>61.25966850828729</c:v>
                </c:pt>
                <c:pt idx="38">
                  <c:v>61.25966850828729</c:v>
                </c:pt>
                <c:pt idx="39">
                  <c:v>61.25966850828729</c:v>
                </c:pt>
                <c:pt idx="40">
                  <c:v>61.25966850828729</c:v>
                </c:pt>
                <c:pt idx="41">
                  <c:v>61.25966850828729</c:v>
                </c:pt>
                <c:pt idx="42">
                  <c:v>61.25966850828729</c:v>
                </c:pt>
                <c:pt idx="43">
                  <c:v>61.25966850828729</c:v>
                </c:pt>
                <c:pt idx="44">
                  <c:v>61.25966850828729</c:v>
                </c:pt>
                <c:pt idx="45">
                  <c:v>61.25966850828729</c:v>
                </c:pt>
                <c:pt idx="46">
                  <c:v>61.25966850828729</c:v>
                </c:pt>
                <c:pt idx="47">
                  <c:v>61.25966850828729</c:v>
                </c:pt>
                <c:pt idx="48">
                  <c:v>61.25966850828729</c:v>
                </c:pt>
                <c:pt idx="49">
                  <c:v>61.25966850828729</c:v>
                </c:pt>
                <c:pt idx="50">
                  <c:v>61.25966850828729</c:v>
                </c:pt>
                <c:pt idx="51">
                  <c:v>61.25966850828729</c:v>
                </c:pt>
                <c:pt idx="52">
                  <c:v>61.25966850828729</c:v>
                </c:pt>
                <c:pt idx="53">
                  <c:v>61.25966850828729</c:v>
                </c:pt>
                <c:pt idx="54">
                  <c:v>61.25966850828729</c:v>
                </c:pt>
                <c:pt idx="55">
                  <c:v>61.25966850828729</c:v>
                </c:pt>
                <c:pt idx="56">
                  <c:v>61.25966850828729</c:v>
                </c:pt>
                <c:pt idx="57">
                  <c:v>61.25966850828729</c:v>
                </c:pt>
                <c:pt idx="58">
                  <c:v>61.25966850828729</c:v>
                </c:pt>
                <c:pt idx="59">
                  <c:v>61.25966850828729</c:v>
                </c:pt>
                <c:pt idx="60">
                  <c:v>61.25966850828729</c:v>
                </c:pt>
                <c:pt idx="61">
                  <c:v>61.25966850828729</c:v>
                </c:pt>
                <c:pt idx="62">
                  <c:v>61.25966850828729</c:v>
                </c:pt>
                <c:pt idx="63">
                  <c:v>61.25966850828729</c:v>
                </c:pt>
                <c:pt idx="64">
                  <c:v>61.25966850828729</c:v>
                </c:pt>
                <c:pt idx="65">
                  <c:v>61.25966850828729</c:v>
                </c:pt>
                <c:pt idx="66">
                  <c:v>61.25966850828729</c:v>
                </c:pt>
                <c:pt idx="67">
                  <c:v>61.25966850828729</c:v>
                </c:pt>
                <c:pt idx="68">
                  <c:v>73.51160220994474</c:v>
                </c:pt>
                <c:pt idx="69">
                  <c:v>73.51160220994474</c:v>
                </c:pt>
                <c:pt idx="70">
                  <c:v>73.51160220994474</c:v>
                </c:pt>
                <c:pt idx="71">
                  <c:v>73.51160220994474</c:v>
                </c:pt>
                <c:pt idx="72">
                  <c:v>73.51160220994474</c:v>
                </c:pt>
                <c:pt idx="73">
                  <c:v>73.51160220994474</c:v>
                </c:pt>
                <c:pt idx="74">
                  <c:v>73.51160220994474</c:v>
                </c:pt>
                <c:pt idx="75">
                  <c:v>73.51160220994474</c:v>
                </c:pt>
                <c:pt idx="76">
                  <c:v>73.51160220994474</c:v>
                </c:pt>
                <c:pt idx="77">
                  <c:v>73.51160220994474</c:v>
                </c:pt>
                <c:pt idx="78">
                  <c:v>73.51160220994474</c:v>
                </c:pt>
                <c:pt idx="79">
                  <c:v>73.51160220994474</c:v>
                </c:pt>
                <c:pt idx="80">
                  <c:v>73.51160220994474</c:v>
                </c:pt>
                <c:pt idx="81">
                  <c:v>73.51160220994474</c:v>
                </c:pt>
                <c:pt idx="82">
                  <c:v>73.51160220994474</c:v>
                </c:pt>
                <c:pt idx="83">
                  <c:v>73.51160220994474</c:v>
                </c:pt>
                <c:pt idx="84">
                  <c:v>73.51160220994474</c:v>
                </c:pt>
                <c:pt idx="85">
                  <c:v>73.51160220994474</c:v>
                </c:pt>
                <c:pt idx="86">
                  <c:v>73.51160220994474</c:v>
                </c:pt>
                <c:pt idx="87">
                  <c:v>73.51160220994474</c:v>
                </c:pt>
                <c:pt idx="88">
                  <c:v>73.51160220994474</c:v>
                </c:pt>
                <c:pt idx="89">
                  <c:v>73.51160220994474</c:v>
                </c:pt>
                <c:pt idx="90">
                  <c:v>73.51160220994474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18197.81764705882</c:v>
                </c:pt>
                <c:pt idx="1">
                  <c:v>18197.81764705882</c:v>
                </c:pt>
                <c:pt idx="2">
                  <c:v>18197.81764705882</c:v>
                </c:pt>
                <c:pt idx="3">
                  <c:v>18197.81764705882</c:v>
                </c:pt>
                <c:pt idx="4">
                  <c:v>18197.81764705882</c:v>
                </c:pt>
                <c:pt idx="5">
                  <c:v>18197.81764705882</c:v>
                </c:pt>
                <c:pt idx="6">
                  <c:v>18197.81764705882</c:v>
                </c:pt>
                <c:pt idx="7">
                  <c:v>18197.81764705882</c:v>
                </c:pt>
                <c:pt idx="8">
                  <c:v>18197.81764705882</c:v>
                </c:pt>
                <c:pt idx="9">
                  <c:v>18197.81764705882</c:v>
                </c:pt>
                <c:pt idx="10">
                  <c:v>18197.81764705882</c:v>
                </c:pt>
                <c:pt idx="11">
                  <c:v>18197.81764705882</c:v>
                </c:pt>
                <c:pt idx="12">
                  <c:v>18197.81764705882</c:v>
                </c:pt>
                <c:pt idx="13">
                  <c:v>18197.81764705882</c:v>
                </c:pt>
                <c:pt idx="14">
                  <c:v>18197.81764705882</c:v>
                </c:pt>
                <c:pt idx="15">
                  <c:v>18197.81764705882</c:v>
                </c:pt>
                <c:pt idx="16">
                  <c:v>18197.81764705882</c:v>
                </c:pt>
                <c:pt idx="17">
                  <c:v>18197.81764705882</c:v>
                </c:pt>
                <c:pt idx="18">
                  <c:v>18197.81764705882</c:v>
                </c:pt>
                <c:pt idx="19">
                  <c:v>18197.81764705882</c:v>
                </c:pt>
                <c:pt idx="20">
                  <c:v>18197.81764705882</c:v>
                </c:pt>
                <c:pt idx="21">
                  <c:v>18197.81764705882</c:v>
                </c:pt>
                <c:pt idx="22">
                  <c:v>18197.81764705882</c:v>
                </c:pt>
                <c:pt idx="23">
                  <c:v>18197.81764705882</c:v>
                </c:pt>
                <c:pt idx="24">
                  <c:v>18197.81764705882</c:v>
                </c:pt>
                <c:pt idx="25">
                  <c:v>18197.81764705882</c:v>
                </c:pt>
                <c:pt idx="26">
                  <c:v>18197.81764705882</c:v>
                </c:pt>
                <c:pt idx="27">
                  <c:v>18197.81764705882</c:v>
                </c:pt>
                <c:pt idx="28">
                  <c:v>18197.81764705882</c:v>
                </c:pt>
                <c:pt idx="29">
                  <c:v>18197.81764705882</c:v>
                </c:pt>
                <c:pt idx="30">
                  <c:v>18197.81764705882</c:v>
                </c:pt>
                <c:pt idx="31">
                  <c:v>18197.81764705882</c:v>
                </c:pt>
                <c:pt idx="32">
                  <c:v>18197.81764705882</c:v>
                </c:pt>
                <c:pt idx="33">
                  <c:v>18197.81764705882</c:v>
                </c:pt>
                <c:pt idx="34">
                  <c:v>18197.81764705882</c:v>
                </c:pt>
                <c:pt idx="35">
                  <c:v>18197.81764705882</c:v>
                </c:pt>
                <c:pt idx="36">
                  <c:v>18197.81764705882</c:v>
                </c:pt>
                <c:pt idx="37">
                  <c:v>18197.81764705882</c:v>
                </c:pt>
                <c:pt idx="38">
                  <c:v>18197.81764705882</c:v>
                </c:pt>
                <c:pt idx="39">
                  <c:v>18197.81764705882</c:v>
                </c:pt>
                <c:pt idx="40">
                  <c:v>18197.81764705882</c:v>
                </c:pt>
                <c:pt idx="41">
                  <c:v>18197.81764705882</c:v>
                </c:pt>
                <c:pt idx="42">
                  <c:v>18197.81764705882</c:v>
                </c:pt>
                <c:pt idx="43">
                  <c:v>18197.81764705882</c:v>
                </c:pt>
                <c:pt idx="44">
                  <c:v>18197.81764705882</c:v>
                </c:pt>
                <c:pt idx="45">
                  <c:v>18197.81764705882</c:v>
                </c:pt>
                <c:pt idx="46">
                  <c:v>18197.81764705882</c:v>
                </c:pt>
                <c:pt idx="47">
                  <c:v>18197.81764705882</c:v>
                </c:pt>
                <c:pt idx="48">
                  <c:v>18197.81764705882</c:v>
                </c:pt>
                <c:pt idx="49">
                  <c:v>18197.81764705882</c:v>
                </c:pt>
                <c:pt idx="50">
                  <c:v>18197.81764705882</c:v>
                </c:pt>
                <c:pt idx="51">
                  <c:v>18197.81764705882</c:v>
                </c:pt>
                <c:pt idx="52">
                  <c:v>18197.81764705882</c:v>
                </c:pt>
                <c:pt idx="53">
                  <c:v>18197.81764705882</c:v>
                </c:pt>
                <c:pt idx="54">
                  <c:v>18197.81764705882</c:v>
                </c:pt>
                <c:pt idx="55">
                  <c:v>18197.81764705882</c:v>
                </c:pt>
                <c:pt idx="56">
                  <c:v>18197.81764705882</c:v>
                </c:pt>
                <c:pt idx="57">
                  <c:v>18197.81764705882</c:v>
                </c:pt>
                <c:pt idx="58">
                  <c:v>18197.81764705882</c:v>
                </c:pt>
                <c:pt idx="59">
                  <c:v>18197.81764705882</c:v>
                </c:pt>
                <c:pt idx="60">
                  <c:v>18197.81764705882</c:v>
                </c:pt>
                <c:pt idx="61">
                  <c:v>18197.81764705882</c:v>
                </c:pt>
                <c:pt idx="62">
                  <c:v>18197.81764705882</c:v>
                </c:pt>
                <c:pt idx="63">
                  <c:v>18197.81764705882</c:v>
                </c:pt>
                <c:pt idx="64">
                  <c:v>18197.81764705882</c:v>
                </c:pt>
                <c:pt idx="65">
                  <c:v>18197.81764705882</c:v>
                </c:pt>
                <c:pt idx="66">
                  <c:v>18197.81764705882</c:v>
                </c:pt>
                <c:pt idx="67">
                  <c:v>18197.81764705882</c:v>
                </c:pt>
                <c:pt idx="68">
                  <c:v>8854.44</c:v>
                </c:pt>
                <c:pt idx="69">
                  <c:v>8854.44</c:v>
                </c:pt>
                <c:pt idx="70">
                  <c:v>8854.44</c:v>
                </c:pt>
                <c:pt idx="71">
                  <c:v>8854.44</c:v>
                </c:pt>
                <c:pt idx="72">
                  <c:v>8854.44</c:v>
                </c:pt>
                <c:pt idx="73">
                  <c:v>8854.44</c:v>
                </c:pt>
                <c:pt idx="74">
                  <c:v>8854.44</c:v>
                </c:pt>
                <c:pt idx="75">
                  <c:v>8854.44</c:v>
                </c:pt>
                <c:pt idx="76">
                  <c:v>8854.44</c:v>
                </c:pt>
                <c:pt idx="77">
                  <c:v>8854.44</c:v>
                </c:pt>
                <c:pt idx="78">
                  <c:v>8854.44</c:v>
                </c:pt>
                <c:pt idx="79">
                  <c:v>8854.44</c:v>
                </c:pt>
                <c:pt idx="80">
                  <c:v>8854.44</c:v>
                </c:pt>
                <c:pt idx="81">
                  <c:v>8854.44</c:v>
                </c:pt>
                <c:pt idx="82">
                  <c:v>8854.44</c:v>
                </c:pt>
                <c:pt idx="83">
                  <c:v>8854.44</c:v>
                </c:pt>
                <c:pt idx="84">
                  <c:v>8854.44</c:v>
                </c:pt>
                <c:pt idx="85">
                  <c:v>8854.44</c:v>
                </c:pt>
                <c:pt idx="86">
                  <c:v>8854.44</c:v>
                </c:pt>
                <c:pt idx="87">
                  <c:v>8854.44</c:v>
                </c:pt>
                <c:pt idx="88">
                  <c:v>8854.44</c:v>
                </c:pt>
                <c:pt idx="89">
                  <c:v>8854.44</c:v>
                </c:pt>
                <c:pt idx="90">
                  <c:v>8854.44</c:v>
                </c:pt>
                <c:pt idx="91">
                  <c:v>8854.44</c:v>
                </c:pt>
                <c:pt idx="92">
                  <c:v>8854.44</c:v>
                </c:pt>
                <c:pt idx="93">
                  <c:v>8854.44</c:v>
                </c:pt>
                <c:pt idx="94">
                  <c:v>8854.44</c:v>
                </c:pt>
                <c:pt idx="95">
                  <c:v>8854.44</c:v>
                </c:pt>
                <c:pt idx="96">
                  <c:v>8854.44</c:v>
                </c:pt>
                <c:pt idx="97">
                  <c:v>8854.44</c:v>
                </c:pt>
                <c:pt idx="98">
                  <c:v>8854.44</c:v>
                </c:pt>
                <c:pt idx="99">
                  <c:v>8854.44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168</c:v>
                </c:pt>
                <c:pt idx="37">
                  <c:v>168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  <c:pt idx="48">
                  <c:v>168</c:v>
                </c:pt>
                <c:pt idx="49">
                  <c:v>168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168</c:v>
                </c:pt>
                <c:pt idx="55">
                  <c:v>168</c:v>
                </c:pt>
                <c:pt idx="56">
                  <c:v>168</c:v>
                </c:pt>
                <c:pt idx="57">
                  <c:v>168</c:v>
                </c:pt>
                <c:pt idx="58">
                  <c:v>168</c:v>
                </c:pt>
                <c:pt idx="59">
                  <c:v>168</c:v>
                </c:pt>
                <c:pt idx="60">
                  <c:v>168</c:v>
                </c:pt>
                <c:pt idx="61">
                  <c:v>168</c:v>
                </c:pt>
                <c:pt idx="62">
                  <c:v>168</c:v>
                </c:pt>
                <c:pt idx="63">
                  <c:v>168</c:v>
                </c:pt>
                <c:pt idx="64">
                  <c:v>168</c:v>
                </c:pt>
                <c:pt idx="65">
                  <c:v>168</c:v>
                </c:pt>
                <c:pt idx="66">
                  <c:v>168</c:v>
                </c:pt>
                <c:pt idx="67">
                  <c:v>168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2692216"/>
        <c:axId val="-20026943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21925.55336467335</c:v>
                </c:pt>
                <c:pt idx="1">
                  <c:v>21925.55336467335</c:v>
                </c:pt>
                <c:pt idx="2">
                  <c:v>21925.55336467335</c:v>
                </c:pt>
                <c:pt idx="3">
                  <c:v>21925.55336467335</c:v>
                </c:pt>
                <c:pt idx="4">
                  <c:v>21925.55336467335</c:v>
                </c:pt>
                <c:pt idx="5">
                  <c:v>21925.55336467335</c:v>
                </c:pt>
                <c:pt idx="6">
                  <c:v>21925.55336467335</c:v>
                </c:pt>
                <c:pt idx="7">
                  <c:v>21925.55336467335</c:v>
                </c:pt>
                <c:pt idx="8">
                  <c:v>21925.55336467335</c:v>
                </c:pt>
                <c:pt idx="9">
                  <c:v>21925.55336467335</c:v>
                </c:pt>
                <c:pt idx="10">
                  <c:v>21925.55336467335</c:v>
                </c:pt>
                <c:pt idx="11">
                  <c:v>21925.55336467335</c:v>
                </c:pt>
                <c:pt idx="12">
                  <c:v>21925.55336467335</c:v>
                </c:pt>
                <c:pt idx="13">
                  <c:v>21925.55336467335</c:v>
                </c:pt>
                <c:pt idx="14">
                  <c:v>21925.55336467335</c:v>
                </c:pt>
                <c:pt idx="15">
                  <c:v>21925.55336467335</c:v>
                </c:pt>
                <c:pt idx="16">
                  <c:v>21925.55336467335</c:v>
                </c:pt>
                <c:pt idx="17">
                  <c:v>21925.55336467335</c:v>
                </c:pt>
                <c:pt idx="18">
                  <c:v>21925.55336467335</c:v>
                </c:pt>
                <c:pt idx="19">
                  <c:v>21925.55336467335</c:v>
                </c:pt>
                <c:pt idx="20">
                  <c:v>21925.55336467335</c:v>
                </c:pt>
                <c:pt idx="21">
                  <c:v>21925.55336467335</c:v>
                </c:pt>
                <c:pt idx="22">
                  <c:v>21925.55336467335</c:v>
                </c:pt>
                <c:pt idx="23">
                  <c:v>21925.55336467335</c:v>
                </c:pt>
                <c:pt idx="24">
                  <c:v>21925.55336467335</c:v>
                </c:pt>
                <c:pt idx="25">
                  <c:v>21925.55336467335</c:v>
                </c:pt>
                <c:pt idx="26">
                  <c:v>21925.55336467335</c:v>
                </c:pt>
                <c:pt idx="27">
                  <c:v>21925.55336467335</c:v>
                </c:pt>
                <c:pt idx="28">
                  <c:v>21925.55336467335</c:v>
                </c:pt>
                <c:pt idx="29">
                  <c:v>21925.55336467335</c:v>
                </c:pt>
                <c:pt idx="30">
                  <c:v>21925.55336467335</c:v>
                </c:pt>
                <c:pt idx="31">
                  <c:v>21925.55336467335</c:v>
                </c:pt>
                <c:pt idx="32">
                  <c:v>21925.55336467335</c:v>
                </c:pt>
                <c:pt idx="33">
                  <c:v>21925.55336467335</c:v>
                </c:pt>
                <c:pt idx="34">
                  <c:v>21925.55336467335</c:v>
                </c:pt>
                <c:pt idx="35">
                  <c:v>21925.55336467335</c:v>
                </c:pt>
                <c:pt idx="36">
                  <c:v>21925.55336467335</c:v>
                </c:pt>
                <c:pt idx="37">
                  <c:v>21925.55336467335</c:v>
                </c:pt>
                <c:pt idx="38">
                  <c:v>21925.55336467335</c:v>
                </c:pt>
                <c:pt idx="39">
                  <c:v>21925.55336467335</c:v>
                </c:pt>
                <c:pt idx="40">
                  <c:v>21925.55336467335</c:v>
                </c:pt>
                <c:pt idx="41">
                  <c:v>21925.55336467335</c:v>
                </c:pt>
                <c:pt idx="42">
                  <c:v>21925.55336467335</c:v>
                </c:pt>
                <c:pt idx="43">
                  <c:v>21925.55336467335</c:v>
                </c:pt>
                <c:pt idx="44">
                  <c:v>21925.55336467335</c:v>
                </c:pt>
                <c:pt idx="45">
                  <c:v>21925.55336467335</c:v>
                </c:pt>
                <c:pt idx="46">
                  <c:v>21925.55336467335</c:v>
                </c:pt>
                <c:pt idx="47">
                  <c:v>21925.55336467335</c:v>
                </c:pt>
                <c:pt idx="48">
                  <c:v>21925.55336467335</c:v>
                </c:pt>
                <c:pt idx="49">
                  <c:v>21925.55336467335</c:v>
                </c:pt>
                <c:pt idx="50">
                  <c:v>21925.55336467335</c:v>
                </c:pt>
                <c:pt idx="51">
                  <c:v>21925.55336467335</c:v>
                </c:pt>
                <c:pt idx="52">
                  <c:v>21925.55336467335</c:v>
                </c:pt>
                <c:pt idx="53">
                  <c:v>21925.55336467335</c:v>
                </c:pt>
                <c:pt idx="54">
                  <c:v>21925.55336467335</c:v>
                </c:pt>
                <c:pt idx="55">
                  <c:v>21925.55336467335</c:v>
                </c:pt>
                <c:pt idx="56">
                  <c:v>21925.55336467335</c:v>
                </c:pt>
                <c:pt idx="57">
                  <c:v>21925.55336467335</c:v>
                </c:pt>
                <c:pt idx="58">
                  <c:v>21925.55336467335</c:v>
                </c:pt>
                <c:pt idx="59">
                  <c:v>21925.55336467335</c:v>
                </c:pt>
                <c:pt idx="60">
                  <c:v>21925.55336467335</c:v>
                </c:pt>
                <c:pt idx="61">
                  <c:v>21925.55336467335</c:v>
                </c:pt>
                <c:pt idx="62">
                  <c:v>21925.55336467335</c:v>
                </c:pt>
                <c:pt idx="63">
                  <c:v>21925.55336467335</c:v>
                </c:pt>
                <c:pt idx="64">
                  <c:v>21925.55336467335</c:v>
                </c:pt>
                <c:pt idx="65">
                  <c:v>21925.55336467335</c:v>
                </c:pt>
                <c:pt idx="66">
                  <c:v>21925.55336467335</c:v>
                </c:pt>
                <c:pt idx="67">
                  <c:v>21925.55336467335</c:v>
                </c:pt>
                <c:pt idx="68">
                  <c:v>21925.55336467335</c:v>
                </c:pt>
                <c:pt idx="69">
                  <c:v>21925.55336467335</c:v>
                </c:pt>
                <c:pt idx="70">
                  <c:v>21925.55336467335</c:v>
                </c:pt>
                <c:pt idx="71">
                  <c:v>21925.55336467335</c:v>
                </c:pt>
                <c:pt idx="72">
                  <c:v>21925.55336467335</c:v>
                </c:pt>
                <c:pt idx="73">
                  <c:v>21925.55336467335</c:v>
                </c:pt>
                <c:pt idx="74">
                  <c:v>21925.55336467335</c:v>
                </c:pt>
                <c:pt idx="75">
                  <c:v>21925.55336467335</c:v>
                </c:pt>
                <c:pt idx="76">
                  <c:v>21925.55336467335</c:v>
                </c:pt>
                <c:pt idx="77">
                  <c:v>21925.55336467335</c:v>
                </c:pt>
                <c:pt idx="78">
                  <c:v>21925.55336467335</c:v>
                </c:pt>
                <c:pt idx="79">
                  <c:v>21925.55336467335</c:v>
                </c:pt>
                <c:pt idx="80">
                  <c:v>21925.55336467335</c:v>
                </c:pt>
                <c:pt idx="81">
                  <c:v>21925.55336467335</c:v>
                </c:pt>
                <c:pt idx="82">
                  <c:v>21925.55336467335</c:v>
                </c:pt>
                <c:pt idx="83">
                  <c:v>21925.55336467335</c:v>
                </c:pt>
                <c:pt idx="84">
                  <c:v>21925.55336467335</c:v>
                </c:pt>
                <c:pt idx="85">
                  <c:v>21925.55336467335</c:v>
                </c:pt>
                <c:pt idx="86">
                  <c:v>21925.55336467335</c:v>
                </c:pt>
                <c:pt idx="87">
                  <c:v>21925.55336467335</c:v>
                </c:pt>
                <c:pt idx="88">
                  <c:v>21925.55336467335</c:v>
                </c:pt>
                <c:pt idx="89">
                  <c:v>21925.55336467335</c:v>
                </c:pt>
                <c:pt idx="90">
                  <c:v>21925.55336467335</c:v>
                </c:pt>
                <c:pt idx="91">
                  <c:v>21925.55336467335</c:v>
                </c:pt>
                <c:pt idx="92">
                  <c:v>21925.55336467335</c:v>
                </c:pt>
                <c:pt idx="93">
                  <c:v>21925.55336467335</c:v>
                </c:pt>
                <c:pt idx="94">
                  <c:v>21925.55336467335</c:v>
                </c:pt>
                <c:pt idx="95">
                  <c:v>21925.55336467335</c:v>
                </c:pt>
                <c:pt idx="96">
                  <c:v>21925.55336467335</c:v>
                </c:pt>
                <c:pt idx="97">
                  <c:v>21925.55336467335</c:v>
                </c:pt>
                <c:pt idx="98">
                  <c:v>21925.55336467335</c:v>
                </c:pt>
                <c:pt idx="99">
                  <c:v>21925.55336467335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692216"/>
        <c:axId val="-20026943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31140.14992820837</c:v>
                </c:pt>
                <c:pt idx="1">
                  <c:v>32167.42532975125</c:v>
                </c:pt>
                <c:pt idx="2">
                  <c:v>33194.70073129412</c:v>
                </c:pt>
                <c:pt idx="3">
                  <c:v>34221.976132837</c:v>
                </c:pt>
                <c:pt idx="4">
                  <c:v>35249.25153437988</c:v>
                </c:pt>
                <c:pt idx="5">
                  <c:v>36276.52693592276</c:v>
                </c:pt>
                <c:pt idx="6">
                  <c:v>37303.80233746563</c:v>
                </c:pt>
                <c:pt idx="7">
                  <c:v>38331.07773900851</c:v>
                </c:pt>
                <c:pt idx="8">
                  <c:v>39358.35314055139</c:v>
                </c:pt>
                <c:pt idx="9">
                  <c:v>40385.62854209427</c:v>
                </c:pt>
                <c:pt idx="10">
                  <c:v>41412.90394363715</c:v>
                </c:pt>
                <c:pt idx="11">
                  <c:v>42440.17934518002</c:v>
                </c:pt>
                <c:pt idx="12">
                  <c:v>43467.4547467229</c:v>
                </c:pt>
                <c:pt idx="13">
                  <c:v>44494.73014826578</c:v>
                </c:pt>
                <c:pt idx="14">
                  <c:v>45522.00554980866</c:v>
                </c:pt>
                <c:pt idx="15">
                  <c:v>46549.28095135153</c:v>
                </c:pt>
                <c:pt idx="16">
                  <c:v>47576.5563528944</c:v>
                </c:pt>
                <c:pt idx="17">
                  <c:v>48603.83175443728</c:v>
                </c:pt>
                <c:pt idx="18">
                  <c:v>49631.10715598016</c:v>
                </c:pt>
                <c:pt idx="19">
                  <c:v>50658.38255752304</c:v>
                </c:pt>
                <c:pt idx="20">
                  <c:v>51685.65795906592</c:v>
                </c:pt>
                <c:pt idx="21">
                  <c:v>52712.9333606088</c:v>
                </c:pt>
                <c:pt idx="22">
                  <c:v>53740.20876215168</c:v>
                </c:pt>
                <c:pt idx="23">
                  <c:v>54767.48416369455</c:v>
                </c:pt>
                <c:pt idx="24">
                  <c:v>55794.75956523743</c:v>
                </c:pt>
                <c:pt idx="25">
                  <c:v>56822.03496678031</c:v>
                </c:pt>
                <c:pt idx="26">
                  <c:v>57849.31036832318</c:v>
                </c:pt>
                <c:pt idx="27">
                  <c:v>58876.58576986606</c:v>
                </c:pt>
                <c:pt idx="28">
                  <c:v>59903.86117140893</c:v>
                </c:pt>
                <c:pt idx="29">
                  <c:v>60931.13657295181</c:v>
                </c:pt>
                <c:pt idx="30">
                  <c:v>61958.4119744947</c:v>
                </c:pt>
                <c:pt idx="31">
                  <c:v>62985.68737603757</c:v>
                </c:pt>
                <c:pt idx="32">
                  <c:v>64012.96277758045</c:v>
                </c:pt>
                <c:pt idx="33">
                  <c:v>65040.23817912332</c:v>
                </c:pt>
                <c:pt idx="34">
                  <c:v>68181.675895838</c:v>
                </c:pt>
                <c:pt idx="35">
                  <c:v>73437.27592772446</c:v>
                </c:pt>
                <c:pt idx="36">
                  <c:v>78692.87595961093</c:v>
                </c:pt>
                <c:pt idx="37">
                  <c:v>83948.4759914974</c:v>
                </c:pt>
                <c:pt idx="38">
                  <c:v>89204.07602338386</c:v>
                </c:pt>
                <c:pt idx="39">
                  <c:v>94459.67605527033</c:v>
                </c:pt>
                <c:pt idx="40">
                  <c:v>99715.2760871568</c:v>
                </c:pt>
                <c:pt idx="41">
                  <c:v>104970.8761190433</c:v>
                </c:pt>
                <c:pt idx="42">
                  <c:v>110226.4761509297</c:v>
                </c:pt>
                <c:pt idx="43">
                  <c:v>115482.0761828162</c:v>
                </c:pt>
                <c:pt idx="44">
                  <c:v>120737.6762147027</c:v>
                </c:pt>
                <c:pt idx="45">
                  <c:v>125993.2762465891</c:v>
                </c:pt>
                <c:pt idx="46">
                  <c:v>131248.8762784756</c:v>
                </c:pt>
                <c:pt idx="47">
                  <c:v>136504.4763103621</c:v>
                </c:pt>
                <c:pt idx="48">
                  <c:v>141760.0763422485</c:v>
                </c:pt>
                <c:pt idx="49">
                  <c:v>147015.676374135</c:v>
                </c:pt>
                <c:pt idx="50">
                  <c:v>152271.2764060215</c:v>
                </c:pt>
                <c:pt idx="51">
                  <c:v>157526.8764379079</c:v>
                </c:pt>
                <c:pt idx="52">
                  <c:v>162782.4764697944</c:v>
                </c:pt>
                <c:pt idx="53">
                  <c:v>168038.0765016809</c:v>
                </c:pt>
                <c:pt idx="54">
                  <c:v>173293.6765335673</c:v>
                </c:pt>
                <c:pt idx="55">
                  <c:v>178549.2765654538</c:v>
                </c:pt>
                <c:pt idx="56">
                  <c:v>183804.8765973403</c:v>
                </c:pt>
                <c:pt idx="57">
                  <c:v>189060.4766292268</c:v>
                </c:pt>
                <c:pt idx="58">
                  <c:v>194316.0766611132</c:v>
                </c:pt>
                <c:pt idx="59">
                  <c:v>199571.6766929997</c:v>
                </c:pt>
                <c:pt idx="60">
                  <c:v>204827.2767248861</c:v>
                </c:pt>
                <c:pt idx="61">
                  <c:v>210082.8767567726</c:v>
                </c:pt>
                <c:pt idx="62">
                  <c:v>215338.4767886591</c:v>
                </c:pt>
                <c:pt idx="63">
                  <c:v>220594.0768205455</c:v>
                </c:pt>
                <c:pt idx="64">
                  <c:v>225849.676852432</c:v>
                </c:pt>
                <c:pt idx="65">
                  <c:v>231105.2768843185</c:v>
                </c:pt>
                <c:pt idx="66">
                  <c:v>236360.876916205</c:v>
                </c:pt>
                <c:pt idx="67">
                  <c:v>243078.984075812</c:v>
                </c:pt>
                <c:pt idx="68">
                  <c:v>251259.5983631397</c:v>
                </c:pt>
                <c:pt idx="69">
                  <c:v>259440.2126504673</c:v>
                </c:pt>
                <c:pt idx="70">
                  <c:v>267620.826937795</c:v>
                </c:pt>
                <c:pt idx="71">
                  <c:v>275801.4412251227</c:v>
                </c:pt>
                <c:pt idx="72">
                  <c:v>283982.0555124503</c:v>
                </c:pt>
                <c:pt idx="73">
                  <c:v>292162.669799778</c:v>
                </c:pt>
                <c:pt idx="74">
                  <c:v>300343.2840871055</c:v>
                </c:pt>
                <c:pt idx="75">
                  <c:v>308523.8983744333</c:v>
                </c:pt>
                <c:pt idx="76">
                  <c:v>316704.512661761</c:v>
                </c:pt>
                <c:pt idx="77">
                  <c:v>324885.1269490886</c:v>
                </c:pt>
                <c:pt idx="78">
                  <c:v>333065.7412364163</c:v>
                </c:pt>
                <c:pt idx="79">
                  <c:v>341246.3555237439</c:v>
                </c:pt>
                <c:pt idx="80">
                  <c:v>349426.9698110715</c:v>
                </c:pt>
                <c:pt idx="81">
                  <c:v>357607.5840983992</c:v>
                </c:pt>
                <c:pt idx="82">
                  <c:v>365788.1983857269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692216"/>
        <c:axId val="-2002694312"/>
      </c:scatterChart>
      <c:catAx>
        <c:axId val="-20026922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2694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2694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26922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1200.529423967038</c:v>
                </c:pt>
                <c:pt idx="1">
                  <c:v>1200.529423967038</c:v>
                </c:pt>
                <c:pt idx="2">
                  <c:v>1200.529423967038</c:v>
                </c:pt>
                <c:pt idx="3">
                  <c:v>1200.529423967038</c:v>
                </c:pt>
                <c:pt idx="4">
                  <c:v>1200.529423967038</c:v>
                </c:pt>
                <c:pt idx="5">
                  <c:v>1200.529423967038</c:v>
                </c:pt>
                <c:pt idx="6">
                  <c:v>1200.529423967038</c:v>
                </c:pt>
                <c:pt idx="7">
                  <c:v>1200.529423967038</c:v>
                </c:pt>
                <c:pt idx="8">
                  <c:v>1200.529423967038</c:v>
                </c:pt>
                <c:pt idx="9">
                  <c:v>1200.529423967038</c:v>
                </c:pt>
                <c:pt idx="10">
                  <c:v>1200.529423967038</c:v>
                </c:pt>
                <c:pt idx="11">
                  <c:v>1200.529423967038</c:v>
                </c:pt>
                <c:pt idx="12">
                  <c:v>1200.529423967038</c:v>
                </c:pt>
                <c:pt idx="13">
                  <c:v>1223.931507985588</c:v>
                </c:pt>
                <c:pt idx="14">
                  <c:v>1270.735676022688</c:v>
                </c:pt>
                <c:pt idx="15">
                  <c:v>1317.539844059788</c:v>
                </c:pt>
                <c:pt idx="16">
                  <c:v>1364.344012096889</c:v>
                </c:pt>
                <c:pt idx="17">
                  <c:v>1411.148180133989</c:v>
                </c:pt>
                <c:pt idx="18">
                  <c:v>1457.952348171089</c:v>
                </c:pt>
                <c:pt idx="19">
                  <c:v>1504.75651620819</c:v>
                </c:pt>
                <c:pt idx="20">
                  <c:v>1551.56068424529</c:v>
                </c:pt>
                <c:pt idx="21">
                  <c:v>1598.364852282391</c:v>
                </c:pt>
                <c:pt idx="22">
                  <c:v>1645.169020319491</c:v>
                </c:pt>
                <c:pt idx="23">
                  <c:v>1691.973188356591</c:v>
                </c:pt>
                <c:pt idx="24">
                  <c:v>1738.777356393691</c:v>
                </c:pt>
                <c:pt idx="25">
                  <c:v>1785.581524430792</c:v>
                </c:pt>
                <c:pt idx="26">
                  <c:v>1832.385692467892</c:v>
                </c:pt>
                <c:pt idx="27">
                  <c:v>1879.189860504992</c:v>
                </c:pt>
                <c:pt idx="28">
                  <c:v>1925.994028542093</c:v>
                </c:pt>
                <c:pt idx="29">
                  <c:v>1972.798196579193</c:v>
                </c:pt>
                <c:pt idx="30">
                  <c:v>2019.602364616293</c:v>
                </c:pt>
                <c:pt idx="31">
                  <c:v>2066.406532653393</c:v>
                </c:pt>
                <c:pt idx="32">
                  <c:v>2113.210700690494</c:v>
                </c:pt>
                <c:pt idx="33">
                  <c:v>2160.014868727594</c:v>
                </c:pt>
                <c:pt idx="34">
                  <c:v>2206.819036764695</c:v>
                </c:pt>
                <c:pt idx="35">
                  <c:v>2253.623204801795</c:v>
                </c:pt>
                <c:pt idx="36">
                  <c:v>2300.427372838895</c:v>
                </c:pt>
                <c:pt idx="37">
                  <c:v>2347.231540875996</c:v>
                </c:pt>
                <c:pt idx="38">
                  <c:v>2394.035708913096</c:v>
                </c:pt>
                <c:pt idx="39">
                  <c:v>2440.839876950196</c:v>
                </c:pt>
                <c:pt idx="40">
                  <c:v>2487.644044987297</c:v>
                </c:pt>
                <c:pt idx="41">
                  <c:v>2534.448213024397</c:v>
                </c:pt>
                <c:pt idx="42">
                  <c:v>2581.252381061498</c:v>
                </c:pt>
                <c:pt idx="43">
                  <c:v>2628.056549098597</c:v>
                </c:pt>
                <c:pt idx="44">
                  <c:v>2674.860717135698</c:v>
                </c:pt>
                <c:pt idx="45">
                  <c:v>2721.664885172798</c:v>
                </c:pt>
                <c:pt idx="46">
                  <c:v>2768.469053209898</c:v>
                </c:pt>
                <c:pt idx="47">
                  <c:v>2796.607528000393</c:v>
                </c:pt>
                <c:pt idx="48">
                  <c:v>2806.080309544282</c:v>
                </c:pt>
                <c:pt idx="49">
                  <c:v>2815.553091088172</c:v>
                </c:pt>
                <c:pt idx="50">
                  <c:v>2825.025872632061</c:v>
                </c:pt>
                <c:pt idx="51">
                  <c:v>2834.49865417595</c:v>
                </c:pt>
                <c:pt idx="52">
                  <c:v>2843.97143571984</c:v>
                </c:pt>
                <c:pt idx="53">
                  <c:v>2853.44421726373</c:v>
                </c:pt>
                <c:pt idx="54">
                  <c:v>2862.916998807618</c:v>
                </c:pt>
                <c:pt idx="55">
                  <c:v>2872.389780351508</c:v>
                </c:pt>
                <c:pt idx="56">
                  <c:v>2881.862561895397</c:v>
                </c:pt>
                <c:pt idx="57">
                  <c:v>2891.335343439286</c:v>
                </c:pt>
                <c:pt idx="58">
                  <c:v>2900.808124983176</c:v>
                </c:pt>
                <c:pt idx="59">
                  <c:v>2910.280906527065</c:v>
                </c:pt>
                <c:pt idx="60">
                  <c:v>2919.753688070954</c:v>
                </c:pt>
                <c:pt idx="61">
                  <c:v>2929.226469614843</c:v>
                </c:pt>
                <c:pt idx="62">
                  <c:v>2938.699251158733</c:v>
                </c:pt>
                <c:pt idx="63">
                  <c:v>2948.172032702622</c:v>
                </c:pt>
                <c:pt idx="64">
                  <c:v>2957.644814246511</c:v>
                </c:pt>
                <c:pt idx="65">
                  <c:v>2967.117595790401</c:v>
                </c:pt>
                <c:pt idx="66">
                  <c:v>2976.59037733429</c:v>
                </c:pt>
                <c:pt idx="67">
                  <c:v>2986.063158878178</c:v>
                </c:pt>
                <c:pt idx="68">
                  <c:v>2995.535940422069</c:v>
                </c:pt>
                <c:pt idx="69">
                  <c:v>3005.008721965958</c:v>
                </c:pt>
                <c:pt idx="70">
                  <c:v>3014.481503509847</c:v>
                </c:pt>
                <c:pt idx="71">
                  <c:v>3023.954285053736</c:v>
                </c:pt>
                <c:pt idx="72">
                  <c:v>3033.427066597626</c:v>
                </c:pt>
                <c:pt idx="73">
                  <c:v>3042.899848141515</c:v>
                </c:pt>
                <c:pt idx="74">
                  <c:v>3052.372629685404</c:v>
                </c:pt>
                <c:pt idx="75">
                  <c:v>3061.845411229293</c:v>
                </c:pt>
                <c:pt idx="76">
                  <c:v>3071.318192773182</c:v>
                </c:pt>
                <c:pt idx="77">
                  <c:v>3080.790974317072</c:v>
                </c:pt>
                <c:pt idx="78">
                  <c:v>3090.263755860961</c:v>
                </c:pt>
                <c:pt idx="79">
                  <c:v>3099.73653740485</c:v>
                </c:pt>
                <c:pt idx="80">
                  <c:v>3135.2158839779</c:v>
                </c:pt>
                <c:pt idx="81">
                  <c:v>3196.70179558011</c:v>
                </c:pt>
                <c:pt idx="82">
                  <c:v>3258.18770718232</c:v>
                </c:pt>
                <c:pt idx="83">
                  <c:v>3319.67361878453</c:v>
                </c:pt>
                <c:pt idx="84">
                  <c:v>3381.15953038674</c:v>
                </c:pt>
                <c:pt idx="85">
                  <c:v>3442.645441988949</c:v>
                </c:pt>
                <c:pt idx="86">
                  <c:v>3504.13135359116</c:v>
                </c:pt>
                <c:pt idx="87">
                  <c:v>3565.617265193369</c:v>
                </c:pt>
                <c:pt idx="88">
                  <c:v>3627.10317679558</c:v>
                </c:pt>
                <c:pt idx="89">
                  <c:v>3688.589088397789</c:v>
                </c:pt>
                <c:pt idx="90">
                  <c:v>3750.074999999999</c:v>
                </c:pt>
                <c:pt idx="91">
                  <c:v>3811.560911602209</c:v>
                </c:pt>
                <c:pt idx="92">
                  <c:v>3873.046823204419</c:v>
                </c:pt>
                <c:pt idx="93">
                  <c:v>3934.532734806628</c:v>
                </c:pt>
                <c:pt idx="94">
                  <c:v>3996.018646408838</c:v>
                </c:pt>
                <c:pt idx="95">
                  <c:v>4057.504558011048</c:v>
                </c:pt>
                <c:pt idx="96">
                  <c:v>4088.247513812153</c:v>
                </c:pt>
                <c:pt idx="97">
                  <c:v>4088.247513812153</c:v>
                </c:pt>
                <c:pt idx="98">
                  <c:v>4088.247513812153</c:v>
                </c:pt>
                <c:pt idx="99">
                  <c:v>4088.247513812153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6.588235294117645</c:v>
                </c:pt>
                <c:pt idx="14">
                  <c:v>19.76470588235294</c:v>
                </c:pt>
                <c:pt idx="15">
                  <c:v>32.94117647058823</c:v>
                </c:pt>
                <c:pt idx="16">
                  <c:v>46.11764705882352</c:v>
                </c:pt>
                <c:pt idx="17">
                  <c:v>59.29411764705881</c:v>
                </c:pt>
                <c:pt idx="18">
                  <c:v>72.4705882352941</c:v>
                </c:pt>
                <c:pt idx="19">
                  <c:v>85.64705882352939</c:v>
                </c:pt>
                <c:pt idx="20">
                  <c:v>98.8235294117647</c:v>
                </c:pt>
                <c:pt idx="21">
                  <c:v>112</c:v>
                </c:pt>
                <c:pt idx="22">
                  <c:v>125.1764705882353</c:v>
                </c:pt>
                <c:pt idx="23">
                  <c:v>138.3529411764705</c:v>
                </c:pt>
                <c:pt idx="24">
                  <c:v>151.5294117647059</c:v>
                </c:pt>
                <c:pt idx="25">
                  <c:v>164.7058823529412</c:v>
                </c:pt>
                <c:pt idx="26">
                  <c:v>177.8823529411764</c:v>
                </c:pt>
                <c:pt idx="27">
                  <c:v>191.0588235294117</c:v>
                </c:pt>
                <c:pt idx="28">
                  <c:v>204.235294117647</c:v>
                </c:pt>
                <c:pt idx="29">
                  <c:v>217.4117647058823</c:v>
                </c:pt>
                <c:pt idx="30">
                  <c:v>230.5882352941176</c:v>
                </c:pt>
                <c:pt idx="31">
                  <c:v>243.7647058823529</c:v>
                </c:pt>
                <c:pt idx="32">
                  <c:v>256.9411764705882</c:v>
                </c:pt>
                <c:pt idx="33">
                  <c:v>270.1176470588235</c:v>
                </c:pt>
                <c:pt idx="34">
                  <c:v>283.2941176470588</c:v>
                </c:pt>
                <c:pt idx="35">
                  <c:v>296.4705882352941</c:v>
                </c:pt>
                <c:pt idx="36">
                  <c:v>309.6470588235293</c:v>
                </c:pt>
                <c:pt idx="37">
                  <c:v>322.8235294117646</c:v>
                </c:pt>
                <c:pt idx="38">
                  <c:v>335.9999999999999</c:v>
                </c:pt>
                <c:pt idx="39">
                  <c:v>349.1764705882352</c:v>
                </c:pt>
                <c:pt idx="40">
                  <c:v>362.3529411764705</c:v>
                </c:pt>
                <c:pt idx="41">
                  <c:v>375.5294117647059</c:v>
                </c:pt>
                <c:pt idx="42">
                  <c:v>388.7058823529411</c:v>
                </c:pt>
                <c:pt idx="43">
                  <c:v>401.8823529411764</c:v>
                </c:pt>
                <c:pt idx="44">
                  <c:v>415.0588235294117</c:v>
                </c:pt>
                <c:pt idx="45">
                  <c:v>428.235294117647</c:v>
                </c:pt>
                <c:pt idx="46">
                  <c:v>441.4117647058823</c:v>
                </c:pt>
                <c:pt idx="47">
                  <c:v>498.3117575757575</c:v>
                </c:pt>
                <c:pt idx="48">
                  <c:v>598.9352727272726</c:v>
                </c:pt>
                <c:pt idx="49">
                  <c:v>699.5587878787878</c:v>
                </c:pt>
                <c:pt idx="50">
                  <c:v>800.182303030303</c:v>
                </c:pt>
                <c:pt idx="51">
                  <c:v>900.805818181818</c:v>
                </c:pt>
                <c:pt idx="52">
                  <c:v>1001.429333333333</c:v>
                </c:pt>
                <c:pt idx="53">
                  <c:v>1102.052848484848</c:v>
                </c:pt>
                <c:pt idx="54">
                  <c:v>1202.676363636363</c:v>
                </c:pt>
                <c:pt idx="55">
                  <c:v>1303.299878787879</c:v>
                </c:pt>
                <c:pt idx="56">
                  <c:v>1403.923393939394</c:v>
                </c:pt>
                <c:pt idx="57">
                  <c:v>1504.546909090909</c:v>
                </c:pt>
                <c:pt idx="58">
                  <c:v>1605.170424242424</c:v>
                </c:pt>
                <c:pt idx="59">
                  <c:v>1705.793939393939</c:v>
                </c:pt>
                <c:pt idx="60">
                  <c:v>1806.417454545454</c:v>
                </c:pt>
                <c:pt idx="61">
                  <c:v>1907.040969696969</c:v>
                </c:pt>
                <c:pt idx="62">
                  <c:v>2007.664484848485</c:v>
                </c:pt>
                <c:pt idx="63">
                  <c:v>2108.288</c:v>
                </c:pt>
                <c:pt idx="64">
                  <c:v>2208.911515151514</c:v>
                </c:pt>
                <c:pt idx="65">
                  <c:v>2309.53503030303</c:v>
                </c:pt>
                <c:pt idx="66">
                  <c:v>2410.158545454545</c:v>
                </c:pt>
                <c:pt idx="67">
                  <c:v>2510.78206060606</c:v>
                </c:pt>
                <c:pt idx="68">
                  <c:v>2611.405575757576</c:v>
                </c:pt>
                <c:pt idx="69">
                  <c:v>2712.029090909091</c:v>
                </c:pt>
                <c:pt idx="70">
                  <c:v>2812.652606060606</c:v>
                </c:pt>
                <c:pt idx="71">
                  <c:v>2913.276121212121</c:v>
                </c:pt>
                <c:pt idx="72">
                  <c:v>3013.899636363636</c:v>
                </c:pt>
                <c:pt idx="73">
                  <c:v>3114.523151515151</c:v>
                </c:pt>
                <c:pt idx="74">
                  <c:v>3215.146666666666</c:v>
                </c:pt>
                <c:pt idx="75">
                  <c:v>3315.770181818181</c:v>
                </c:pt>
                <c:pt idx="76">
                  <c:v>3416.393696969697</c:v>
                </c:pt>
                <c:pt idx="77">
                  <c:v>3517.017212121212</c:v>
                </c:pt>
                <c:pt idx="78">
                  <c:v>3617.640727272727</c:v>
                </c:pt>
                <c:pt idx="79">
                  <c:v>3718.264242424242</c:v>
                </c:pt>
                <c:pt idx="80">
                  <c:v>3995.208</c:v>
                </c:pt>
                <c:pt idx="81">
                  <c:v>4448.472</c:v>
                </c:pt>
                <c:pt idx="82">
                  <c:v>4901.736</c:v>
                </c:pt>
                <c:pt idx="83">
                  <c:v>5355.0</c:v>
                </c:pt>
                <c:pt idx="84">
                  <c:v>5808.264</c:v>
                </c:pt>
                <c:pt idx="85">
                  <c:v>6261.528</c:v>
                </c:pt>
                <c:pt idx="86">
                  <c:v>6714.792</c:v>
                </c:pt>
                <c:pt idx="87">
                  <c:v>7168.056</c:v>
                </c:pt>
                <c:pt idx="88">
                  <c:v>7621.32</c:v>
                </c:pt>
                <c:pt idx="89">
                  <c:v>8074.583999999999</c:v>
                </c:pt>
                <c:pt idx="90">
                  <c:v>8527.848</c:v>
                </c:pt>
                <c:pt idx="91">
                  <c:v>8981.111999999999</c:v>
                </c:pt>
                <c:pt idx="92">
                  <c:v>9434.376</c:v>
                </c:pt>
                <c:pt idx="93">
                  <c:v>9887.639999999999</c:v>
                </c:pt>
                <c:pt idx="94">
                  <c:v>10340.904</c:v>
                </c:pt>
                <c:pt idx="95">
                  <c:v>10794.168</c:v>
                </c:pt>
                <c:pt idx="96">
                  <c:v>11020.8</c:v>
                </c:pt>
                <c:pt idx="97">
                  <c:v>11020.8</c:v>
                </c:pt>
                <c:pt idx="98">
                  <c:v>11020.8</c:v>
                </c:pt>
                <c:pt idx="99">
                  <c:v>11020.8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0.873724215937307</c:v>
                </c:pt>
                <c:pt idx="14">
                  <c:v>2.621172647811922</c:v>
                </c:pt>
                <c:pt idx="15">
                  <c:v>4.368621079686537</c:v>
                </c:pt>
                <c:pt idx="16">
                  <c:v>6.116069511561151</c:v>
                </c:pt>
                <c:pt idx="17">
                  <c:v>7.863517943435767</c:v>
                </c:pt>
                <c:pt idx="18">
                  <c:v>9.610966375310381</c:v>
                </c:pt>
                <c:pt idx="19">
                  <c:v>11.358414807185</c:v>
                </c:pt>
                <c:pt idx="20">
                  <c:v>13.10586323905961</c:v>
                </c:pt>
                <c:pt idx="21">
                  <c:v>14.85331167093423</c:v>
                </c:pt>
                <c:pt idx="22">
                  <c:v>16.60076010280884</c:v>
                </c:pt>
                <c:pt idx="23">
                  <c:v>18.34820853468345</c:v>
                </c:pt>
                <c:pt idx="24">
                  <c:v>20.09565696655807</c:v>
                </c:pt>
                <c:pt idx="25">
                  <c:v>21.84310539843268</c:v>
                </c:pt>
                <c:pt idx="26">
                  <c:v>23.5905538303073</c:v>
                </c:pt>
                <c:pt idx="27">
                  <c:v>25.33800226218191</c:v>
                </c:pt>
                <c:pt idx="28">
                  <c:v>27.08545069405653</c:v>
                </c:pt>
                <c:pt idx="29">
                  <c:v>28.83289912593114</c:v>
                </c:pt>
                <c:pt idx="30">
                  <c:v>30.58034755780576</c:v>
                </c:pt>
                <c:pt idx="31">
                  <c:v>32.32779598968037</c:v>
                </c:pt>
                <c:pt idx="32">
                  <c:v>34.07524442155498</c:v>
                </c:pt>
                <c:pt idx="33">
                  <c:v>35.8226928534296</c:v>
                </c:pt>
                <c:pt idx="34">
                  <c:v>37.57014128530422</c:v>
                </c:pt>
                <c:pt idx="35">
                  <c:v>39.31758971717883</c:v>
                </c:pt>
                <c:pt idx="36">
                  <c:v>41.06503814905344</c:v>
                </c:pt>
                <c:pt idx="37">
                  <c:v>42.81248658092806</c:v>
                </c:pt>
                <c:pt idx="38">
                  <c:v>44.55993501280268</c:v>
                </c:pt>
                <c:pt idx="39">
                  <c:v>46.30738344467729</c:v>
                </c:pt>
                <c:pt idx="40">
                  <c:v>48.0548318765519</c:v>
                </c:pt>
                <c:pt idx="41">
                  <c:v>49.80228030842652</c:v>
                </c:pt>
                <c:pt idx="42">
                  <c:v>51.54972874030113</c:v>
                </c:pt>
                <c:pt idx="43">
                  <c:v>53.29717717217574</c:v>
                </c:pt>
                <c:pt idx="44">
                  <c:v>55.04462560405037</c:v>
                </c:pt>
                <c:pt idx="45">
                  <c:v>56.79207403592497</c:v>
                </c:pt>
                <c:pt idx="46">
                  <c:v>58.5395224677996</c:v>
                </c:pt>
                <c:pt idx="47">
                  <c:v>63.85359751824839</c:v>
                </c:pt>
                <c:pt idx="48">
                  <c:v>72.73429918727136</c:v>
                </c:pt>
                <c:pt idx="49">
                  <c:v>81.61500085629434</c:v>
                </c:pt>
                <c:pt idx="50">
                  <c:v>90.4957025253173</c:v>
                </c:pt>
                <c:pt idx="51">
                  <c:v>99.3764041943403</c:v>
                </c:pt>
                <c:pt idx="52">
                  <c:v>108.2571058633633</c:v>
                </c:pt>
                <c:pt idx="53">
                  <c:v>117.1378075323862</c:v>
                </c:pt>
                <c:pt idx="54">
                  <c:v>126.0185092014092</c:v>
                </c:pt>
                <c:pt idx="55">
                  <c:v>134.8992108704322</c:v>
                </c:pt>
                <c:pt idx="56">
                  <c:v>143.7799125394552</c:v>
                </c:pt>
                <c:pt idx="57">
                  <c:v>152.6606142084781</c:v>
                </c:pt>
                <c:pt idx="58">
                  <c:v>161.5413158775011</c:v>
                </c:pt>
                <c:pt idx="59">
                  <c:v>170.4220175465241</c:v>
                </c:pt>
                <c:pt idx="60">
                  <c:v>179.3027192155471</c:v>
                </c:pt>
                <c:pt idx="61">
                  <c:v>188.1834208845701</c:v>
                </c:pt>
                <c:pt idx="62">
                  <c:v>197.064122553593</c:v>
                </c:pt>
                <c:pt idx="63">
                  <c:v>205.944824222616</c:v>
                </c:pt>
                <c:pt idx="64">
                  <c:v>214.825525891639</c:v>
                </c:pt>
                <c:pt idx="65">
                  <c:v>223.706227560662</c:v>
                </c:pt>
                <c:pt idx="66">
                  <c:v>232.586929229685</c:v>
                </c:pt>
                <c:pt idx="67">
                  <c:v>241.467630898708</c:v>
                </c:pt>
                <c:pt idx="68">
                  <c:v>250.3483325677309</c:v>
                </c:pt>
                <c:pt idx="69">
                  <c:v>259.2290342367539</c:v>
                </c:pt>
                <c:pt idx="70">
                  <c:v>268.1097359057768</c:v>
                </c:pt>
                <c:pt idx="71">
                  <c:v>276.9904375747998</c:v>
                </c:pt>
                <c:pt idx="72">
                  <c:v>285.8711392438228</c:v>
                </c:pt>
                <c:pt idx="73">
                  <c:v>294.7518409128458</c:v>
                </c:pt>
                <c:pt idx="74">
                  <c:v>303.6325425818687</c:v>
                </c:pt>
                <c:pt idx="75">
                  <c:v>312.5132442508917</c:v>
                </c:pt>
                <c:pt idx="76">
                  <c:v>321.3939459199147</c:v>
                </c:pt>
                <c:pt idx="77">
                  <c:v>330.2746475889377</c:v>
                </c:pt>
                <c:pt idx="78">
                  <c:v>339.1553492579607</c:v>
                </c:pt>
                <c:pt idx="79">
                  <c:v>348.0360509269836</c:v>
                </c:pt>
                <c:pt idx="80">
                  <c:v>357.3058271932783</c:v>
                </c:pt>
                <c:pt idx="81">
                  <c:v>366.9646780568448</c:v>
                </c:pt>
                <c:pt idx="82">
                  <c:v>376.6235289204113</c:v>
                </c:pt>
                <c:pt idx="83">
                  <c:v>386.2823797839777</c:v>
                </c:pt>
                <c:pt idx="84">
                  <c:v>395.9412306475442</c:v>
                </c:pt>
                <c:pt idx="85">
                  <c:v>405.6000815111106</c:v>
                </c:pt>
                <c:pt idx="86">
                  <c:v>415.2589323746772</c:v>
                </c:pt>
                <c:pt idx="87">
                  <c:v>424.9177832382436</c:v>
                </c:pt>
                <c:pt idx="88">
                  <c:v>434.5766341018101</c:v>
                </c:pt>
                <c:pt idx="89">
                  <c:v>444.2354849653765</c:v>
                </c:pt>
                <c:pt idx="90">
                  <c:v>453.894335828943</c:v>
                </c:pt>
                <c:pt idx="91">
                  <c:v>463.5531866925095</c:v>
                </c:pt>
                <c:pt idx="92">
                  <c:v>473.212037556076</c:v>
                </c:pt>
                <c:pt idx="93">
                  <c:v>482.8708884196424</c:v>
                </c:pt>
                <c:pt idx="94">
                  <c:v>492.5297392832089</c:v>
                </c:pt>
                <c:pt idx="95">
                  <c:v>502.1885901467754</c:v>
                </c:pt>
                <c:pt idx="96">
                  <c:v>507.0180155785586</c:v>
                </c:pt>
                <c:pt idx="97">
                  <c:v>507.0180155785586</c:v>
                </c:pt>
                <c:pt idx="98">
                  <c:v>507.0180155785586</c:v>
                </c:pt>
                <c:pt idx="99">
                  <c:v>507.0180155785586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61.41058823529412</c:v>
                </c:pt>
                <c:pt idx="14">
                  <c:v>184.2317647058824</c:v>
                </c:pt>
                <c:pt idx="15">
                  <c:v>307.0529411764705</c:v>
                </c:pt>
                <c:pt idx="16">
                  <c:v>429.8741176470589</c:v>
                </c:pt>
                <c:pt idx="17">
                  <c:v>552.695294117647</c:v>
                </c:pt>
                <c:pt idx="18">
                  <c:v>675.5164705882352</c:v>
                </c:pt>
                <c:pt idx="19">
                  <c:v>798.3376470588236</c:v>
                </c:pt>
                <c:pt idx="20">
                  <c:v>921.1588235294118</c:v>
                </c:pt>
                <c:pt idx="21">
                  <c:v>1043.98</c:v>
                </c:pt>
                <c:pt idx="22">
                  <c:v>1166.801176470588</c:v>
                </c:pt>
                <c:pt idx="23">
                  <c:v>1289.622352941177</c:v>
                </c:pt>
                <c:pt idx="24">
                  <c:v>1412.443529411765</c:v>
                </c:pt>
                <c:pt idx="25">
                  <c:v>1535.264705882353</c:v>
                </c:pt>
                <c:pt idx="26">
                  <c:v>1658.085882352941</c:v>
                </c:pt>
                <c:pt idx="27">
                  <c:v>1780.907058823529</c:v>
                </c:pt>
                <c:pt idx="28">
                  <c:v>1903.728235294118</c:v>
                </c:pt>
                <c:pt idx="29">
                  <c:v>2026.549411764706</c:v>
                </c:pt>
                <c:pt idx="30">
                  <c:v>2149.370588235294</c:v>
                </c:pt>
                <c:pt idx="31">
                  <c:v>2272.191764705883</c:v>
                </c:pt>
                <c:pt idx="32">
                  <c:v>2395.012941176471</c:v>
                </c:pt>
                <c:pt idx="33">
                  <c:v>2517.834117647058</c:v>
                </c:pt>
                <c:pt idx="34">
                  <c:v>2640.655294117647</c:v>
                </c:pt>
                <c:pt idx="35">
                  <c:v>2763.476470588235</c:v>
                </c:pt>
                <c:pt idx="36">
                  <c:v>2886.297647058823</c:v>
                </c:pt>
                <c:pt idx="37">
                  <c:v>3009.118823529412</c:v>
                </c:pt>
                <c:pt idx="38">
                  <c:v>3131.94</c:v>
                </c:pt>
                <c:pt idx="39">
                  <c:v>3254.761176470588</c:v>
                </c:pt>
                <c:pt idx="40">
                  <c:v>3377.582352941176</c:v>
                </c:pt>
                <c:pt idx="41">
                  <c:v>3500.403529411765</c:v>
                </c:pt>
                <c:pt idx="42">
                  <c:v>3623.224705882353</c:v>
                </c:pt>
                <c:pt idx="43">
                  <c:v>3746.045882352941</c:v>
                </c:pt>
                <c:pt idx="44">
                  <c:v>3868.86705882353</c:v>
                </c:pt>
                <c:pt idx="45">
                  <c:v>3991.688235294117</c:v>
                </c:pt>
                <c:pt idx="46">
                  <c:v>4114.509411764706</c:v>
                </c:pt>
                <c:pt idx="47">
                  <c:v>4287.775757575758</c:v>
                </c:pt>
                <c:pt idx="48">
                  <c:v>4511.487272727273</c:v>
                </c:pt>
                <c:pt idx="49">
                  <c:v>4735.198787878788</c:v>
                </c:pt>
                <c:pt idx="50">
                  <c:v>4958.910303030303</c:v>
                </c:pt>
                <c:pt idx="51">
                  <c:v>5182.621818181818</c:v>
                </c:pt>
                <c:pt idx="52">
                  <c:v>5406.333333333334</c:v>
                </c:pt>
                <c:pt idx="53">
                  <c:v>5630.044848484848</c:v>
                </c:pt>
                <c:pt idx="54">
                  <c:v>5853.756363636364</c:v>
                </c:pt>
                <c:pt idx="55">
                  <c:v>6077.467878787878</c:v>
                </c:pt>
                <c:pt idx="56">
                  <c:v>6301.179393939394</c:v>
                </c:pt>
                <c:pt idx="57">
                  <c:v>6524.89090909091</c:v>
                </c:pt>
                <c:pt idx="58">
                  <c:v>6748.602424242424</c:v>
                </c:pt>
                <c:pt idx="59">
                  <c:v>6972.31393939394</c:v>
                </c:pt>
                <c:pt idx="60">
                  <c:v>7196.025454545454</c:v>
                </c:pt>
                <c:pt idx="61">
                  <c:v>7419.73696969697</c:v>
                </c:pt>
                <c:pt idx="62">
                  <c:v>7643.448484848484</c:v>
                </c:pt>
                <c:pt idx="63">
                  <c:v>7867.16</c:v>
                </c:pt>
                <c:pt idx="64">
                  <c:v>8090.871515151515</c:v>
                </c:pt>
                <c:pt idx="65">
                  <c:v>8314.583030303031</c:v>
                </c:pt>
                <c:pt idx="66">
                  <c:v>8538.294545454544</c:v>
                </c:pt>
                <c:pt idx="67">
                  <c:v>8762.006060606061</c:v>
                </c:pt>
                <c:pt idx="68">
                  <c:v>8985.717575757575</c:v>
                </c:pt>
                <c:pt idx="69">
                  <c:v>9209.429090909091</c:v>
                </c:pt>
                <c:pt idx="70">
                  <c:v>9433.140606060605</c:v>
                </c:pt>
                <c:pt idx="71">
                  <c:v>9656.85212121212</c:v>
                </c:pt>
                <c:pt idx="72">
                  <c:v>9880.563636363637</c:v>
                </c:pt>
                <c:pt idx="73">
                  <c:v>10104.27515151515</c:v>
                </c:pt>
                <c:pt idx="74">
                  <c:v>10327.98666666667</c:v>
                </c:pt>
                <c:pt idx="75">
                  <c:v>10551.69818181818</c:v>
                </c:pt>
                <c:pt idx="76">
                  <c:v>10775.4096969697</c:v>
                </c:pt>
                <c:pt idx="77">
                  <c:v>10999.12121212121</c:v>
                </c:pt>
                <c:pt idx="78">
                  <c:v>11222.83272727273</c:v>
                </c:pt>
                <c:pt idx="79">
                  <c:v>11446.54424242424</c:v>
                </c:pt>
                <c:pt idx="80">
                  <c:v>11608.8</c:v>
                </c:pt>
                <c:pt idx="81">
                  <c:v>11709.6</c:v>
                </c:pt>
                <c:pt idx="82">
                  <c:v>11810.4</c:v>
                </c:pt>
                <c:pt idx="83">
                  <c:v>11911.2</c:v>
                </c:pt>
                <c:pt idx="84">
                  <c:v>12012</c:v>
                </c:pt>
                <c:pt idx="85">
                  <c:v>12112.8</c:v>
                </c:pt>
                <c:pt idx="86">
                  <c:v>12213.6</c:v>
                </c:pt>
                <c:pt idx="87">
                  <c:v>12314.4</c:v>
                </c:pt>
                <c:pt idx="88">
                  <c:v>12415.2</c:v>
                </c:pt>
                <c:pt idx="89">
                  <c:v>12516</c:v>
                </c:pt>
                <c:pt idx="90">
                  <c:v>12616.8</c:v>
                </c:pt>
                <c:pt idx="91">
                  <c:v>12717.6</c:v>
                </c:pt>
                <c:pt idx="92">
                  <c:v>12818.4</c:v>
                </c:pt>
                <c:pt idx="93">
                  <c:v>12919.2</c:v>
                </c:pt>
                <c:pt idx="94">
                  <c:v>1302</c:v>
                </c:pt>
                <c:pt idx="95">
                  <c:v>13120.8</c:v>
                </c:pt>
                <c:pt idx="96">
                  <c:v>13171.2</c:v>
                </c:pt>
                <c:pt idx="97">
                  <c:v>13171.2</c:v>
                </c:pt>
                <c:pt idx="98">
                  <c:v>13171.2</c:v>
                </c:pt>
                <c:pt idx="99">
                  <c:v>13171.2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8489.599999999999</c:v>
                </c:pt>
                <c:pt idx="1">
                  <c:v>8489.599999999999</c:v>
                </c:pt>
                <c:pt idx="2">
                  <c:v>8489.599999999999</c:v>
                </c:pt>
                <c:pt idx="3">
                  <c:v>8489.599999999999</c:v>
                </c:pt>
                <c:pt idx="4">
                  <c:v>8489.599999999999</c:v>
                </c:pt>
                <c:pt idx="5">
                  <c:v>8489.599999999999</c:v>
                </c:pt>
                <c:pt idx="6">
                  <c:v>8489.599999999999</c:v>
                </c:pt>
                <c:pt idx="7">
                  <c:v>8489.599999999999</c:v>
                </c:pt>
                <c:pt idx="8">
                  <c:v>8489.599999999999</c:v>
                </c:pt>
                <c:pt idx="9">
                  <c:v>8489.599999999999</c:v>
                </c:pt>
                <c:pt idx="10">
                  <c:v>8489.599999999999</c:v>
                </c:pt>
                <c:pt idx="11">
                  <c:v>8489.599999999999</c:v>
                </c:pt>
                <c:pt idx="12">
                  <c:v>8489.599999999999</c:v>
                </c:pt>
                <c:pt idx="13">
                  <c:v>8582.53051673708</c:v>
                </c:pt>
                <c:pt idx="14">
                  <c:v>8768.391550211243</c:v>
                </c:pt>
                <c:pt idx="15">
                  <c:v>8954.252583685406</c:v>
                </c:pt>
                <c:pt idx="16">
                  <c:v>9140.11361715957</c:v>
                </c:pt>
                <c:pt idx="17">
                  <c:v>9325.974650633732</c:v>
                </c:pt>
                <c:pt idx="18">
                  <c:v>9511.835684107897</c:v>
                </c:pt>
                <c:pt idx="19">
                  <c:v>9697.69671758206</c:v>
                </c:pt>
                <c:pt idx="20">
                  <c:v>9883.55775105622</c:v>
                </c:pt>
                <c:pt idx="21">
                  <c:v>10069.41878453039</c:v>
                </c:pt>
                <c:pt idx="22">
                  <c:v>10255.27981800455</c:v>
                </c:pt>
                <c:pt idx="23">
                  <c:v>10441.14085147871</c:v>
                </c:pt>
                <c:pt idx="24">
                  <c:v>10627.00188495288</c:v>
                </c:pt>
                <c:pt idx="25">
                  <c:v>10812.86291842704</c:v>
                </c:pt>
                <c:pt idx="26">
                  <c:v>10998.7239519012</c:v>
                </c:pt>
                <c:pt idx="27">
                  <c:v>11184.58498537536</c:v>
                </c:pt>
                <c:pt idx="28">
                  <c:v>11370.44601884953</c:v>
                </c:pt>
                <c:pt idx="29">
                  <c:v>11556.30705232369</c:v>
                </c:pt>
                <c:pt idx="30">
                  <c:v>11742.16808579785</c:v>
                </c:pt>
                <c:pt idx="31">
                  <c:v>11928.02911927202</c:v>
                </c:pt>
                <c:pt idx="32">
                  <c:v>12113.89015274618</c:v>
                </c:pt>
                <c:pt idx="33">
                  <c:v>12299.75118622034</c:v>
                </c:pt>
                <c:pt idx="34">
                  <c:v>12485.61221969451</c:v>
                </c:pt>
                <c:pt idx="35">
                  <c:v>12671.47325316867</c:v>
                </c:pt>
                <c:pt idx="36">
                  <c:v>12857.33428664283</c:v>
                </c:pt>
                <c:pt idx="37">
                  <c:v>13043.195320117</c:v>
                </c:pt>
                <c:pt idx="38">
                  <c:v>13229.05635359116</c:v>
                </c:pt>
                <c:pt idx="39">
                  <c:v>13414.91738706532</c:v>
                </c:pt>
                <c:pt idx="40">
                  <c:v>13600.77842053949</c:v>
                </c:pt>
                <c:pt idx="41">
                  <c:v>13786.63945401365</c:v>
                </c:pt>
                <c:pt idx="42">
                  <c:v>13972.50048748781</c:v>
                </c:pt>
                <c:pt idx="43">
                  <c:v>14158.36152096197</c:v>
                </c:pt>
                <c:pt idx="44">
                  <c:v>14344.22255443614</c:v>
                </c:pt>
                <c:pt idx="45">
                  <c:v>14530.0835879103</c:v>
                </c:pt>
                <c:pt idx="46">
                  <c:v>14715.94462138446</c:v>
                </c:pt>
                <c:pt idx="47">
                  <c:v>14584.4982420894</c:v>
                </c:pt>
                <c:pt idx="48">
                  <c:v>14135.74445002511</c:v>
                </c:pt>
                <c:pt idx="49">
                  <c:v>13686.99065796082</c:v>
                </c:pt>
                <c:pt idx="50">
                  <c:v>13238.23686589653</c:v>
                </c:pt>
                <c:pt idx="51">
                  <c:v>12789.48307383224</c:v>
                </c:pt>
                <c:pt idx="52">
                  <c:v>12340.72928176796</c:v>
                </c:pt>
                <c:pt idx="53">
                  <c:v>11891.97548970367</c:v>
                </c:pt>
                <c:pt idx="54">
                  <c:v>11443.22169763938</c:v>
                </c:pt>
                <c:pt idx="55">
                  <c:v>10994.46790557509</c:v>
                </c:pt>
                <c:pt idx="56">
                  <c:v>10545.7141135108</c:v>
                </c:pt>
                <c:pt idx="57">
                  <c:v>10096.96032144651</c:v>
                </c:pt>
                <c:pt idx="58">
                  <c:v>9648.20652938222</c:v>
                </c:pt>
                <c:pt idx="59">
                  <c:v>9199.45273731793</c:v>
                </c:pt>
                <c:pt idx="60">
                  <c:v>8750.69894525364</c:v>
                </c:pt>
                <c:pt idx="61">
                  <c:v>8301.94515318935</c:v>
                </c:pt>
                <c:pt idx="62">
                  <c:v>7853.191361125062</c:v>
                </c:pt>
                <c:pt idx="63">
                  <c:v>7404.437569060773</c:v>
                </c:pt>
                <c:pt idx="64">
                  <c:v>6955.683776996484</c:v>
                </c:pt>
                <c:pt idx="65">
                  <c:v>6506.929984932194</c:v>
                </c:pt>
                <c:pt idx="66">
                  <c:v>6058.176192867904</c:v>
                </c:pt>
                <c:pt idx="67">
                  <c:v>5609.422400803616</c:v>
                </c:pt>
                <c:pt idx="68">
                  <c:v>5160.668608739326</c:v>
                </c:pt>
                <c:pt idx="69">
                  <c:v>4711.914816675038</c:v>
                </c:pt>
                <c:pt idx="70">
                  <c:v>4263.161024610748</c:v>
                </c:pt>
                <c:pt idx="71">
                  <c:v>3814.407232546458</c:v>
                </c:pt>
                <c:pt idx="72">
                  <c:v>3365.65344048217</c:v>
                </c:pt>
                <c:pt idx="73">
                  <c:v>2916.899648417881</c:v>
                </c:pt>
                <c:pt idx="74">
                  <c:v>2468.145856353591</c:v>
                </c:pt>
                <c:pt idx="75">
                  <c:v>2019.392064289301</c:v>
                </c:pt>
                <c:pt idx="76">
                  <c:v>1570.638272225013</c:v>
                </c:pt>
                <c:pt idx="77">
                  <c:v>1121.884480160723</c:v>
                </c:pt>
                <c:pt idx="78">
                  <c:v>673.130688096433</c:v>
                </c:pt>
                <c:pt idx="79">
                  <c:v>224.3768960321449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197.6470588235294</c:v>
                </c:pt>
                <c:pt idx="14">
                  <c:v>592.9411764705882</c:v>
                </c:pt>
                <c:pt idx="15">
                  <c:v>988.2352941176468</c:v>
                </c:pt>
                <c:pt idx="16">
                  <c:v>1383.529411764706</c:v>
                </c:pt>
                <c:pt idx="17">
                  <c:v>1778.823529411764</c:v>
                </c:pt>
                <c:pt idx="18">
                  <c:v>2174.117647058823</c:v>
                </c:pt>
                <c:pt idx="19">
                  <c:v>2569.411764705882</c:v>
                </c:pt>
                <c:pt idx="20">
                  <c:v>2964.705882352941</c:v>
                </c:pt>
                <c:pt idx="21">
                  <c:v>336</c:v>
                </c:pt>
                <c:pt idx="22">
                  <c:v>3755.294117647058</c:v>
                </c:pt>
                <c:pt idx="23">
                  <c:v>4150.588235294117</c:v>
                </c:pt>
                <c:pt idx="24">
                  <c:v>4545.882352941176</c:v>
                </c:pt>
                <c:pt idx="25">
                  <c:v>4941.176470588234</c:v>
                </c:pt>
                <c:pt idx="26">
                  <c:v>5336.470588235294</c:v>
                </c:pt>
                <c:pt idx="27">
                  <c:v>5731.764705882352</c:v>
                </c:pt>
                <c:pt idx="28">
                  <c:v>6127.05882352941</c:v>
                </c:pt>
                <c:pt idx="29">
                  <c:v>6522.35294117647</c:v>
                </c:pt>
                <c:pt idx="30">
                  <c:v>6917.647058823529</c:v>
                </c:pt>
                <c:pt idx="31">
                  <c:v>7312.941176470587</c:v>
                </c:pt>
                <c:pt idx="32">
                  <c:v>7708.235294117646</c:v>
                </c:pt>
                <c:pt idx="33">
                  <c:v>8103.529411764704</c:v>
                </c:pt>
                <c:pt idx="34">
                  <c:v>8498.823529411762</c:v>
                </c:pt>
                <c:pt idx="35">
                  <c:v>8894.11764705882</c:v>
                </c:pt>
                <c:pt idx="36">
                  <c:v>9289.41176470588</c:v>
                </c:pt>
                <c:pt idx="37">
                  <c:v>9684.705882352938</c:v>
                </c:pt>
                <c:pt idx="38">
                  <c:v>1008</c:v>
                </c:pt>
                <c:pt idx="39">
                  <c:v>10475.29411764706</c:v>
                </c:pt>
                <c:pt idx="40">
                  <c:v>10870.58823529412</c:v>
                </c:pt>
                <c:pt idx="41">
                  <c:v>11265.88235294117</c:v>
                </c:pt>
                <c:pt idx="42">
                  <c:v>11661.17647058823</c:v>
                </c:pt>
                <c:pt idx="43">
                  <c:v>12056.47058823529</c:v>
                </c:pt>
                <c:pt idx="44">
                  <c:v>12451.76470588235</c:v>
                </c:pt>
                <c:pt idx="45">
                  <c:v>12847.05882352941</c:v>
                </c:pt>
                <c:pt idx="46">
                  <c:v>13242.35294117647</c:v>
                </c:pt>
                <c:pt idx="47">
                  <c:v>15802.18181818182</c:v>
                </c:pt>
                <c:pt idx="48">
                  <c:v>20526.54545454545</c:v>
                </c:pt>
                <c:pt idx="49">
                  <c:v>25250.90909090909</c:v>
                </c:pt>
                <c:pt idx="50">
                  <c:v>29975.27272727272</c:v>
                </c:pt>
                <c:pt idx="51">
                  <c:v>34699.63636363635</c:v>
                </c:pt>
                <c:pt idx="52">
                  <c:v>39423.99999999998</c:v>
                </c:pt>
                <c:pt idx="53">
                  <c:v>44148.36363636363</c:v>
                </c:pt>
                <c:pt idx="54">
                  <c:v>48872.72727272726</c:v>
                </c:pt>
                <c:pt idx="55">
                  <c:v>53597.0909090909</c:v>
                </c:pt>
                <c:pt idx="56">
                  <c:v>58321.45454545452</c:v>
                </c:pt>
                <c:pt idx="57">
                  <c:v>63045.81818181816</c:v>
                </c:pt>
                <c:pt idx="58">
                  <c:v>67770.1818181818</c:v>
                </c:pt>
                <c:pt idx="59">
                  <c:v>72494.54545454542</c:v>
                </c:pt>
                <c:pt idx="60">
                  <c:v>77218.90909090906</c:v>
                </c:pt>
                <c:pt idx="61">
                  <c:v>81943.27272727271</c:v>
                </c:pt>
                <c:pt idx="62">
                  <c:v>86667.63636363633</c:v>
                </c:pt>
                <c:pt idx="63">
                  <c:v>91391.99999999997</c:v>
                </c:pt>
                <c:pt idx="64">
                  <c:v>96116.3636363636</c:v>
                </c:pt>
                <c:pt idx="65">
                  <c:v>100840.7272727273</c:v>
                </c:pt>
                <c:pt idx="66">
                  <c:v>105565.0909090909</c:v>
                </c:pt>
                <c:pt idx="67">
                  <c:v>110289.4545454545</c:v>
                </c:pt>
                <c:pt idx="68">
                  <c:v>115013.8181818181</c:v>
                </c:pt>
                <c:pt idx="69">
                  <c:v>119738.1818181818</c:v>
                </c:pt>
                <c:pt idx="70">
                  <c:v>124462.5454545454</c:v>
                </c:pt>
                <c:pt idx="71">
                  <c:v>129186.909090909</c:v>
                </c:pt>
                <c:pt idx="72">
                  <c:v>133911.2727272727</c:v>
                </c:pt>
                <c:pt idx="73">
                  <c:v>138635.6363636363</c:v>
                </c:pt>
                <c:pt idx="74">
                  <c:v>143359.9999999999</c:v>
                </c:pt>
                <c:pt idx="75">
                  <c:v>148084.3636363636</c:v>
                </c:pt>
                <c:pt idx="76">
                  <c:v>152808.7272727272</c:v>
                </c:pt>
                <c:pt idx="77">
                  <c:v>157533.0909090909</c:v>
                </c:pt>
                <c:pt idx="78">
                  <c:v>162257.4545454545</c:v>
                </c:pt>
                <c:pt idx="79">
                  <c:v>166981.8181818181</c:v>
                </c:pt>
                <c:pt idx="80">
                  <c:v>171107.9999999999</c:v>
                </c:pt>
                <c:pt idx="81">
                  <c:v>174635.9999999999</c:v>
                </c:pt>
                <c:pt idx="82">
                  <c:v>178163.9999999999</c:v>
                </c:pt>
                <c:pt idx="83">
                  <c:v>181691.9999999999</c:v>
                </c:pt>
                <c:pt idx="84">
                  <c:v>18522</c:v>
                </c:pt>
                <c:pt idx="85">
                  <c:v>188748</c:v>
                </c:pt>
                <c:pt idx="86">
                  <c:v>192276</c:v>
                </c:pt>
                <c:pt idx="87">
                  <c:v>195804</c:v>
                </c:pt>
                <c:pt idx="88">
                  <c:v>199332</c:v>
                </c:pt>
                <c:pt idx="89">
                  <c:v>20286</c:v>
                </c:pt>
                <c:pt idx="90">
                  <c:v>206388</c:v>
                </c:pt>
                <c:pt idx="91">
                  <c:v>209916.0</c:v>
                </c:pt>
                <c:pt idx="92">
                  <c:v>213444.0</c:v>
                </c:pt>
                <c:pt idx="93">
                  <c:v>216972.0</c:v>
                </c:pt>
                <c:pt idx="94">
                  <c:v>220500.0</c:v>
                </c:pt>
                <c:pt idx="95">
                  <c:v>224028.0</c:v>
                </c:pt>
                <c:pt idx="96">
                  <c:v>225792.0</c:v>
                </c:pt>
                <c:pt idx="97">
                  <c:v>225792.0</c:v>
                </c:pt>
                <c:pt idx="98">
                  <c:v>225792.0</c:v>
                </c:pt>
                <c:pt idx="99">
                  <c:v>225792.0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2567.04</c:v>
                </c:pt>
                <c:pt idx="1">
                  <c:v>2567.04</c:v>
                </c:pt>
                <c:pt idx="2">
                  <c:v>2567.04</c:v>
                </c:pt>
                <c:pt idx="3">
                  <c:v>2567.04</c:v>
                </c:pt>
                <c:pt idx="4">
                  <c:v>2567.04</c:v>
                </c:pt>
                <c:pt idx="5">
                  <c:v>2567.04</c:v>
                </c:pt>
                <c:pt idx="6">
                  <c:v>2567.04</c:v>
                </c:pt>
                <c:pt idx="7">
                  <c:v>2567.04</c:v>
                </c:pt>
                <c:pt idx="8">
                  <c:v>2567.04</c:v>
                </c:pt>
                <c:pt idx="9">
                  <c:v>2567.04</c:v>
                </c:pt>
                <c:pt idx="10">
                  <c:v>2567.04</c:v>
                </c:pt>
                <c:pt idx="11">
                  <c:v>2567.04</c:v>
                </c:pt>
                <c:pt idx="12">
                  <c:v>2567.04</c:v>
                </c:pt>
                <c:pt idx="13">
                  <c:v>2632.889411764706</c:v>
                </c:pt>
                <c:pt idx="14">
                  <c:v>2764.588235294117</c:v>
                </c:pt>
                <c:pt idx="15">
                  <c:v>2896.28705882353</c:v>
                </c:pt>
                <c:pt idx="16">
                  <c:v>3027.985882352941</c:v>
                </c:pt>
                <c:pt idx="17">
                  <c:v>3159.684705882352</c:v>
                </c:pt>
                <c:pt idx="18">
                  <c:v>3291.383529411764</c:v>
                </c:pt>
                <c:pt idx="19">
                  <c:v>3423.082352941176</c:v>
                </c:pt>
                <c:pt idx="20">
                  <c:v>3554.781176470588</c:v>
                </c:pt>
                <c:pt idx="21">
                  <c:v>3686.48</c:v>
                </c:pt>
                <c:pt idx="22">
                  <c:v>3818.178823529412</c:v>
                </c:pt>
                <c:pt idx="23">
                  <c:v>3949.877647058823</c:v>
                </c:pt>
                <c:pt idx="24">
                  <c:v>4081.576470588235</c:v>
                </c:pt>
                <c:pt idx="25">
                  <c:v>4213.275294117646</c:v>
                </c:pt>
                <c:pt idx="26">
                  <c:v>4344.974117647058</c:v>
                </c:pt>
                <c:pt idx="27">
                  <c:v>4476.67294117647</c:v>
                </c:pt>
                <c:pt idx="28">
                  <c:v>4608.371764705882</c:v>
                </c:pt>
                <c:pt idx="29">
                  <c:v>4740.070588235294</c:v>
                </c:pt>
                <c:pt idx="30">
                  <c:v>4871.769411764706</c:v>
                </c:pt>
                <c:pt idx="31">
                  <c:v>5003.468235294117</c:v>
                </c:pt>
                <c:pt idx="32">
                  <c:v>5135.16705882353</c:v>
                </c:pt>
                <c:pt idx="33">
                  <c:v>5266.86588235294</c:v>
                </c:pt>
                <c:pt idx="34">
                  <c:v>5398.564705882352</c:v>
                </c:pt>
                <c:pt idx="35">
                  <c:v>5530.263529411764</c:v>
                </c:pt>
                <c:pt idx="36">
                  <c:v>5661.962352941177</c:v>
                </c:pt>
                <c:pt idx="37">
                  <c:v>5793.661176470588</c:v>
                </c:pt>
                <c:pt idx="38">
                  <c:v>5925.36</c:v>
                </c:pt>
                <c:pt idx="39">
                  <c:v>6057.05882352941</c:v>
                </c:pt>
                <c:pt idx="40">
                  <c:v>6188.757647058823</c:v>
                </c:pt>
                <c:pt idx="41">
                  <c:v>6320.456470588235</c:v>
                </c:pt>
                <c:pt idx="42">
                  <c:v>6452.155294117646</c:v>
                </c:pt>
                <c:pt idx="43">
                  <c:v>6583.854117647058</c:v>
                </c:pt>
                <c:pt idx="44">
                  <c:v>6715.55294117647</c:v>
                </c:pt>
                <c:pt idx="45">
                  <c:v>6847.251764705883</c:v>
                </c:pt>
                <c:pt idx="46">
                  <c:v>6978.950588235295</c:v>
                </c:pt>
                <c:pt idx="47">
                  <c:v>6938.060606060605</c:v>
                </c:pt>
                <c:pt idx="48">
                  <c:v>6724.581818181817</c:v>
                </c:pt>
                <c:pt idx="49">
                  <c:v>6511.10303030303</c:v>
                </c:pt>
                <c:pt idx="50">
                  <c:v>6297.624242424241</c:v>
                </c:pt>
                <c:pt idx="51">
                  <c:v>6084.145454545453</c:v>
                </c:pt>
                <c:pt idx="52">
                  <c:v>5870.666666666666</c:v>
                </c:pt>
                <c:pt idx="53">
                  <c:v>5657.187878787877</c:v>
                </c:pt>
                <c:pt idx="54">
                  <c:v>5443.70909090909</c:v>
                </c:pt>
                <c:pt idx="55">
                  <c:v>5230.230303030303</c:v>
                </c:pt>
                <c:pt idx="56">
                  <c:v>5016.751515151514</c:v>
                </c:pt>
                <c:pt idx="57">
                  <c:v>4803.272727272726</c:v>
                </c:pt>
                <c:pt idx="58">
                  <c:v>4589.793939393938</c:v>
                </c:pt>
                <c:pt idx="59">
                  <c:v>4376.31515151515</c:v>
                </c:pt>
                <c:pt idx="60">
                  <c:v>4162.836363636363</c:v>
                </c:pt>
                <c:pt idx="61">
                  <c:v>3949.357575757575</c:v>
                </c:pt>
                <c:pt idx="62">
                  <c:v>3735.878787878788</c:v>
                </c:pt>
                <c:pt idx="63">
                  <c:v>3522.4</c:v>
                </c:pt>
                <c:pt idx="64">
                  <c:v>3308.921212121212</c:v>
                </c:pt>
                <c:pt idx="65">
                  <c:v>3095.442424242424</c:v>
                </c:pt>
                <c:pt idx="66">
                  <c:v>2881.963636363636</c:v>
                </c:pt>
                <c:pt idx="67">
                  <c:v>2668.484848484848</c:v>
                </c:pt>
                <c:pt idx="68">
                  <c:v>2455.006060606061</c:v>
                </c:pt>
                <c:pt idx="69">
                  <c:v>2241.527272727273</c:v>
                </c:pt>
                <c:pt idx="70">
                  <c:v>2028.048484848485</c:v>
                </c:pt>
                <c:pt idx="71">
                  <c:v>1814.569696969697</c:v>
                </c:pt>
                <c:pt idx="72">
                  <c:v>1601.090909090908</c:v>
                </c:pt>
                <c:pt idx="73">
                  <c:v>1387.612121212121</c:v>
                </c:pt>
                <c:pt idx="74">
                  <c:v>1174.133333333333</c:v>
                </c:pt>
                <c:pt idx="75">
                  <c:v>960.6545454545449</c:v>
                </c:pt>
                <c:pt idx="76">
                  <c:v>747.1757575757574</c:v>
                </c:pt>
                <c:pt idx="77">
                  <c:v>533.69696969697</c:v>
                </c:pt>
                <c:pt idx="78">
                  <c:v>320.2181818181816</c:v>
                </c:pt>
                <c:pt idx="79">
                  <c:v>106.7393939393942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31.6235294117647</c:v>
                </c:pt>
                <c:pt idx="14">
                  <c:v>94.87058823529411</c:v>
                </c:pt>
                <c:pt idx="15">
                  <c:v>158.1176470588235</c:v>
                </c:pt>
                <c:pt idx="16">
                  <c:v>221.3647058823529</c:v>
                </c:pt>
                <c:pt idx="17">
                  <c:v>284.6117647058823</c:v>
                </c:pt>
                <c:pt idx="18">
                  <c:v>347.8588235294116</c:v>
                </c:pt>
                <c:pt idx="19">
                  <c:v>411.1058823529411</c:v>
                </c:pt>
                <c:pt idx="20">
                  <c:v>474.3529411764705</c:v>
                </c:pt>
                <c:pt idx="21">
                  <c:v>537.6</c:v>
                </c:pt>
                <c:pt idx="22">
                  <c:v>600.8470588235293</c:v>
                </c:pt>
                <c:pt idx="23">
                  <c:v>664.0941176470587</c:v>
                </c:pt>
                <c:pt idx="24">
                  <c:v>727.341176470588</c:v>
                </c:pt>
                <c:pt idx="25">
                  <c:v>790.5882352941175</c:v>
                </c:pt>
                <c:pt idx="26">
                  <c:v>853.8352941176469</c:v>
                </c:pt>
                <c:pt idx="27">
                  <c:v>917.0823529411763</c:v>
                </c:pt>
                <c:pt idx="28">
                  <c:v>980.3294117647058</c:v>
                </c:pt>
                <c:pt idx="29">
                  <c:v>1043.576470588235</c:v>
                </c:pt>
                <c:pt idx="30">
                  <c:v>1106.823529411764</c:v>
                </c:pt>
                <c:pt idx="31">
                  <c:v>1170.070588235294</c:v>
                </c:pt>
                <c:pt idx="32">
                  <c:v>1233.317647058823</c:v>
                </c:pt>
                <c:pt idx="33">
                  <c:v>1296.564705882353</c:v>
                </c:pt>
                <c:pt idx="34">
                  <c:v>1359.811764705882</c:v>
                </c:pt>
                <c:pt idx="35">
                  <c:v>1423.058823529411</c:v>
                </c:pt>
                <c:pt idx="36">
                  <c:v>1486.305882352941</c:v>
                </c:pt>
                <c:pt idx="37">
                  <c:v>1549.55294117647</c:v>
                </c:pt>
                <c:pt idx="38">
                  <c:v>1612.8</c:v>
                </c:pt>
                <c:pt idx="39">
                  <c:v>1676.04705882353</c:v>
                </c:pt>
                <c:pt idx="40">
                  <c:v>1739.294117647059</c:v>
                </c:pt>
                <c:pt idx="41">
                  <c:v>1802.541176470588</c:v>
                </c:pt>
                <c:pt idx="42">
                  <c:v>1865.788235294117</c:v>
                </c:pt>
                <c:pt idx="43">
                  <c:v>1929.035294117647</c:v>
                </c:pt>
                <c:pt idx="44">
                  <c:v>1992.282352941176</c:v>
                </c:pt>
                <c:pt idx="45">
                  <c:v>2055.529411764705</c:v>
                </c:pt>
                <c:pt idx="46">
                  <c:v>2118.776470588235</c:v>
                </c:pt>
                <c:pt idx="47">
                  <c:v>2753.163636363636</c:v>
                </c:pt>
                <c:pt idx="48">
                  <c:v>3958.690909090908</c:v>
                </c:pt>
                <c:pt idx="49">
                  <c:v>5164.218181818181</c:v>
                </c:pt>
                <c:pt idx="50">
                  <c:v>6369.745454545453</c:v>
                </c:pt>
                <c:pt idx="51">
                  <c:v>7575.272727272725</c:v>
                </c:pt>
                <c:pt idx="52">
                  <c:v>8780.799999999997</c:v>
                </c:pt>
                <c:pt idx="53">
                  <c:v>9986.327272727271</c:v>
                </c:pt>
                <c:pt idx="54">
                  <c:v>11191.85454545454</c:v>
                </c:pt>
                <c:pt idx="55">
                  <c:v>12397.38181818182</c:v>
                </c:pt>
                <c:pt idx="56">
                  <c:v>13602.90909090909</c:v>
                </c:pt>
                <c:pt idx="57">
                  <c:v>14808.43636363636</c:v>
                </c:pt>
                <c:pt idx="58">
                  <c:v>16013.96363636363</c:v>
                </c:pt>
                <c:pt idx="59">
                  <c:v>17219.49090909091</c:v>
                </c:pt>
                <c:pt idx="60">
                  <c:v>18425.01818181817</c:v>
                </c:pt>
                <c:pt idx="61">
                  <c:v>19630.54545454545</c:v>
                </c:pt>
                <c:pt idx="62">
                  <c:v>20836.07272727272</c:v>
                </c:pt>
                <c:pt idx="63">
                  <c:v>22041.59999999999</c:v>
                </c:pt>
                <c:pt idx="64">
                  <c:v>23247.12727272727</c:v>
                </c:pt>
                <c:pt idx="65">
                  <c:v>24452.65454545454</c:v>
                </c:pt>
                <c:pt idx="66">
                  <c:v>25658.18181818181</c:v>
                </c:pt>
                <c:pt idx="67">
                  <c:v>26863.70909090908</c:v>
                </c:pt>
                <c:pt idx="68">
                  <c:v>28069.23636363636</c:v>
                </c:pt>
                <c:pt idx="69">
                  <c:v>29274.76363636363</c:v>
                </c:pt>
                <c:pt idx="70">
                  <c:v>30480.2909090909</c:v>
                </c:pt>
                <c:pt idx="71">
                  <c:v>31685.81818181817</c:v>
                </c:pt>
                <c:pt idx="72">
                  <c:v>32891.34545454544</c:v>
                </c:pt>
                <c:pt idx="73">
                  <c:v>34096.87272727272</c:v>
                </c:pt>
                <c:pt idx="74">
                  <c:v>35302.39999999998</c:v>
                </c:pt>
                <c:pt idx="75">
                  <c:v>36507.92727272726</c:v>
                </c:pt>
                <c:pt idx="76">
                  <c:v>37713.45454545453</c:v>
                </c:pt>
                <c:pt idx="77">
                  <c:v>38918.9818181818</c:v>
                </c:pt>
                <c:pt idx="78">
                  <c:v>40124.50909090908</c:v>
                </c:pt>
                <c:pt idx="79">
                  <c:v>41330.03636363635</c:v>
                </c:pt>
                <c:pt idx="80">
                  <c:v>43948.79999999999</c:v>
                </c:pt>
                <c:pt idx="81">
                  <c:v>47980.79999999999</c:v>
                </c:pt>
                <c:pt idx="82">
                  <c:v>52012.79999999999</c:v>
                </c:pt>
                <c:pt idx="83">
                  <c:v>56044.79999999999</c:v>
                </c:pt>
                <c:pt idx="84">
                  <c:v>60076.79999999999</c:v>
                </c:pt>
                <c:pt idx="85">
                  <c:v>64108.79999999999</c:v>
                </c:pt>
                <c:pt idx="86">
                  <c:v>68140.79999999999</c:v>
                </c:pt>
                <c:pt idx="87">
                  <c:v>72172.79999999999</c:v>
                </c:pt>
                <c:pt idx="88">
                  <c:v>76204.79999999999</c:v>
                </c:pt>
                <c:pt idx="89">
                  <c:v>80236.79999999999</c:v>
                </c:pt>
                <c:pt idx="90">
                  <c:v>84268.79999999999</c:v>
                </c:pt>
                <c:pt idx="91">
                  <c:v>88300.79999999999</c:v>
                </c:pt>
                <c:pt idx="92">
                  <c:v>92332.79999999997</c:v>
                </c:pt>
                <c:pt idx="93">
                  <c:v>96364.79999999997</c:v>
                </c:pt>
                <c:pt idx="94">
                  <c:v>100396.8</c:v>
                </c:pt>
                <c:pt idx="95">
                  <c:v>104428.8</c:v>
                </c:pt>
                <c:pt idx="96">
                  <c:v>106444.8</c:v>
                </c:pt>
                <c:pt idx="97">
                  <c:v>106444.8</c:v>
                </c:pt>
                <c:pt idx="98">
                  <c:v>106444.8</c:v>
                </c:pt>
                <c:pt idx="99">
                  <c:v>106444.8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0.900877478063048</c:v>
                </c:pt>
                <c:pt idx="14">
                  <c:v>2.702632434189145</c:v>
                </c:pt>
                <c:pt idx="15">
                  <c:v>4.504387390315242</c:v>
                </c:pt>
                <c:pt idx="16">
                  <c:v>6.30614234644134</c:v>
                </c:pt>
                <c:pt idx="17">
                  <c:v>8.107897302567435</c:v>
                </c:pt>
                <c:pt idx="18">
                  <c:v>9.90965225869353</c:v>
                </c:pt>
                <c:pt idx="19">
                  <c:v>11.71140721481963</c:v>
                </c:pt>
                <c:pt idx="20">
                  <c:v>13.51316217094573</c:v>
                </c:pt>
                <c:pt idx="21">
                  <c:v>15.31491712707182</c:v>
                </c:pt>
                <c:pt idx="22">
                  <c:v>17.11667208319792</c:v>
                </c:pt>
                <c:pt idx="23">
                  <c:v>18.91842703932402</c:v>
                </c:pt>
                <c:pt idx="24">
                  <c:v>20.72018199545012</c:v>
                </c:pt>
                <c:pt idx="25">
                  <c:v>22.52193695157621</c:v>
                </c:pt>
                <c:pt idx="26">
                  <c:v>24.32369190770231</c:v>
                </c:pt>
                <c:pt idx="27">
                  <c:v>26.1254468638284</c:v>
                </c:pt>
                <c:pt idx="28">
                  <c:v>27.9272018199545</c:v>
                </c:pt>
                <c:pt idx="29">
                  <c:v>29.72895677608059</c:v>
                </c:pt>
                <c:pt idx="30">
                  <c:v>31.5307117322067</c:v>
                </c:pt>
                <c:pt idx="31">
                  <c:v>33.33246668833279</c:v>
                </c:pt>
                <c:pt idx="32">
                  <c:v>35.13422164445889</c:v>
                </c:pt>
                <c:pt idx="33">
                  <c:v>36.93597660058497</c:v>
                </c:pt>
                <c:pt idx="34">
                  <c:v>38.73773155671108</c:v>
                </c:pt>
                <c:pt idx="35">
                  <c:v>40.53948651283718</c:v>
                </c:pt>
                <c:pt idx="36">
                  <c:v>42.34124146896328</c:v>
                </c:pt>
                <c:pt idx="37">
                  <c:v>44.14299642508937</c:v>
                </c:pt>
                <c:pt idx="38">
                  <c:v>45.94475138121547</c:v>
                </c:pt>
                <c:pt idx="39">
                  <c:v>47.74650633734156</c:v>
                </c:pt>
                <c:pt idx="40">
                  <c:v>49.54826129346766</c:v>
                </c:pt>
                <c:pt idx="41">
                  <c:v>51.35001624959376</c:v>
                </c:pt>
                <c:pt idx="42">
                  <c:v>53.15177120571985</c:v>
                </c:pt>
                <c:pt idx="43">
                  <c:v>54.95352616184595</c:v>
                </c:pt>
                <c:pt idx="44">
                  <c:v>56.75528111797205</c:v>
                </c:pt>
                <c:pt idx="45">
                  <c:v>58.55703607409814</c:v>
                </c:pt>
                <c:pt idx="46">
                  <c:v>60.35879103022424</c:v>
                </c:pt>
                <c:pt idx="47">
                  <c:v>61.44530386740331</c:v>
                </c:pt>
                <c:pt idx="48">
                  <c:v>61.81657458563536</c:v>
                </c:pt>
                <c:pt idx="49">
                  <c:v>62.1878453038674</c:v>
                </c:pt>
                <c:pt idx="50">
                  <c:v>62.55911602209944</c:v>
                </c:pt>
                <c:pt idx="51">
                  <c:v>62.93038674033149</c:v>
                </c:pt>
                <c:pt idx="52">
                  <c:v>63.30165745856353</c:v>
                </c:pt>
                <c:pt idx="53">
                  <c:v>63.67292817679558</c:v>
                </c:pt>
                <c:pt idx="54">
                  <c:v>64.04419889502761</c:v>
                </c:pt>
                <c:pt idx="55">
                  <c:v>64.41546961325965</c:v>
                </c:pt>
                <c:pt idx="56">
                  <c:v>64.78674033149171</c:v>
                </c:pt>
                <c:pt idx="57">
                  <c:v>65.15801104972375</c:v>
                </c:pt>
                <c:pt idx="58">
                  <c:v>65.52928176795579</c:v>
                </c:pt>
                <c:pt idx="59">
                  <c:v>65.90055248618783</c:v>
                </c:pt>
                <c:pt idx="60">
                  <c:v>66.27182320441988</c:v>
                </c:pt>
                <c:pt idx="61">
                  <c:v>66.64309392265193</c:v>
                </c:pt>
                <c:pt idx="62">
                  <c:v>67.01436464088396</c:v>
                </c:pt>
                <c:pt idx="63">
                  <c:v>67.38563535911601</c:v>
                </c:pt>
                <c:pt idx="64">
                  <c:v>67.75690607734806</c:v>
                </c:pt>
                <c:pt idx="65">
                  <c:v>68.1281767955801</c:v>
                </c:pt>
                <c:pt idx="66">
                  <c:v>68.49944751381214</c:v>
                </c:pt>
                <c:pt idx="67">
                  <c:v>68.8707182320442</c:v>
                </c:pt>
                <c:pt idx="68">
                  <c:v>69.24198895027623</c:v>
                </c:pt>
                <c:pt idx="69">
                  <c:v>69.61325966850827</c:v>
                </c:pt>
                <c:pt idx="70">
                  <c:v>69.98453038674031</c:v>
                </c:pt>
                <c:pt idx="71">
                  <c:v>70.35580110497237</c:v>
                </c:pt>
                <c:pt idx="72">
                  <c:v>70.72707182320441</c:v>
                </c:pt>
                <c:pt idx="73">
                  <c:v>71.09834254143645</c:v>
                </c:pt>
                <c:pt idx="74">
                  <c:v>71.4696132596685</c:v>
                </c:pt>
                <c:pt idx="75">
                  <c:v>71.84088397790054</c:v>
                </c:pt>
                <c:pt idx="76">
                  <c:v>72.21215469613258</c:v>
                </c:pt>
                <c:pt idx="77">
                  <c:v>72.58342541436463</c:v>
                </c:pt>
                <c:pt idx="78">
                  <c:v>72.95469613259668</c:v>
                </c:pt>
                <c:pt idx="79">
                  <c:v>73.32596685082872</c:v>
                </c:pt>
                <c:pt idx="80">
                  <c:v>71.21436464088397</c:v>
                </c:pt>
                <c:pt idx="81">
                  <c:v>66.61988950276242</c:v>
                </c:pt>
                <c:pt idx="82">
                  <c:v>62.02541436464087</c:v>
                </c:pt>
                <c:pt idx="83">
                  <c:v>57.43093922651932</c:v>
                </c:pt>
                <c:pt idx="84">
                  <c:v>52.83646408839778</c:v>
                </c:pt>
                <c:pt idx="85">
                  <c:v>48.24198895027624</c:v>
                </c:pt>
                <c:pt idx="86">
                  <c:v>43.64751381215468</c:v>
                </c:pt>
                <c:pt idx="87">
                  <c:v>39.05303867403315</c:v>
                </c:pt>
                <c:pt idx="88">
                  <c:v>34.45856353591159</c:v>
                </c:pt>
                <c:pt idx="89">
                  <c:v>29.86408839779005</c:v>
                </c:pt>
                <c:pt idx="90">
                  <c:v>25.2696132596685</c:v>
                </c:pt>
                <c:pt idx="91">
                  <c:v>20.67513812154696</c:v>
                </c:pt>
                <c:pt idx="92">
                  <c:v>16.08066298342541</c:v>
                </c:pt>
                <c:pt idx="93">
                  <c:v>11.48618784530387</c:v>
                </c:pt>
                <c:pt idx="94">
                  <c:v>6.891712707182321</c:v>
                </c:pt>
                <c:pt idx="95">
                  <c:v>2.29723756906077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18197.81764705882</c:v>
                </c:pt>
                <c:pt idx="1">
                  <c:v>18197.81764705882</c:v>
                </c:pt>
                <c:pt idx="2">
                  <c:v>18197.81764705882</c:v>
                </c:pt>
                <c:pt idx="3">
                  <c:v>18197.81764705882</c:v>
                </c:pt>
                <c:pt idx="4">
                  <c:v>18197.81764705882</c:v>
                </c:pt>
                <c:pt idx="5">
                  <c:v>18197.81764705882</c:v>
                </c:pt>
                <c:pt idx="6">
                  <c:v>18197.81764705882</c:v>
                </c:pt>
                <c:pt idx="7">
                  <c:v>18197.81764705882</c:v>
                </c:pt>
                <c:pt idx="8">
                  <c:v>18197.81764705882</c:v>
                </c:pt>
                <c:pt idx="9">
                  <c:v>18197.81764705882</c:v>
                </c:pt>
                <c:pt idx="10">
                  <c:v>18197.81764705882</c:v>
                </c:pt>
                <c:pt idx="11">
                  <c:v>18197.81764705882</c:v>
                </c:pt>
                <c:pt idx="12">
                  <c:v>18197.81764705882</c:v>
                </c:pt>
                <c:pt idx="13">
                  <c:v>18197.81764705882</c:v>
                </c:pt>
                <c:pt idx="14">
                  <c:v>18197.81764705882</c:v>
                </c:pt>
                <c:pt idx="15">
                  <c:v>18197.81764705882</c:v>
                </c:pt>
                <c:pt idx="16">
                  <c:v>18197.81764705882</c:v>
                </c:pt>
                <c:pt idx="17">
                  <c:v>18197.81764705882</c:v>
                </c:pt>
                <c:pt idx="18">
                  <c:v>18197.81764705882</c:v>
                </c:pt>
                <c:pt idx="19">
                  <c:v>18197.81764705882</c:v>
                </c:pt>
                <c:pt idx="20">
                  <c:v>18197.81764705882</c:v>
                </c:pt>
                <c:pt idx="21">
                  <c:v>18197.81764705882</c:v>
                </c:pt>
                <c:pt idx="22">
                  <c:v>18197.81764705882</c:v>
                </c:pt>
                <c:pt idx="23">
                  <c:v>18197.81764705882</c:v>
                </c:pt>
                <c:pt idx="24">
                  <c:v>18197.81764705882</c:v>
                </c:pt>
                <c:pt idx="25">
                  <c:v>18197.81764705882</c:v>
                </c:pt>
                <c:pt idx="26">
                  <c:v>18197.81764705882</c:v>
                </c:pt>
                <c:pt idx="27">
                  <c:v>18197.81764705882</c:v>
                </c:pt>
                <c:pt idx="28">
                  <c:v>18197.81764705882</c:v>
                </c:pt>
                <c:pt idx="29">
                  <c:v>18197.81764705882</c:v>
                </c:pt>
                <c:pt idx="30">
                  <c:v>18197.81764705882</c:v>
                </c:pt>
                <c:pt idx="31">
                  <c:v>18197.81764705882</c:v>
                </c:pt>
                <c:pt idx="32">
                  <c:v>18197.81764705882</c:v>
                </c:pt>
                <c:pt idx="33">
                  <c:v>18197.81764705882</c:v>
                </c:pt>
                <c:pt idx="34">
                  <c:v>18197.81764705882</c:v>
                </c:pt>
                <c:pt idx="35">
                  <c:v>18197.81764705882</c:v>
                </c:pt>
                <c:pt idx="36">
                  <c:v>18197.81764705882</c:v>
                </c:pt>
                <c:pt idx="37">
                  <c:v>18197.81764705882</c:v>
                </c:pt>
                <c:pt idx="38">
                  <c:v>18197.81764705882</c:v>
                </c:pt>
                <c:pt idx="39">
                  <c:v>18197.81764705882</c:v>
                </c:pt>
                <c:pt idx="40">
                  <c:v>18197.81764705882</c:v>
                </c:pt>
                <c:pt idx="41">
                  <c:v>18197.81764705882</c:v>
                </c:pt>
                <c:pt idx="42">
                  <c:v>18197.81764705882</c:v>
                </c:pt>
                <c:pt idx="43">
                  <c:v>18197.81764705882</c:v>
                </c:pt>
                <c:pt idx="44">
                  <c:v>18197.81764705882</c:v>
                </c:pt>
                <c:pt idx="45">
                  <c:v>18197.81764705882</c:v>
                </c:pt>
                <c:pt idx="46">
                  <c:v>18197.81764705882</c:v>
                </c:pt>
                <c:pt idx="47">
                  <c:v>18056.25131907308</c:v>
                </c:pt>
                <c:pt idx="48">
                  <c:v>17773.1186631016</c:v>
                </c:pt>
                <c:pt idx="49">
                  <c:v>17489.98600713012</c:v>
                </c:pt>
                <c:pt idx="50">
                  <c:v>17206.85335115864</c:v>
                </c:pt>
                <c:pt idx="51">
                  <c:v>16923.72069518716</c:v>
                </c:pt>
                <c:pt idx="52">
                  <c:v>16640.58803921569</c:v>
                </c:pt>
                <c:pt idx="53">
                  <c:v>16357.45538324421</c:v>
                </c:pt>
                <c:pt idx="54">
                  <c:v>16074.32272727273</c:v>
                </c:pt>
                <c:pt idx="55">
                  <c:v>15791.19007130125</c:v>
                </c:pt>
                <c:pt idx="56">
                  <c:v>15508.05741532977</c:v>
                </c:pt>
                <c:pt idx="57">
                  <c:v>15224.92475935829</c:v>
                </c:pt>
                <c:pt idx="58">
                  <c:v>14941.79210338681</c:v>
                </c:pt>
                <c:pt idx="59">
                  <c:v>14658.65944741533</c:v>
                </c:pt>
                <c:pt idx="60">
                  <c:v>14375.52679144385</c:v>
                </c:pt>
                <c:pt idx="61">
                  <c:v>14092.39413547237</c:v>
                </c:pt>
                <c:pt idx="62">
                  <c:v>13809.2614795009</c:v>
                </c:pt>
                <c:pt idx="63">
                  <c:v>13526.12882352941</c:v>
                </c:pt>
                <c:pt idx="64">
                  <c:v>13242.99616755793</c:v>
                </c:pt>
                <c:pt idx="65">
                  <c:v>12959.86351158645</c:v>
                </c:pt>
                <c:pt idx="66">
                  <c:v>12676.73085561497</c:v>
                </c:pt>
                <c:pt idx="67">
                  <c:v>12393.59819964349</c:v>
                </c:pt>
                <c:pt idx="68">
                  <c:v>12110.46554367201</c:v>
                </c:pt>
                <c:pt idx="69">
                  <c:v>11827.33288770053</c:v>
                </c:pt>
                <c:pt idx="70">
                  <c:v>11544.20023172906</c:v>
                </c:pt>
                <c:pt idx="71">
                  <c:v>11261.06757575758</c:v>
                </c:pt>
                <c:pt idx="72">
                  <c:v>10977.9349197861</c:v>
                </c:pt>
                <c:pt idx="73">
                  <c:v>10694.80226381462</c:v>
                </c:pt>
                <c:pt idx="74">
                  <c:v>10411.66960784314</c:v>
                </c:pt>
                <c:pt idx="75">
                  <c:v>10128.53695187166</c:v>
                </c:pt>
                <c:pt idx="76">
                  <c:v>9845.40429590018</c:v>
                </c:pt>
                <c:pt idx="77">
                  <c:v>9562.271639928698</c:v>
                </c:pt>
                <c:pt idx="78">
                  <c:v>9279.13898395722</c:v>
                </c:pt>
                <c:pt idx="79">
                  <c:v>8996.00632798574</c:v>
                </c:pt>
                <c:pt idx="80">
                  <c:v>8854.44</c:v>
                </c:pt>
                <c:pt idx="81">
                  <c:v>8854.44</c:v>
                </c:pt>
                <c:pt idx="82">
                  <c:v>8854.44</c:v>
                </c:pt>
                <c:pt idx="83">
                  <c:v>8854.44</c:v>
                </c:pt>
                <c:pt idx="84">
                  <c:v>8854.44</c:v>
                </c:pt>
                <c:pt idx="85">
                  <c:v>8854.44</c:v>
                </c:pt>
                <c:pt idx="86">
                  <c:v>8854.44</c:v>
                </c:pt>
                <c:pt idx="87">
                  <c:v>8854.44</c:v>
                </c:pt>
                <c:pt idx="88">
                  <c:v>8854.44</c:v>
                </c:pt>
                <c:pt idx="89">
                  <c:v>8854.44</c:v>
                </c:pt>
                <c:pt idx="90">
                  <c:v>8854.44</c:v>
                </c:pt>
                <c:pt idx="91">
                  <c:v>8854.44</c:v>
                </c:pt>
                <c:pt idx="92">
                  <c:v>8854.44</c:v>
                </c:pt>
                <c:pt idx="93">
                  <c:v>8854.44</c:v>
                </c:pt>
                <c:pt idx="94">
                  <c:v>8854.44</c:v>
                </c:pt>
                <c:pt idx="95">
                  <c:v>8854.44</c:v>
                </c:pt>
                <c:pt idx="96">
                  <c:v>8854.44</c:v>
                </c:pt>
                <c:pt idx="97">
                  <c:v>8854.44</c:v>
                </c:pt>
                <c:pt idx="98">
                  <c:v>8854.44</c:v>
                </c:pt>
                <c:pt idx="99">
                  <c:v>8854.44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24.70588235294117</c:v>
                </c:pt>
                <c:pt idx="14">
                  <c:v>74.11764705882352</c:v>
                </c:pt>
                <c:pt idx="15">
                  <c:v>123.5294117647059</c:v>
                </c:pt>
                <c:pt idx="16">
                  <c:v>172.9411764705882</c:v>
                </c:pt>
                <c:pt idx="17">
                  <c:v>222.3529411764705</c:v>
                </c:pt>
                <c:pt idx="18">
                  <c:v>271.7647058823529</c:v>
                </c:pt>
                <c:pt idx="19">
                  <c:v>321.1764705882352</c:v>
                </c:pt>
                <c:pt idx="20">
                  <c:v>370.5882352941176</c:v>
                </c:pt>
                <c:pt idx="21">
                  <c:v>419.9999999999999</c:v>
                </c:pt>
                <c:pt idx="22">
                  <c:v>469.4117647058823</c:v>
                </c:pt>
                <c:pt idx="23">
                  <c:v>518.8235294117646</c:v>
                </c:pt>
                <c:pt idx="24">
                  <c:v>568.235294117647</c:v>
                </c:pt>
                <c:pt idx="25">
                  <c:v>617.6470588235293</c:v>
                </c:pt>
                <c:pt idx="26">
                  <c:v>667.0588235294117</c:v>
                </c:pt>
                <c:pt idx="27">
                  <c:v>716.470588235294</c:v>
                </c:pt>
                <c:pt idx="28">
                  <c:v>765.8823529411763</c:v>
                </c:pt>
                <c:pt idx="29">
                  <c:v>815.2941176470586</c:v>
                </c:pt>
                <c:pt idx="30">
                  <c:v>864.705882352941</c:v>
                </c:pt>
                <c:pt idx="31">
                  <c:v>914.1176470588234</c:v>
                </c:pt>
                <c:pt idx="32">
                  <c:v>963.5294117647057</c:v>
                </c:pt>
                <c:pt idx="33">
                  <c:v>1012.941176470588</c:v>
                </c:pt>
                <c:pt idx="34">
                  <c:v>1062.35294117647</c:v>
                </c:pt>
                <c:pt idx="35">
                  <c:v>1111.764705882353</c:v>
                </c:pt>
                <c:pt idx="36">
                  <c:v>1161.176470588235</c:v>
                </c:pt>
                <c:pt idx="37">
                  <c:v>1210.588235294117</c:v>
                </c:pt>
                <c:pt idx="38">
                  <c:v>126</c:v>
                </c:pt>
                <c:pt idx="39">
                  <c:v>1309.411764705882</c:v>
                </c:pt>
                <c:pt idx="40">
                  <c:v>1358.823529411764</c:v>
                </c:pt>
                <c:pt idx="41">
                  <c:v>1408.235294117647</c:v>
                </c:pt>
                <c:pt idx="42">
                  <c:v>1457.647058823529</c:v>
                </c:pt>
                <c:pt idx="43">
                  <c:v>1507.058823529411</c:v>
                </c:pt>
                <c:pt idx="44">
                  <c:v>1556.470588235294</c:v>
                </c:pt>
                <c:pt idx="45">
                  <c:v>1605.882352941176</c:v>
                </c:pt>
                <c:pt idx="46">
                  <c:v>1655.294117647059</c:v>
                </c:pt>
                <c:pt idx="47">
                  <c:v>1654.545454545454</c:v>
                </c:pt>
                <c:pt idx="48">
                  <c:v>1603.636363636364</c:v>
                </c:pt>
                <c:pt idx="49">
                  <c:v>1552.727272727273</c:v>
                </c:pt>
                <c:pt idx="50">
                  <c:v>1501.818181818182</c:v>
                </c:pt>
                <c:pt idx="51">
                  <c:v>1450.909090909091</c:v>
                </c:pt>
                <c:pt idx="52">
                  <c:v>14</c:v>
                </c:pt>
                <c:pt idx="53">
                  <c:v>1349.09090909091</c:v>
                </c:pt>
                <c:pt idx="54">
                  <c:v>1298.181818181818</c:v>
                </c:pt>
                <c:pt idx="55">
                  <c:v>1247.272727272727</c:v>
                </c:pt>
                <c:pt idx="56">
                  <c:v>1196.363636363636</c:v>
                </c:pt>
                <c:pt idx="57">
                  <c:v>1145.454545454545</c:v>
                </c:pt>
                <c:pt idx="58">
                  <c:v>1094.545454545455</c:v>
                </c:pt>
                <c:pt idx="59">
                  <c:v>1043.636363636364</c:v>
                </c:pt>
                <c:pt idx="60">
                  <c:v>992.7272727272726</c:v>
                </c:pt>
                <c:pt idx="61">
                  <c:v>941.8181818181817</c:v>
                </c:pt>
                <c:pt idx="62">
                  <c:v>890.9090909090907</c:v>
                </c:pt>
                <c:pt idx="63">
                  <c:v>839.9999999999999</c:v>
                </c:pt>
                <c:pt idx="64">
                  <c:v>789.090909090909</c:v>
                </c:pt>
                <c:pt idx="65">
                  <c:v>738.181818181818</c:v>
                </c:pt>
                <c:pt idx="66">
                  <c:v>687.272727272727</c:v>
                </c:pt>
                <c:pt idx="67">
                  <c:v>636.3636363636362</c:v>
                </c:pt>
                <c:pt idx="68">
                  <c:v>585.4545454545455</c:v>
                </c:pt>
                <c:pt idx="69">
                  <c:v>534.5454545454545</c:v>
                </c:pt>
                <c:pt idx="70">
                  <c:v>483.6363636363637</c:v>
                </c:pt>
                <c:pt idx="71">
                  <c:v>432.7272727272727</c:v>
                </c:pt>
                <c:pt idx="72">
                  <c:v>381.8181818181818</c:v>
                </c:pt>
                <c:pt idx="73">
                  <c:v>330.909090909091</c:v>
                </c:pt>
                <c:pt idx="74">
                  <c:v>280.0</c:v>
                </c:pt>
                <c:pt idx="75">
                  <c:v>229.090909090909</c:v>
                </c:pt>
                <c:pt idx="76">
                  <c:v>178.1818181818182</c:v>
                </c:pt>
                <c:pt idx="77">
                  <c:v>127.2727272727273</c:v>
                </c:pt>
                <c:pt idx="78">
                  <c:v>76.36363636363626</c:v>
                </c:pt>
                <c:pt idx="79">
                  <c:v>25.4545454545455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4722904"/>
        <c:axId val="-20940502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21925.55336467335</c:v>
                </c:pt>
                <c:pt idx="1">
                  <c:v>21925.55336467335</c:v>
                </c:pt>
                <c:pt idx="2">
                  <c:v>21925.55336467335</c:v>
                </c:pt>
                <c:pt idx="3">
                  <c:v>21925.55336467335</c:v>
                </c:pt>
                <c:pt idx="4">
                  <c:v>21925.55336467335</c:v>
                </c:pt>
                <c:pt idx="5">
                  <c:v>21925.55336467335</c:v>
                </c:pt>
                <c:pt idx="6">
                  <c:v>21925.55336467335</c:v>
                </c:pt>
                <c:pt idx="7">
                  <c:v>21925.55336467335</c:v>
                </c:pt>
                <c:pt idx="8">
                  <c:v>21925.55336467335</c:v>
                </c:pt>
                <c:pt idx="9">
                  <c:v>21925.55336467335</c:v>
                </c:pt>
                <c:pt idx="10">
                  <c:v>21925.55336467335</c:v>
                </c:pt>
                <c:pt idx="11">
                  <c:v>21925.55336467335</c:v>
                </c:pt>
                <c:pt idx="12">
                  <c:v>21925.55336467335</c:v>
                </c:pt>
                <c:pt idx="13">
                  <c:v>21925.55336467335</c:v>
                </c:pt>
                <c:pt idx="14">
                  <c:v>21925.55336467335</c:v>
                </c:pt>
                <c:pt idx="15">
                  <c:v>21925.55336467335</c:v>
                </c:pt>
                <c:pt idx="16">
                  <c:v>21925.55336467335</c:v>
                </c:pt>
                <c:pt idx="17">
                  <c:v>21925.55336467335</c:v>
                </c:pt>
                <c:pt idx="18">
                  <c:v>21925.55336467335</c:v>
                </c:pt>
                <c:pt idx="19">
                  <c:v>21925.55336467335</c:v>
                </c:pt>
                <c:pt idx="20">
                  <c:v>21925.55336467335</c:v>
                </c:pt>
                <c:pt idx="21">
                  <c:v>21925.55336467335</c:v>
                </c:pt>
                <c:pt idx="22">
                  <c:v>21925.55336467335</c:v>
                </c:pt>
                <c:pt idx="23">
                  <c:v>21925.55336467335</c:v>
                </c:pt>
                <c:pt idx="24">
                  <c:v>21925.55336467335</c:v>
                </c:pt>
                <c:pt idx="25">
                  <c:v>21925.55336467335</c:v>
                </c:pt>
                <c:pt idx="26">
                  <c:v>21925.55336467335</c:v>
                </c:pt>
                <c:pt idx="27">
                  <c:v>21925.55336467335</c:v>
                </c:pt>
                <c:pt idx="28">
                  <c:v>21925.55336467335</c:v>
                </c:pt>
                <c:pt idx="29">
                  <c:v>21925.55336467335</c:v>
                </c:pt>
                <c:pt idx="30">
                  <c:v>21925.55336467335</c:v>
                </c:pt>
                <c:pt idx="31">
                  <c:v>21925.55336467335</c:v>
                </c:pt>
                <c:pt idx="32">
                  <c:v>21925.55336467335</c:v>
                </c:pt>
                <c:pt idx="33">
                  <c:v>21925.55336467335</c:v>
                </c:pt>
                <c:pt idx="34">
                  <c:v>21925.55336467335</c:v>
                </c:pt>
                <c:pt idx="35">
                  <c:v>21925.55336467335</c:v>
                </c:pt>
                <c:pt idx="36">
                  <c:v>21925.55336467335</c:v>
                </c:pt>
                <c:pt idx="37">
                  <c:v>21925.55336467335</c:v>
                </c:pt>
                <c:pt idx="38">
                  <c:v>21925.55336467335</c:v>
                </c:pt>
                <c:pt idx="39">
                  <c:v>21925.55336467335</c:v>
                </c:pt>
                <c:pt idx="40">
                  <c:v>21925.55336467335</c:v>
                </c:pt>
                <c:pt idx="41">
                  <c:v>21925.55336467335</c:v>
                </c:pt>
                <c:pt idx="42">
                  <c:v>21925.55336467335</c:v>
                </c:pt>
                <c:pt idx="43">
                  <c:v>21925.55336467335</c:v>
                </c:pt>
                <c:pt idx="44">
                  <c:v>21925.55336467335</c:v>
                </c:pt>
                <c:pt idx="45">
                  <c:v>21925.55336467335</c:v>
                </c:pt>
                <c:pt idx="46">
                  <c:v>21925.55336467335</c:v>
                </c:pt>
                <c:pt idx="47">
                  <c:v>21925.55336467335</c:v>
                </c:pt>
                <c:pt idx="48">
                  <c:v>21925.55336467335</c:v>
                </c:pt>
                <c:pt idx="49">
                  <c:v>21925.55336467335</c:v>
                </c:pt>
                <c:pt idx="50">
                  <c:v>21925.55336467335</c:v>
                </c:pt>
                <c:pt idx="51">
                  <c:v>21925.55336467335</c:v>
                </c:pt>
                <c:pt idx="52">
                  <c:v>21925.55336467335</c:v>
                </c:pt>
                <c:pt idx="53">
                  <c:v>21925.55336467335</c:v>
                </c:pt>
                <c:pt idx="54">
                  <c:v>21925.55336467335</c:v>
                </c:pt>
                <c:pt idx="55">
                  <c:v>21925.55336467335</c:v>
                </c:pt>
                <c:pt idx="56">
                  <c:v>21925.55336467335</c:v>
                </c:pt>
                <c:pt idx="57">
                  <c:v>21925.55336467335</c:v>
                </c:pt>
                <c:pt idx="58">
                  <c:v>21925.55336467335</c:v>
                </c:pt>
                <c:pt idx="59">
                  <c:v>21925.55336467335</c:v>
                </c:pt>
                <c:pt idx="60">
                  <c:v>21925.55336467335</c:v>
                </c:pt>
                <c:pt idx="61">
                  <c:v>21925.55336467335</c:v>
                </c:pt>
                <c:pt idx="62">
                  <c:v>21925.55336467335</c:v>
                </c:pt>
                <c:pt idx="63">
                  <c:v>21925.55336467335</c:v>
                </c:pt>
                <c:pt idx="64">
                  <c:v>21925.55336467335</c:v>
                </c:pt>
                <c:pt idx="65">
                  <c:v>21925.55336467335</c:v>
                </c:pt>
                <c:pt idx="66">
                  <c:v>21925.55336467335</c:v>
                </c:pt>
                <c:pt idx="67">
                  <c:v>21925.55336467335</c:v>
                </c:pt>
                <c:pt idx="68">
                  <c:v>21925.55336467335</c:v>
                </c:pt>
                <c:pt idx="69">
                  <c:v>21925.55336467335</c:v>
                </c:pt>
                <c:pt idx="70">
                  <c:v>21925.55336467335</c:v>
                </c:pt>
                <c:pt idx="71">
                  <c:v>21925.55336467335</c:v>
                </c:pt>
                <c:pt idx="72">
                  <c:v>21925.55336467335</c:v>
                </c:pt>
                <c:pt idx="73">
                  <c:v>21925.55336467335</c:v>
                </c:pt>
                <c:pt idx="74">
                  <c:v>21925.55336467335</c:v>
                </c:pt>
                <c:pt idx="75">
                  <c:v>21925.55336467335</c:v>
                </c:pt>
                <c:pt idx="76">
                  <c:v>21925.55336467335</c:v>
                </c:pt>
                <c:pt idx="77">
                  <c:v>21925.55336467335</c:v>
                </c:pt>
                <c:pt idx="78">
                  <c:v>21925.55336467335</c:v>
                </c:pt>
                <c:pt idx="79">
                  <c:v>21925.55336467335</c:v>
                </c:pt>
                <c:pt idx="80">
                  <c:v>21925.55336467335</c:v>
                </c:pt>
                <c:pt idx="81">
                  <c:v>21925.55336467335</c:v>
                </c:pt>
                <c:pt idx="82">
                  <c:v>21925.55336467335</c:v>
                </c:pt>
                <c:pt idx="83">
                  <c:v>21925.55336467335</c:v>
                </c:pt>
                <c:pt idx="84">
                  <c:v>21925.55336467335</c:v>
                </c:pt>
                <c:pt idx="85">
                  <c:v>21925.55336467335</c:v>
                </c:pt>
                <c:pt idx="86">
                  <c:v>21925.55336467335</c:v>
                </c:pt>
                <c:pt idx="87">
                  <c:v>21925.55336467335</c:v>
                </c:pt>
                <c:pt idx="88">
                  <c:v>21925.55336467335</c:v>
                </c:pt>
                <c:pt idx="89">
                  <c:v>21925.55336467335</c:v>
                </c:pt>
                <c:pt idx="90">
                  <c:v>21925.55336467335</c:v>
                </c:pt>
                <c:pt idx="91">
                  <c:v>21925.55336467335</c:v>
                </c:pt>
                <c:pt idx="92">
                  <c:v>21925.55336467335</c:v>
                </c:pt>
                <c:pt idx="93">
                  <c:v>21925.55336467335</c:v>
                </c:pt>
                <c:pt idx="94">
                  <c:v>21925.55336467335</c:v>
                </c:pt>
                <c:pt idx="95">
                  <c:v>21925.55336467335</c:v>
                </c:pt>
                <c:pt idx="96">
                  <c:v>21925.55336467335</c:v>
                </c:pt>
                <c:pt idx="97">
                  <c:v>21925.55336467335</c:v>
                </c:pt>
                <c:pt idx="98">
                  <c:v>21925.55336467335</c:v>
                </c:pt>
                <c:pt idx="99">
                  <c:v>21925.55336467335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22904"/>
        <c:axId val="-2094050248"/>
      </c:lineChart>
      <c:catAx>
        <c:axId val="-20947229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4050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4050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47229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46.80416803710033</c:v>
                </c:pt>
                <c:pt idx="1">
                  <c:v>9.47278154388928</c:v>
                </c:pt>
                <c:pt idx="2">
                  <c:v>61.48591160220988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13.1764705882353</c:v>
                </c:pt>
                <c:pt idx="1">
                  <c:v>100.6235151515151</c:v>
                </c:pt>
                <c:pt idx="2">
                  <c:v>453.264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131.6988235294118</c:v>
                </c:pt>
                <c:pt idx="1">
                  <c:v>-213.4787878787879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1.801754956126097</c:v>
                </c:pt>
                <c:pt idx="1">
                  <c:v>0.371270718232044</c:v>
                </c:pt>
                <c:pt idx="2">
                  <c:v>-4.594475138121546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-283.1326559714794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241544"/>
        <c:axId val="-20942382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1.747448431874615</c:v>
                </c:pt>
                <c:pt idx="1">
                  <c:v>8.880701669022975</c:v>
                </c:pt>
                <c:pt idx="2">
                  <c:v>9.658850863566471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122.8211764705882</c:v>
                </c:pt>
                <c:pt idx="1">
                  <c:v>223.7115151515151</c:v>
                </c:pt>
                <c:pt idx="2">
                  <c:v>100.7999999999998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185.8610334741632</c:v>
                </c:pt>
                <c:pt idx="1">
                  <c:v>-448.7537920642893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395.2941176470588</c:v>
                </c:pt>
                <c:pt idx="1">
                  <c:v>4724.363636363634</c:v>
                </c:pt>
                <c:pt idx="2">
                  <c:v>3528.000000000004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63.2470588235294</c:v>
                </c:pt>
                <c:pt idx="1">
                  <c:v>1205.527272727272</c:v>
                </c:pt>
                <c:pt idx="2">
                  <c:v>4032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49.41176470588235</c:v>
                </c:pt>
                <c:pt idx="1">
                  <c:v>-50.9090909090909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234664"/>
        <c:axId val="-2094231672"/>
      </c:scatterChart>
      <c:valAx>
        <c:axId val="-20942415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4238264"/>
        <c:crosses val="autoZero"/>
        <c:crossBetween val="midCat"/>
      </c:valAx>
      <c:valAx>
        <c:axId val="-2094238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4241544"/>
        <c:crosses val="autoZero"/>
        <c:crossBetween val="midCat"/>
      </c:valAx>
      <c:valAx>
        <c:axId val="-20942346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94231672"/>
        <c:crosses val="autoZero"/>
        <c:crossBetween val="midCat"/>
      </c:valAx>
      <c:valAx>
        <c:axId val="-20942316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42346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1200.529423967038</c:v>
                </c:pt>
                <c:pt idx="1">
                  <c:v>1200.529423967038</c:v>
                </c:pt>
                <c:pt idx="2">
                  <c:v>1200.529423967038</c:v>
                </c:pt>
                <c:pt idx="3">
                  <c:v>1200.529423967038</c:v>
                </c:pt>
                <c:pt idx="4">
                  <c:v>1200.529423967038</c:v>
                </c:pt>
                <c:pt idx="5">
                  <c:v>1200.529423967038</c:v>
                </c:pt>
                <c:pt idx="6">
                  <c:v>1200.529423967038</c:v>
                </c:pt>
                <c:pt idx="7">
                  <c:v>1200.529423967038</c:v>
                </c:pt>
                <c:pt idx="8">
                  <c:v>1200.529423967038</c:v>
                </c:pt>
                <c:pt idx="9">
                  <c:v>1200.529423967038</c:v>
                </c:pt>
                <c:pt idx="10">
                  <c:v>1200.529423967038</c:v>
                </c:pt>
                <c:pt idx="11">
                  <c:v>1200.529423967038</c:v>
                </c:pt>
                <c:pt idx="12">
                  <c:v>1200.529423967038</c:v>
                </c:pt>
                <c:pt idx="13">
                  <c:v>1223.931507985588</c:v>
                </c:pt>
                <c:pt idx="14">
                  <c:v>1270.735676022688</c:v>
                </c:pt>
                <c:pt idx="15">
                  <c:v>1317.539844059788</c:v>
                </c:pt>
                <c:pt idx="16">
                  <c:v>1364.344012096889</c:v>
                </c:pt>
                <c:pt idx="17">
                  <c:v>1411.148180133989</c:v>
                </c:pt>
                <c:pt idx="18">
                  <c:v>1457.952348171089</c:v>
                </c:pt>
                <c:pt idx="19">
                  <c:v>1504.75651620819</c:v>
                </c:pt>
                <c:pt idx="20">
                  <c:v>1551.56068424529</c:v>
                </c:pt>
                <c:pt idx="21">
                  <c:v>1598.364852282391</c:v>
                </c:pt>
                <c:pt idx="22">
                  <c:v>1645.169020319491</c:v>
                </c:pt>
                <c:pt idx="23">
                  <c:v>1691.973188356591</c:v>
                </c:pt>
                <c:pt idx="24">
                  <c:v>1738.777356393691</c:v>
                </c:pt>
                <c:pt idx="25">
                  <c:v>1785.581524430792</c:v>
                </c:pt>
                <c:pt idx="26">
                  <c:v>1832.385692467892</c:v>
                </c:pt>
                <c:pt idx="27">
                  <c:v>1879.189860504992</c:v>
                </c:pt>
                <c:pt idx="28">
                  <c:v>1925.994028542093</c:v>
                </c:pt>
                <c:pt idx="29">
                  <c:v>1972.798196579193</c:v>
                </c:pt>
                <c:pt idx="30">
                  <c:v>2019.602364616293</c:v>
                </c:pt>
                <c:pt idx="31">
                  <c:v>2066.406532653393</c:v>
                </c:pt>
                <c:pt idx="32">
                  <c:v>2113.210700690494</c:v>
                </c:pt>
                <c:pt idx="33">
                  <c:v>2160.014868727594</c:v>
                </c:pt>
                <c:pt idx="34">
                  <c:v>2206.819036764695</c:v>
                </c:pt>
                <c:pt idx="35">
                  <c:v>2253.623204801795</c:v>
                </c:pt>
                <c:pt idx="36">
                  <c:v>2300.427372838895</c:v>
                </c:pt>
                <c:pt idx="37">
                  <c:v>2347.231540875996</c:v>
                </c:pt>
                <c:pt idx="38">
                  <c:v>2394.035708913096</c:v>
                </c:pt>
                <c:pt idx="39">
                  <c:v>2440.839876950196</c:v>
                </c:pt>
                <c:pt idx="40">
                  <c:v>2487.644044987297</c:v>
                </c:pt>
                <c:pt idx="41">
                  <c:v>2534.448213024397</c:v>
                </c:pt>
                <c:pt idx="42">
                  <c:v>2581.252381061498</c:v>
                </c:pt>
                <c:pt idx="43">
                  <c:v>2628.056549098597</c:v>
                </c:pt>
                <c:pt idx="44">
                  <c:v>2674.860717135698</c:v>
                </c:pt>
                <c:pt idx="45">
                  <c:v>2721.664885172798</c:v>
                </c:pt>
                <c:pt idx="46">
                  <c:v>2768.469053209898</c:v>
                </c:pt>
                <c:pt idx="47">
                  <c:v>2796.607528000393</c:v>
                </c:pt>
                <c:pt idx="48">
                  <c:v>2806.080309544282</c:v>
                </c:pt>
                <c:pt idx="49">
                  <c:v>2815.553091088172</c:v>
                </c:pt>
                <c:pt idx="50">
                  <c:v>2825.025872632061</c:v>
                </c:pt>
                <c:pt idx="51">
                  <c:v>2834.49865417595</c:v>
                </c:pt>
                <c:pt idx="52">
                  <c:v>2843.97143571984</c:v>
                </c:pt>
                <c:pt idx="53">
                  <c:v>2853.44421726373</c:v>
                </c:pt>
                <c:pt idx="54">
                  <c:v>2862.916998807618</c:v>
                </c:pt>
                <c:pt idx="55">
                  <c:v>2872.389780351508</c:v>
                </c:pt>
                <c:pt idx="56">
                  <c:v>2881.862561895397</c:v>
                </c:pt>
                <c:pt idx="57">
                  <c:v>2891.335343439286</c:v>
                </c:pt>
                <c:pt idx="58">
                  <c:v>2900.808124983176</c:v>
                </c:pt>
                <c:pt idx="59">
                  <c:v>2910.280906527065</c:v>
                </c:pt>
                <c:pt idx="60">
                  <c:v>2919.753688070954</c:v>
                </c:pt>
                <c:pt idx="61">
                  <c:v>2929.226469614843</c:v>
                </c:pt>
                <c:pt idx="62">
                  <c:v>2938.699251158733</c:v>
                </c:pt>
                <c:pt idx="63">
                  <c:v>2948.172032702622</c:v>
                </c:pt>
                <c:pt idx="64">
                  <c:v>2957.644814246511</c:v>
                </c:pt>
                <c:pt idx="65">
                  <c:v>2967.117595790401</c:v>
                </c:pt>
                <c:pt idx="66">
                  <c:v>2976.59037733429</c:v>
                </c:pt>
                <c:pt idx="67">
                  <c:v>2986.063158878178</c:v>
                </c:pt>
                <c:pt idx="68">
                  <c:v>2995.535940422069</c:v>
                </c:pt>
                <c:pt idx="69">
                  <c:v>3005.008721965958</c:v>
                </c:pt>
                <c:pt idx="70">
                  <c:v>3014.481503509847</c:v>
                </c:pt>
                <c:pt idx="71">
                  <c:v>3023.954285053736</c:v>
                </c:pt>
                <c:pt idx="72">
                  <c:v>3033.427066597626</c:v>
                </c:pt>
                <c:pt idx="73">
                  <c:v>3042.899848141515</c:v>
                </c:pt>
                <c:pt idx="74">
                  <c:v>3052.372629685404</c:v>
                </c:pt>
                <c:pt idx="75">
                  <c:v>3061.845411229293</c:v>
                </c:pt>
                <c:pt idx="76">
                  <c:v>3071.318192773182</c:v>
                </c:pt>
                <c:pt idx="77">
                  <c:v>3080.790974317072</c:v>
                </c:pt>
                <c:pt idx="78">
                  <c:v>3090.263755860961</c:v>
                </c:pt>
                <c:pt idx="79">
                  <c:v>3099.73653740485</c:v>
                </c:pt>
                <c:pt idx="80">
                  <c:v>3135.2158839779</c:v>
                </c:pt>
                <c:pt idx="81">
                  <c:v>3196.70179558011</c:v>
                </c:pt>
                <c:pt idx="82">
                  <c:v>3258.18770718232</c:v>
                </c:pt>
                <c:pt idx="83">
                  <c:v>3319.67361878453</c:v>
                </c:pt>
                <c:pt idx="84">
                  <c:v>3381.15953038674</c:v>
                </c:pt>
                <c:pt idx="85">
                  <c:v>3442.645441988949</c:v>
                </c:pt>
                <c:pt idx="86">
                  <c:v>3504.13135359116</c:v>
                </c:pt>
                <c:pt idx="87">
                  <c:v>3565.617265193369</c:v>
                </c:pt>
                <c:pt idx="88">
                  <c:v>3627.10317679558</c:v>
                </c:pt>
                <c:pt idx="89">
                  <c:v>3688.589088397789</c:v>
                </c:pt>
                <c:pt idx="90">
                  <c:v>3750.074999999999</c:v>
                </c:pt>
                <c:pt idx="91">
                  <c:v>3811.560911602209</c:v>
                </c:pt>
                <c:pt idx="92">
                  <c:v>3873.046823204419</c:v>
                </c:pt>
                <c:pt idx="93">
                  <c:v>3934.532734806628</c:v>
                </c:pt>
                <c:pt idx="94">
                  <c:v>3996.018646408838</c:v>
                </c:pt>
                <c:pt idx="95">
                  <c:v>4057.504558011048</c:v>
                </c:pt>
                <c:pt idx="96">
                  <c:v>4141.427513812153</c:v>
                </c:pt>
                <c:pt idx="97">
                  <c:v>4247.787513812154</c:v>
                </c:pt>
                <c:pt idx="98">
                  <c:v>4354.147513812153</c:v>
                </c:pt>
                <c:pt idx="99">
                  <c:v>4460.507513812154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6.588235294117645</c:v>
                </c:pt>
                <c:pt idx="14">
                  <c:v>19.76470588235294</c:v>
                </c:pt>
                <c:pt idx="15">
                  <c:v>32.94117647058823</c:v>
                </c:pt>
                <c:pt idx="16">
                  <c:v>46.11764705882352</c:v>
                </c:pt>
                <c:pt idx="17">
                  <c:v>59.2941176470588</c:v>
                </c:pt>
                <c:pt idx="18">
                  <c:v>72.4705882352941</c:v>
                </c:pt>
                <c:pt idx="19">
                  <c:v>85.64705882352939</c:v>
                </c:pt>
                <c:pt idx="20">
                  <c:v>98.82352941176468</c:v>
                </c:pt>
                <c:pt idx="21">
                  <c:v>112</c:v>
                </c:pt>
                <c:pt idx="22">
                  <c:v>125.1764705882353</c:v>
                </c:pt>
                <c:pt idx="23">
                  <c:v>138.3529411764705</c:v>
                </c:pt>
                <c:pt idx="24">
                  <c:v>151.5294117647059</c:v>
                </c:pt>
                <c:pt idx="25">
                  <c:v>164.7058823529412</c:v>
                </c:pt>
                <c:pt idx="26">
                  <c:v>177.8823529411764</c:v>
                </c:pt>
                <c:pt idx="27">
                  <c:v>191.0588235294117</c:v>
                </c:pt>
                <c:pt idx="28">
                  <c:v>204.235294117647</c:v>
                </c:pt>
                <c:pt idx="29">
                  <c:v>217.4117647058823</c:v>
                </c:pt>
                <c:pt idx="30">
                  <c:v>230.5882352941176</c:v>
                </c:pt>
                <c:pt idx="31">
                  <c:v>243.7647058823529</c:v>
                </c:pt>
                <c:pt idx="32">
                  <c:v>256.9411764705882</c:v>
                </c:pt>
                <c:pt idx="33">
                  <c:v>270.1176470588235</c:v>
                </c:pt>
                <c:pt idx="34">
                  <c:v>283.2941176470588</c:v>
                </c:pt>
                <c:pt idx="35">
                  <c:v>296.4705882352941</c:v>
                </c:pt>
                <c:pt idx="36">
                  <c:v>309.6470588235293</c:v>
                </c:pt>
                <c:pt idx="37">
                  <c:v>322.8235294117646</c:v>
                </c:pt>
                <c:pt idx="38">
                  <c:v>335.9999999999999</c:v>
                </c:pt>
                <c:pt idx="39">
                  <c:v>349.1764705882352</c:v>
                </c:pt>
                <c:pt idx="40">
                  <c:v>362.3529411764705</c:v>
                </c:pt>
                <c:pt idx="41">
                  <c:v>375.5294117647058</c:v>
                </c:pt>
                <c:pt idx="42">
                  <c:v>388.7058823529411</c:v>
                </c:pt>
                <c:pt idx="43">
                  <c:v>401.8823529411764</c:v>
                </c:pt>
                <c:pt idx="44">
                  <c:v>415.0588235294117</c:v>
                </c:pt>
                <c:pt idx="45">
                  <c:v>428.235294117647</c:v>
                </c:pt>
                <c:pt idx="46">
                  <c:v>441.4117647058823</c:v>
                </c:pt>
                <c:pt idx="47">
                  <c:v>498.3117575757575</c:v>
                </c:pt>
                <c:pt idx="48">
                  <c:v>598.9352727272726</c:v>
                </c:pt>
                <c:pt idx="49">
                  <c:v>699.5587878787878</c:v>
                </c:pt>
                <c:pt idx="50">
                  <c:v>800.182303030303</c:v>
                </c:pt>
                <c:pt idx="51">
                  <c:v>900.805818181818</c:v>
                </c:pt>
                <c:pt idx="52">
                  <c:v>1001.429333333333</c:v>
                </c:pt>
                <c:pt idx="53">
                  <c:v>1102.052848484848</c:v>
                </c:pt>
                <c:pt idx="54">
                  <c:v>1202.676363636363</c:v>
                </c:pt>
                <c:pt idx="55">
                  <c:v>1303.299878787879</c:v>
                </c:pt>
                <c:pt idx="56">
                  <c:v>1403.923393939394</c:v>
                </c:pt>
                <c:pt idx="57">
                  <c:v>1504.546909090909</c:v>
                </c:pt>
                <c:pt idx="58">
                  <c:v>1605.170424242424</c:v>
                </c:pt>
                <c:pt idx="59">
                  <c:v>1705.793939393939</c:v>
                </c:pt>
                <c:pt idx="60">
                  <c:v>1806.417454545454</c:v>
                </c:pt>
                <c:pt idx="61">
                  <c:v>1907.04096969697</c:v>
                </c:pt>
                <c:pt idx="62">
                  <c:v>2007.664484848485</c:v>
                </c:pt>
                <c:pt idx="63">
                  <c:v>2108.288</c:v>
                </c:pt>
                <c:pt idx="64">
                  <c:v>2208.911515151514</c:v>
                </c:pt>
                <c:pt idx="65">
                  <c:v>2309.53503030303</c:v>
                </c:pt>
                <c:pt idx="66">
                  <c:v>2410.158545454545</c:v>
                </c:pt>
                <c:pt idx="67">
                  <c:v>2510.78206060606</c:v>
                </c:pt>
                <c:pt idx="68">
                  <c:v>2611.405575757575</c:v>
                </c:pt>
                <c:pt idx="69">
                  <c:v>2712.02909090909</c:v>
                </c:pt>
                <c:pt idx="70">
                  <c:v>2812.652606060606</c:v>
                </c:pt>
                <c:pt idx="71">
                  <c:v>2913.276121212121</c:v>
                </c:pt>
                <c:pt idx="72">
                  <c:v>3013.899636363636</c:v>
                </c:pt>
                <c:pt idx="73">
                  <c:v>3114.523151515151</c:v>
                </c:pt>
                <c:pt idx="74">
                  <c:v>3215.146666666666</c:v>
                </c:pt>
                <c:pt idx="75">
                  <c:v>3315.770181818181</c:v>
                </c:pt>
                <c:pt idx="76">
                  <c:v>3416.393696969697</c:v>
                </c:pt>
                <c:pt idx="77">
                  <c:v>3517.017212121212</c:v>
                </c:pt>
                <c:pt idx="78">
                  <c:v>3617.640727272727</c:v>
                </c:pt>
                <c:pt idx="79">
                  <c:v>3718.264242424242</c:v>
                </c:pt>
                <c:pt idx="80">
                  <c:v>3995.208</c:v>
                </c:pt>
                <c:pt idx="81">
                  <c:v>4448.472</c:v>
                </c:pt>
                <c:pt idx="82">
                  <c:v>4901.736</c:v>
                </c:pt>
                <c:pt idx="83">
                  <c:v>5355.0</c:v>
                </c:pt>
                <c:pt idx="84">
                  <c:v>5808.264</c:v>
                </c:pt>
                <c:pt idx="85">
                  <c:v>6261.528</c:v>
                </c:pt>
                <c:pt idx="86">
                  <c:v>6714.792</c:v>
                </c:pt>
                <c:pt idx="87">
                  <c:v>7168.056</c:v>
                </c:pt>
                <c:pt idx="88">
                  <c:v>7621.32</c:v>
                </c:pt>
                <c:pt idx="89">
                  <c:v>8074.583999999999</c:v>
                </c:pt>
                <c:pt idx="90">
                  <c:v>8527.848</c:v>
                </c:pt>
                <c:pt idx="91">
                  <c:v>8981.111999999999</c:v>
                </c:pt>
                <c:pt idx="92">
                  <c:v>9434.376</c:v>
                </c:pt>
                <c:pt idx="93">
                  <c:v>9887.639999999999</c:v>
                </c:pt>
                <c:pt idx="94">
                  <c:v>10340.904</c:v>
                </c:pt>
                <c:pt idx="95">
                  <c:v>10794.168</c:v>
                </c:pt>
                <c:pt idx="96">
                  <c:v>11383.23</c:v>
                </c:pt>
                <c:pt idx="97">
                  <c:v>12108.09</c:v>
                </c:pt>
                <c:pt idx="98">
                  <c:v>12832.95</c:v>
                </c:pt>
                <c:pt idx="99">
                  <c:v>13557.81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0.873724215937307</c:v>
                </c:pt>
                <c:pt idx="14">
                  <c:v>2.621172647811922</c:v>
                </c:pt>
                <c:pt idx="15">
                  <c:v>4.368621079686537</c:v>
                </c:pt>
                <c:pt idx="16">
                  <c:v>6.116069511561151</c:v>
                </c:pt>
                <c:pt idx="17">
                  <c:v>7.863517943435766</c:v>
                </c:pt>
                <c:pt idx="18">
                  <c:v>9.610966375310379</c:v>
                </c:pt>
                <c:pt idx="19">
                  <c:v>11.358414807185</c:v>
                </c:pt>
                <c:pt idx="20">
                  <c:v>13.10586323905961</c:v>
                </c:pt>
                <c:pt idx="21">
                  <c:v>14.85331167093423</c:v>
                </c:pt>
                <c:pt idx="22">
                  <c:v>16.60076010280884</c:v>
                </c:pt>
                <c:pt idx="23">
                  <c:v>18.34820853468345</c:v>
                </c:pt>
                <c:pt idx="24">
                  <c:v>20.09565696655807</c:v>
                </c:pt>
                <c:pt idx="25">
                  <c:v>21.84310539843268</c:v>
                </c:pt>
                <c:pt idx="26">
                  <c:v>23.5905538303073</c:v>
                </c:pt>
                <c:pt idx="27">
                  <c:v>25.33800226218191</c:v>
                </c:pt>
                <c:pt idx="28">
                  <c:v>27.08545069405653</c:v>
                </c:pt>
                <c:pt idx="29">
                  <c:v>28.83289912593114</c:v>
                </c:pt>
                <c:pt idx="30">
                  <c:v>30.58034755780576</c:v>
                </c:pt>
                <c:pt idx="31">
                  <c:v>32.32779598968037</c:v>
                </c:pt>
                <c:pt idx="32">
                  <c:v>34.07524442155498</c:v>
                </c:pt>
                <c:pt idx="33">
                  <c:v>35.8226928534296</c:v>
                </c:pt>
                <c:pt idx="34">
                  <c:v>37.57014128530422</c:v>
                </c:pt>
                <c:pt idx="35">
                  <c:v>39.31758971717883</c:v>
                </c:pt>
                <c:pt idx="36">
                  <c:v>41.06503814905344</c:v>
                </c:pt>
                <c:pt idx="37">
                  <c:v>42.81248658092806</c:v>
                </c:pt>
                <c:pt idx="38">
                  <c:v>44.55993501280268</c:v>
                </c:pt>
                <c:pt idx="39">
                  <c:v>46.30738344467728</c:v>
                </c:pt>
                <c:pt idx="40">
                  <c:v>48.0548318765519</c:v>
                </c:pt>
                <c:pt idx="41">
                  <c:v>49.80228030842652</c:v>
                </c:pt>
                <c:pt idx="42">
                  <c:v>51.54972874030113</c:v>
                </c:pt>
                <c:pt idx="43">
                  <c:v>53.29717717217574</c:v>
                </c:pt>
                <c:pt idx="44">
                  <c:v>55.04462560405036</c:v>
                </c:pt>
                <c:pt idx="45">
                  <c:v>56.79207403592497</c:v>
                </c:pt>
                <c:pt idx="46">
                  <c:v>58.53952246779959</c:v>
                </c:pt>
                <c:pt idx="47">
                  <c:v>63.85359751824839</c:v>
                </c:pt>
                <c:pt idx="48">
                  <c:v>72.73429918727136</c:v>
                </c:pt>
                <c:pt idx="49">
                  <c:v>81.61500085629434</c:v>
                </c:pt>
                <c:pt idx="50">
                  <c:v>90.4957025253173</c:v>
                </c:pt>
                <c:pt idx="51">
                  <c:v>99.3764041943403</c:v>
                </c:pt>
                <c:pt idx="52">
                  <c:v>108.2571058633633</c:v>
                </c:pt>
                <c:pt idx="53">
                  <c:v>117.1378075323862</c:v>
                </c:pt>
                <c:pt idx="54">
                  <c:v>126.0185092014092</c:v>
                </c:pt>
                <c:pt idx="55">
                  <c:v>134.8992108704322</c:v>
                </c:pt>
                <c:pt idx="56">
                  <c:v>143.7799125394552</c:v>
                </c:pt>
                <c:pt idx="57">
                  <c:v>152.6606142084781</c:v>
                </c:pt>
                <c:pt idx="58">
                  <c:v>161.5413158775011</c:v>
                </c:pt>
                <c:pt idx="59">
                  <c:v>170.4220175465241</c:v>
                </c:pt>
                <c:pt idx="60">
                  <c:v>179.3027192155471</c:v>
                </c:pt>
                <c:pt idx="61">
                  <c:v>188.18342088457</c:v>
                </c:pt>
                <c:pt idx="62">
                  <c:v>197.064122553593</c:v>
                </c:pt>
                <c:pt idx="63">
                  <c:v>205.944824222616</c:v>
                </c:pt>
                <c:pt idx="64">
                  <c:v>214.825525891639</c:v>
                </c:pt>
                <c:pt idx="65">
                  <c:v>223.7062275606619</c:v>
                </c:pt>
                <c:pt idx="66">
                  <c:v>232.586929229685</c:v>
                </c:pt>
                <c:pt idx="67">
                  <c:v>241.467630898708</c:v>
                </c:pt>
                <c:pt idx="68">
                  <c:v>250.3483325677309</c:v>
                </c:pt>
                <c:pt idx="69">
                  <c:v>259.2290342367538</c:v>
                </c:pt>
                <c:pt idx="70">
                  <c:v>268.1097359057768</c:v>
                </c:pt>
                <c:pt idx="71">
                  <c:v>276.9904375747998</c:v>
                </c:pt>
                <c:pt idx="72">
                  <c:v>285.8711392438228</c:v>
                </c:pt>
                <c:pt idx="73">
                  <c:v>294.7518409128458</c:v>
                </c:pt>
                <c:pt idx="74">
                  <c:v>303.6325425818687</c:v>
                </c:pt>
                <c:pt idx="75">
                  <c:v>312.5132442508917</c:v>
                </c:pt>
                <c:pt idx="76">
                  <c:v>321.3939459199147</c:v>
                </c:pt>
                <c:pt idx="77">
                  <c:v>330.2746475889377</c:v>
                </c:pt>
                <c:pt idx="78">
                  <c:v>339.1553492579607</c:v>
                </c:pt>
                <c:pt idx="79">
                  <c:v>348.0360509269836</c:v>
                </c:pt>
                <c:pt idx="80">
                  <c:v>357.3058271932783</c:v>
                </c:pt>
                <c:pt idx="81">
                  <c:v>366.9646780568448</c:v>
                </c:pt>
                <c:pt idx="82">
                  <c:v>376.6235289204113</c:v>
                </c:pt>
                <c:pt idx="83">
                  <c:v>386.2823797839777</c:v>
                </c:pt>
                <c:pt idx="84">
                  <c:v>395.9412306475442</c:v>
                </c:pt>
                <c:pt idx="85">
                  <c:v>405.6000815111106</c:v>
                </c:pt>
                <c:pt idx="86">
                  <c:v>415.2589323746772</c:v>
                </c:pt>
                <c:pt idx="87">
                  <c:v>424.9177832382436</c:v>
                </c:pt>
                <c:pt idx="88">
                  <c:v>434.5766341018101</c:v>
                </c:pt>
                <c:pt idx="89">
                  <c:v>444.2354849653765</c:v>
                </c:pt>
                <c:pt idx="90">
                  <c:v>453.894335828943</c:v>
                </c:pt>
                <c:pt idx="91">
                  <c:v>463.5531866925095</c:v>
                </c:pt>
                <c:pt idx="92">
                  <c:v>473.212037556076</c:v>
                </c:pt>
                <c:pt idx="93">
                  <c:v>482.8708884196424</c:v>
                </c:pt>
                <c:pt idx="94">
                  <c:v>492.5297392832089</c:v>
                </c:pt>
                <c:pt idx="95">
                  <c:v>502.1885901467754</c:v>
                </c:pt>
                <c:pt idx="96">
                  <c:v>511.2335155785586</c:v>
                </c:pt>
                <c:pt idx="97">
                  <c:v>519.6645155785586</c:v>
                </c:pt>
                <c:pt idx="98">
                  <c:v>528.0955155785586</c:v>
                </c:pt>
                <c:pt idx="99">
                  <c:v>536.5265155785586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61.41058823529412</c:v>
                </c:pt>
                <c:pt idx="14">
                  <c:v>184.2317647058824</c:v>
                </c:pt>
                <c:pt idx="15">
                  <c:v>307.0529411764706</c:v>
                </c:pt>
                <c:pt idx="16">
                  <c:v>429.8741176470588</c:v>
                </c:pt>
                <c:pt idx="17">
                  <c:v>552.695294117647</c:v>
                </c:pt>
                <c:pt idx="18">
                  <c:v>675.5164705882352</c:v>
                </c:pt>
                <c:pt idx="19">
                  <c:v>798.3376470588236</c:v>
                </c:pt>
                <c:pt idx="20">
                  <c:v>921.1588235294118</c:v>
                </c:pt>
                <c:pt idx="21">
                  <c:v>1043.98</c:v>
                </c:pt>
                <c:pt idx="22">
                  <c:v>1166.801176470588</c:v>
                </c:pt>
                <c:pt idx="23">
                  <c:v>1289.622352941177</c:v>
                </c:pt>
                <c:pt idx="24">
                  <c:v>1412.443529411765</c:v>
                </c:pt>
                <c:pt idx="25">
                  <c:v>1535.264705882353</c:v>
                </c:pt>
                <c:pt idx="26">
                  <c:v>1658.085882352941</c:v>
                </c:pt>
                <c:pt idx="27">
                  <c:v>1780.907058823529</c:v>
                </c:pt>
                <c:pt idx="28">
                  <c:v>1903.728235294118</c:v>
                </c:pt>
                <c:pt idx="29">
                  <c:v>2026.549411764706</c:v>
                </c:pt>
                <c:pt idx="30">
                  <c:v>2149.370588235294</c:v>
                </c:pt>
                <c:pt idx="31">
                  <c:v>2272.191764705883</c:v>
                </c:pt>
                <c:pt idx="32">
                  <c:v>2395.012941176471</c:v>
                </c:pt>
                <c:pt idx="33">
                  <c:v>2517.834117647058</c:v>
                </c:pt>
                <c:pt idx="34">
                  <c:v>2640.655294117647</c:v>
                </c:pt>
                <c:pt idx="35">
                  <c:v>2763.476470588235</c:v>
                </c:pt>
                <c:pt idx="36">
                  <c:v>2886.297647058824</c:v>
                </c:pt>
                <c:pt idx="37">
                  <c:v>3009.118823529412</c:v>
                </c:pt>
                <c:pt idx="38">
                  <c:v>3131.94</c:v>
                </c:pt>
                <c:pt idx="39">
                  <c:v>3254.761176470588</c:v>
                </c:pt>
                <c:pt idx="40">
                  <c:v>3377.582352941177</c:v>
                </c:pt>
                <c:pt idx="41">
                  <c:v>3500.403529411765</c:v>
                </c:pt>
                <c:pt idx="42">
                  <c:v>3623.224705882353</c:v>
                </c:pt>
                <c:pt idx="43">
                  <c:v>3746.045882352942</c:v>
                </c:pt>
                <c:pt idx="44">
                  <c:v>3868.86705882353</c:v>
                </c:pt>
                <c:pt idx="45">
                  <c:v>3991.688235294118</c:v>
                </c:pt>
                <c:pt idx="46">
                  <c:v>4114.509411764706</c:v>
                </c:pt>
                <c:pt idx="47">
                  <c:v>4287.775757575758</c:v>
                </c:pt>
                <c:pt idx="48">
                  <c:v>4511.487272727272</c:v>
                </c:pt>
                <c:pt idx="49">
                  <c:v>4735.198787878788</c:v>
                </c:pt>
                <c:pt idx="50">
                  <c:v>4958.910303030303</c:v>
                </c:pt>
                <c:pt idx="51">
                  <c:v>5182.621818181818</c:v>
                </c:pt>
                <c:pt idx="52">
                  <c:v>5406.333333333333</c:v>
                </c:pt>
                <c:pt idx="53">
                  <c:v>5630.044848484848</c:v>
                </c:pt>
                <c:pt idx="54">
                  <c:v>5853.756363636364</c:v>
                </c:pt>
                <c:pt idx="55">
                  <c:v>6077.467878787878</c:v>
                </c:pt>
                <c:pt idx="56">
                  <c:v>6301.179393939394</c:v>
                </c:pt>
                <c:pt idx="57">
                  <c:v>6524.89090909091</c:v>
                </c:pt>
                <c:pt idx="58">
                  <c:v>6748.602424242424</c:v>
                </c:pt>
                <c:pt idx="59">
                  <c:v>6972.31393939394</c:v>
                </c:pt>
                <c:pt idx="60">
                  <c:v>7196.025454545454</c:v>
                </c:pt>
                <c:pt idx="61">
                  <c:v>7419.73696969697</c:v>
                </c:pt>
                <c:pt idx="62">
                  <c:v>7643.448484848484</c:v>
                </c:pt>
                <c:pt idx="63">
                  <c:v>7867.16</c:v>
                </c:pt>
                <c:pt idx="64">
                  <c:v>8090.871515151515</c:v>
                </c:pt>
                <c:pt idx="65">
                  <c:v>8314.583030303031</c:v>
                </c:pt>
                <c:pt idx="66">
                  <c:v>8538.294545454544</c:v>
                </c:pt>
                <c:pt idx="67">
                  <c:v>8762.006060606061</c:v>
                </c:pt>
                <c:pt idx="68">
                  <c:v>8985.717575757575</c:v>
                </c:pt>
                <c:pt idx="69">
                  <c:v>9209.429090909091</c:v>
                </c:pt>
                <c:pt idx="70">
                  <c:v>9433.140606060605</c:v>
                </c:pt>
                <c:pt idx="71">
                  <c:v>9656.85212121212</c:v>
                </c:pt>
                <c:pt idx="72">
                  <c:v>9880.563636363637</c:v>
                </c:pt>
                <c:pt idx="73">
                  <c:v>10104.27515151515</c:v>
                </c:pt>
                <c:pt idx="74">
                  <c:v>10327.98666666667</c:v>
                </c:pt>
                <c:pt idx="75">
                  <c:v>10551.69818181818</c:v>
                </c:pt>
                <c:pt idx="76">
                  <c:v>10775.4096969697</c:v>
                </c:pt>
                <c:pt idx="77">
                  <c:v>10999.12121212121</c:v>
                </c:pt>
                <c:pt idx="78">
                  <c:v>11222.83272727273</c:v>
                </c:pt>
                <c:pt idx="79">
                  <c:v>11446.54424242424</c:v>
                </c:pt>
                <c:pt idx="80">
                  <c:v>11608.8</c:v>
                </c:pt>
                <c:pt idx="81">
                  <c:v>11709.6</c:v>
                </c:pt>
                <c:pt idx="82">
                  <c:v>11810.4</c:v>
                </c:pt>
                <c:pt idx="83">
                  <c:v>11911.2</c:v>
                </c:pt>
                <c:pt idx="84">
                  <c:v>12012</c:v>
                </c:pt>
                <c:pt idx="85">
                  <c:v>12112.8</c:v>
                </c:pt>
                <c:pt idx="86">
                  <c:v>12213.6</c:v>
                </c:pt>
                <c:pt idx="87">
                  <c:v>12314.4</c:v>
                </c:pt>
                <c:pt idx="88">
                  <c:v>12415.2</c:v>
                </c:pt>
                <c:pt idx="89">
                  <c:v>12516</c:v>
                </c:pt>
                <c:pt idx="90">
                  <c:v>12616.8</c:v>
                </c:pt>
                <c:pt idx="91">
                  <c:v>12717.6</c:v>
                </c:pt>
                <c:pt idx="92">
                  <c:v>12818.4</c:v>
                </c:pt>
                <c:pt idx="93">
                  <c:v>12919.2</c:v>
                </c:pt>
                <c:pt idx="94">
                  <c:v>1302</c:v>
                </c:pt>
                <c:pt idx="95">
                  <c:v>13120.8</c:v>
                </c:pt>
                <c:pt idx="96">
                  <c:v>13171.2</c:v>
                </c:pt>
                <c:pt idx="97">
                  <c:v>13171.2</c:v>
                </c:pt>
                <c:pt idx="98">
                  <c:v>13171.2</c:v>
                </c:pt>
                <c:pt idx="99">
                  <c:v>13171.2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8489.599999999999</c:v>
                </c:pt>
                <c:pt idx="1">
                  <c:v>8489.599999999999</c:v>
                </c:pt>
                <c:pt idx="2">
                  <c:v>8489.599999999999</c:v>
                </c:pt>
                <c:pt idx="3">
                  <c:v>8489.599999999999</c:v>
                </c:pt>
                <c:pt idx="4">
                  <c:v>8489.599999999999</c:v>
                </c:pt>
                <c:pt idx="5">
                  <c:v>8489.599999999999</c:v>
                </c:pt>
                <c:pt idx="6">
                  <c:v>8489.599999999999</c:v>
                </c:pt>
                <c:pt idx="7">
                  <c:v>8489.599999999999</c:v>
                </c:pt>
                <c:pt idx="8">
                  <c:v>8489.599999999999</c:v>
                </c:pt>
                <c:pt idx="9">
                  <c:v>8489.599999999999</c:v>
                </c:pt>
                <c:pt idx="10">
                  <c:v>8489.599999999999</c:v>
                </c:pt>
                <c:pt idx="11">
                  <c:v>8489.599999999999</c:v>
                </c:pt>
                <c:pt idx="12">
                  <c:v>8489.599999999999</c:v>
                </c:pt>
                <c:pt idx="13">
                  <c:v>8582.53051673708</c:v>
                </c:pt>
                <c:pt idx="14">
                  <c:v>8768.391550211243</c:v>
                </c:pt>
                <c:pt idx="15">
                  <c:v>8954.252583685406</c:v>
                </c:pt>
                <c:pt idx="16">
                  <c:v>9140.11361715957</c:v>
                </c:pt>
                <c:pt idx="17">
                  <c:v>9325.974650633732</c:v>
                </c:pt>
                <c:pt idx="18">
                  <c:v>9511.835684107897</c:v>
                </c:pt>
                <c:pt idx="19">
                  <c:v>9697.69671758206</c:v>
                </c:pt>
                <c:pt idx="20">
                  <c:v>9883.55775105622</c:v>
                </c:pt>
                <c:pt idx="21">
                  <c:v>10069.41878453039</c:v>
                </c:pt>
                <c:pt idx="22">
                  <c:v>10255.27981800455</c:v>
                </c:pt>
                <c:pt idx="23">
                  <c:v>10441.14085147871</c:v>
                </c:pt>
                <c:pt idx="24">
                  <c:v>10627.00188495288</c:v>
                </c:pt>
                <c:pt idx="25">
                  <c:v>10812.86291842704</c:v>
                </c:pt>
                <c:pt idx="26">
                  <c:v>10998.7239519012</c:v>
                </c:pt>
                <c:pt idx="27">
                  <c:v>11184.58498537536</c:v>
                </c:pt>
                <c:pt idx="28">
                  <c:v>11370.44601884953</c:v>
                </c:pt>
                <c:pt idx="29">
                  <c:v>11556.30705232369</c:v>
                </c:pt>
                <c:pt idx="30">
                  <c:v>11742.16808579785</c:v>
                </c:pt>
                <c:pt idx="31">
                  <c:v>11928.02911927202</c:v>
                </c:pt>
                <c:pt idx="32">
                  <c:v>12113.89015274618</c:v>
                </c:pt>
                <c:pt idx="33">
                  <c:v>12299.75118622034</c:v>
                </c:pt>
                <c:pt idx="34">
                  <c:v>12485.61221969451</c:v>
                </c:pt>
                <c:pt idx="35">
                  <c:v>12671.47325316867</c:v>
                </c:pt>
                <c:pt idx="36">
                  <c:v>12857.33428664283</c:v>
                </c:pt>
                <c:pt idx="37">
                  <c:v>13043.195320117</c:v>
                </c:pt>
                <c:pt idx="38">
                  <c:v>13229.05635359116</c:v>
                </c:pt>
                <c:pt idx="39">
                  <c:v>13414.91738706532</c:v>
                </c:pt>
                <c:pt idx="40">
                  <c:v>13600.77842053949</c:v>
                </c:pt>
                <c:pt idx="41">
                  <c:v>13786.63945401365</c:v>
                </c:pt>
                <c:pt idx="42">
                  <c:v>13972.50048748781</c:v>
                </c:pt>
                <c:pt idx="43">
                  <c:v>14158.36152096197</c:v>
                </c:pt>
                <c:pt idx="44">
                  <c:v>14344.22255443614</c:v>
                </c:pt>
                <c:pt idx="45">
                  <c:v>14530.0835879103</c:v>
                </c:pt>
                <c:pt idx="46">
                  <c:v>14715.94462138446</c:v>
                </c:pt>
                <c:pt idx="47">
                  <c:v>14584.4982420894</c:v>
                </c:pt>
                <c:pt idx="48">
                  <c:v>14135.74445002511</c:v>
                </c:pt>
                <c:pt idx="49">
                  <c:v>13686.99065796082</c:v>
                </c:pt>
                <c:pt idx="50">
                  <c:v>13238.23686589653</c:v>
                </c:pt>
                <c:pt idx="51">
                  <c:v>12789.48307383225</c:v>
                </c:pt>
                <c:pt idx="52">
                  <c:v>12340.72928176796</c:v>
                </c:pt>
                <c:pt idx="53">
                  <c:v>11891.97548970367</c:v>
                </c:pt>
                <c:pt idx="54">
                  <c:v>11443.22169763938</c:v>
                </c:pt>
                <c:pt idx="55">
                  <c:v>10994.46790557509</c:v>
                </c:pt>
                <c:pt idx="56">
                  <c:v>10545.7141135108</c:v>
                </c:pt>
                <c:pt idx="57">
                  <c:v>10096.96032144651</c:v>
                </c:pt>
                <c:pt idx="58">
                  <c:v>9648.20652938222</c:v>
                </c:pt>
                <c:pt idx="59">
                  <c:v>9199.45273731793</c:v>
                </c:pt>
                <c:pt idx="60">
                  <c:v>8750.69894525364</c:v>
                </c:pt>
                <c:pt idx="61">
                  <c:v>8301.945153189352</c:v>
                </c:pt>
                <c:pt idx="62">
                  <c:v>7853.191361125062</c:v>
                </c:pt>
                <c:pt idx="63">
                  <c:v>7404.437569060773</c:v>
                </c:pt>
                <c:pt idx="64">
                  <c:v>6955.683776996484</c:v>
                </c:pt>
                <c:pt idx="65">
                  <c:v>6506.929984932194</c:v>
                </c:pt>
                <c:pt idx="66">
                  <c:v>6058.176192867906</c:v>
                </c:pt>
                <c:pt idx="67">
                  <c:v>5609.422400803616</c:v>
                </c:pt>
                <c:pt idx="68">
                  <c:v>5160.668608739326</c:v>
                </c:pt>
                <c:pt idx="69">
                  <c:v>4711.914816675038</c:v>
                </c:pt>
                <c:pt idx="70">
                  <c:v>4263.161024610748</c:v>
                </c:pt>
                <c:pt idx="71">
                  <c:v>3814.407232546458</c:v>
                </c:pt>
                <c:pt idx="72">
                  <c:v>3365.65344048217</c:v>
                </c:pt>
                <c:pt idx="73">
                  <c:v>2916.899648417881</c:v>
                </c:pt>
                <c:pt idx="74">
                  <c:v>2468.145856353591</c:v>
                </c:pt>
                <c:pt idx="75">
                  <c:v>2019.392064289303</c:v>
                </c:pt>
                <c:pt idx="76">
                  <c:v>1570.638272225013</c:v>
                </c:pt>
                <c:pt idx="77">
                  <c:v>1121.884480160723</c:v>
                </c:pt>
                <c:pt idx="78">
                  <c:v>673.1306880964348</c:v>
                </c:pt>
                <c:pt idx="79">
                  <c:v>224.3768960321449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197.6470588235294</c:v>
                </c:pt>
                <c:pt idx="14">
                  <c:v>592.9411764705882</c:v>
                </c:pt>
                <c:pt idx="15">
                  <c:v>988.235294117647</c:v>
                </c:pt>
                <c:pt idx="16">
                  <c:v>1383.529411764706</c:v>
                </c:pt>
                <c:pt idx="17">
                  <c:v>1778.823529411764</c:v>
                </c:pt>
                <c:pt idx="18">
                  <c:v>2174.117647058823</c:v>
                </c:pt>
                <c:pt idx="19">
                  <c:v>2569.411764705882</c:v>
                </c:pt>
                <c:pt idx="20">
                  <c:v>2964.705882352941</c:v>
                </c:pt>
                <c:pt idx="21">
                  <c:v>336</c:v>
                </c:pt>
                <c:pt idx="22">
                  <c:v>3755.294117647058</c:v>
                </c:pt>
                <c:pt idx="23">
                  <c:v>4150.588235294117</c:v>
                </c:pt>
                <c:pt idx="24">
                  <c:v>4545.882352941176</c:v>
                </c:pt>
                <c:pt idx="25">
                  <c:v>4941.176470588235</c:v>
                </c:pt>
                <c:pt idx="26">
                  <c:v>5336.470588235294</c:v>
                </c:pt>
                <c:pt idx="27">
                  <c:v>5731.764705882352</c:v>
                </c:pt>
                <c:pt idx="28">
                  <c:v>6127.05882352941</c:v>
                </c:pt>
                <c:pt idx="29">
                  <c:v>6522.35294117647</c:v>
                </c:pt>
                <c:pt idx="30">
                  <c:v>6917.647058823529</c:v>
                </c:pt>
                <c:pt idx="31">
                  <c:v>7312.941176470587</c:v>
                </c:pt>
                <c:pt idx="32">
                  <c:v>7708.235294117646</c:v>
                </c:pt>
                <c:pt idx="33">
                  <c:v>8103.529411764705</c:v>
                </c:pt>
                <c:pt idx="34">
                  <c:v>8498.823529411763</c:v>
                </c:pt>
                <c:pt idx="35">
                  <c:v>8894.117647058823</c:v>
                </c:pt>
                <c:pt idx="36">
                  <c:v>9289.41176470588</c:v>
                </c:pt>
                <c:pt idx="37">
                  <c:v>9684.70588235294</c:v>
                </c:pt>
                <c:pt idx="38">
                  <c:v>1008</c:v>
                </c:pt>
                <c:pt idx="39">
                  <c:v>10475.29411764706</c:v>
                </c:pt>
                <c:pt idx="40">
                  <c:v>10870.58823529412</c:v>
                </c:pt>
                <c:pt idx="41">
                  <c:v>11265.88235294117</c:v>
                </c:pt>
                <c:pt idx="42">
                  <c:v>11661.17647058823</c:v>
                </c:pt>
                <c:pt idx="43">
                  <c:v>12056.47058823529</c:v>
                </c:pt>
                <c:pt idx="44">
                  <c:v>12451.76470588235</c:v>
                </c:pt>
                <c:pt idx="45">
                  <c:v>12847.05882352941</c:v>
                </c:pt>
                <c:pt idx="46">
                  <c:v>13242.35294117647</c:v>
                </c:pt>
                <c:pt idx="47">
                  <c:v>15802.18181818182</c:v>
                </c:pt>
                <c:pt idx="48">
                  <c:v>20526.54545454545</c:v>
                </c:pt>
                <c:pt idx="49">
                  <c:v>25250.90909090908</c:v>
                </c:pt>
                <c:pt idx="50">
                  <c:v>29975.27272727272</c:v>
                </c:pt>
                <c:pt idx="51">
                  <c:v>34699.63636363635</c:v>
                </c:pt>
                <c:pt idx="52">
                  <c:v>39423.99999999998</c:v>
                </c:pt>
                <c:pt idx="53">
                  <c:v>44148.36363636362</c:v>
                </c:pt>
                <c:pt idx="54">
                  <c:v>48872.72727272726</c:v>
                </c:pt>
                <c:pt idx="55">
                  <c:v>53597.09090909089</c:v>
                </c:pt>
                <c:pt idx="56">
                  <c:v>58321.45454545452</c:v>
                </c:pt>
                <c:pt idx="57">
                  <c:v>63045.81818181816</c:v>
                </c:pt>
                <c:pt idx="58">
                  <c:v>67770.1818181818</c:v>
                </c:pt>
                <c:pt idx="59">
                  <c:v>72494.54545454542</c:v>
                </c:pt>
                <c:pt idx="60">
                  <c:v>77218.90909090906</c:v>
                </c:pt>
                <c:pt idx="61">
                  <c:v>81943.27272727269</c:v>
                </c:pt>
                <c:pt idx="62">
                  <c:v>86667.63636363632</c:v>
                </c:pt>
                <c:pt idx="63">
                  <c:v>91391.99999999997</c:v>
                </c:pt>
                <c:pt idx="64">
                  <c:v>96116.3636363636</c:v>
                </c:pt>
                <c:pt idx="65">
                  <c:v>100840.7272727272</c:v>
                </c:pt>
                <c:pt idx="66">
                  <c:v>105565.0909090909</c:v>
                </c:pt>
                <c:pt idx="67">
                  <c:v>110289.4545454545</c:v>
                </c:pt>
                <c:pt idx="68">
                  <c:v>115013.8181818181</c:v>
                </c:pt>
                <c:pt idx="69">
                  <c:v>119738.1818181818</c:v>
                </c:pt>
                <c:pt idx="70">
                  <c:v>124462.5454545454</c:v>
                </c:pt>
                <c:pt idx="71">
                  <c:v>129186.909090909</c:v>
                </c:pt>
                <c:pt idx="72">
                  <c:v>133911.2727272727</c:v>
                </c:pt>
                <c:pt idx="73">
                  <c:v>138635.6363636363</c:v>
                </c:pt>
                <c:pt idx="74">
                  <c:v>143359.9999999999</c:v>
                </c:pt>
                <c:pt idx="75">
                  <c:v>148084.3636363636</c:v>
                </c:pt>
                <c:pt idx="76">
                  <c:v>152808.7272727272</c:v>
                </c:pt>
                <c:pt idx="77">
                  <c:v>157533.0909090909</c:v>
                </c:pt>
                <c:pt idx="78">
                  <c:v>162257.4545454545</c:v>
                </c:pt>
                <c:pt idx="79">
                  <c:v>166981.8181818181</c:v>
                </c:pt>
                <c:pt idx="80">
                  <c:v>171107.9999999999</c:v>
                </c:pt>
                <c:pt idx="81">
                  <c:v>174635.9999999999</c:v>
                </c:pt>
                <c:pt idx="82">
                  <c:v>178163.9999999999</c:v>
                </c:pt>
                <c:pt idx="83">
                  <c:v>181691.9999999999</c:v>
                </c:pt>
                <c:pt idx="84">
                  <c:v>18522</c:v>
                </c:pt>
                <c:pt idx="85">
                  <c:v>188748</c:v>
                </c:pt>
                <c:pt idx="86">
                  <c:v>192276</c:v>
                </c:pt>
                <c:pt idx="87">
                  <c:v>195804</c:v>
                </c:pt>
                <c:pt idx="88">
                  <c:v>199332</c:v>
                </c:pt>
                <c:pt idx="89">
                  <c:v>20286</c:v>
                </c:pt>
                <c:pt idx="90">
                  <c:v>206388</c:v>
                </c:pt>
                <c:pt idx="91">
                  <c:v>209916.0</c:v>
                </c:pt>
                <c:pt idx="92">
                  <c:v>213444.0</c:v>
                </c:pt>
                <c:pt idx="93">
                  <c:v>216972.0</c:v>
                </c:pt>
                <c:pt idx="94">
                  <c:v>220500.0</c:v>
                </c:pt>
                <c:pt idx="95">
                  <c:v>224028.0</c:v>
                </c:pt>
                <c:pt idx="96">
                  <c:v>227127.85</c:v>
                </c:pt>
                <c:pt idx="97">
                  <c:v>229799.55</c:v>
                </c:pt>
                <c:pt idx="98">
                  <c:v>232471.25</c:v>
                </c:pt>
                <c:pt idx="99">
                  <c:v>235142.95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2567.04</c:v>
                </c:pt>
                <c:pt idx="1">
                  <c:v>2567.04</c:v>
                </c:pt>
                <c:pt idx="2">
                  <c:v>2567.04</c:v>
                </c:pt>
                <c:pt idx="3">
                  <c:v>2567.04</c:v>
                </c:pt>
                <c:pt idx="4">
                  <c:v>2567.04</c:v>
                </c:pt>
                <c:pt idx="5">
                  <c:v>2567.04</c:v>
                </c:pt>
                <c:pt idx="6">
                  <c:v>2567.04</c:v>
                </c:pt>
                <c:pt idx="7">
                  <c:v>2567.04</c:v>
                </c:pt>
                <c:pt idx="8">
                  <c:v>2567.04</c:v>
                </c:pt>
                <c:pt idx="9">
                  <c:v>2567.04</c:v>
                </c:pt>
                <c:pt idx="10">
                  <c:v>2567.04</c:v>
                </c:pt>
                <c:pt idx="11">
                  <c:v>2567.04</c:v>
                </c:pt>
                <c:pt idx="12">
                  <c:v>2567.04</c:v>
                </c:pt>
                <c:pt idx="13">
                  <c:v>2632.889411764706</c:v>
                </c:pt>
                <c:pt idx="14">
                  <c:v>2764.588235294117</c:v>
                </c:pt>
                <c:pt idx="15">
                  <c:v>2896.28705882353</c:v>
                </c:pt>
                <c:pt idx="16">
                  <c:v>3027.985882352941</c:v>
                </c:pt>
                <c:pt idx="17">
                  <c:v>3159.684705882352</c:v>
                </c:pt>
                <c:pt idx="18">
                  <c:v>3291.383529411764</c:v>
                </c:pt>
                <c:pt idx="19">
                  <c:v>3423.082352941176</c:v>
                </c:pt>
                <c:pt idx="20">
                  <c:v>3554.781176470588</c:v>
                </c:pt>
                <c:pt idx="21">
                  <c:v>3686.48</c:v>
                </c:pt>
                <c:pt idx="22">
                  <c:v>3818.178823529412</c:v>
                </c:pt>
                <c:pt idx="23">
                  <c:v>3949.877647058823</c:v>
                </c:pt>
                <c:pt idx="24">
                  <c:v>4081.576470588235</c:v>
                </c:pt>
                <c:pt idx="25">
                  <c:v>4213.275294117646</c:v>
                </c:pt>
                <c:pt idx="26">
                  <c:v>4344.974117647059</c:v>
                </c:pt>
                <c:pt idx="27">
                  <c:v>4476.67294117647</c:v>
                </c:pt>
                <c:pt idx="28">
                  <c:v>4608.371764705882</c:v>
                </c:pt>
                <c:pt idx="29">
                  <c:v>4740.070588235294</c:v>
                </c:pt>
                <c:pt idx="30">
                  <c:v>4871.769411764706</c:v>
                </c:pt>
                <c:pt idx="31">
                  <c:v>5003.468235294118</c:v>
                </c:pt>
                <c:pt idx="32">
                  <c:v>5135.16705882353</c:v>
                </c:pt>
                <c:pt idx="33">
                  <c:v>5266.86588235294</c:v>
                </c:pt>
                <c:pt idx="34">
                  <c:v>5398.564705882352</c:v>
                </c:pt>
                <c:pt idx="35">
                  <c:v>5530.263529411764</c:v>
                </c:pt>
                <c:pt idx="36">
                  <c:v>5661.962352941177</c:v>
                </c:pt>
                <c:pt idx="37">
                  <c:v>5793.661176470588</c:v>
                </c:pt>
                <c:pt idx="38">
                  <c:v>5925.36</c:v>
                </c:pt>
                <c:pt idx="39">
                  <c:v>6057.058823529411</c:v>
                </c:pt>
                <c:pt idx="40">
                  <c:v>6188.757647058824</c:v>
                </c:pt>
                <c:pt idx="41">
                  <c:v>6320.456470588235</c:v>
                </c:pt>
                <c:pt idx="42">
                  <c:v>6452.155294117646</c:v>
                </c:pt>
                <c:pt idx="43">
                  <c:v>6583.854117647059</c:v>
                </c:pt>
                <c:pt idx="44">
                  <c:v>6715.55294117647</c:v>
                </c:pt>
                <c:pt idx="45">
                  <c:v>6847.251764705883</c:v>
                </c:pt>
                <c:pt idx="46">
                  <c:v>6978.950588235295</c:v>
                </c:pt>
                <c:pt idx="47">
                  <c:v>6938.060606060605</c:v>
                </c:pt>
                <c:pt idx="48">
                  <c:v>6724.581818181817</c:v>
                </c:pt>
                <c:pt idx="49">
                  <c:v>6511.10303030303</c:v>
                </c:pt>
                <c:pt idx="50">
                  <c:v>6297.624242424241</c:v>
                </c:pt>
                <c:pt idx="51">
                  <c:v>6084.145454545453</c:v>
                </c:pt>
                <c:pt idx="52">
                  <c:v>5870.666666666666</c:v>
                </c:pt>
                <c:pt idx="53">
                  <c:v>5657.187878787877</c:v>
                </c:pt>
                <c:pt idx="54">
                  <c:v>5443.70909090909</c:v>
                </c:pt>
                <c:pt idx="55">
                  <c:v>5230.230303030303</c:v>
                </c:pt>
                <c:pt idx="56">
                  <c:v>5016.751515151514</c:v>
                </c:pt>
                <c:pt idx="57">
                  <c:v>4803.272727272726</c:v>
                </c:pt>
                <c:pt idx="58">
                  <c:v>4589.793939393938</c:v>
                </c:pt>
                <c:pt idx="59">
                  <c:v>4376.31515151515</c:v>
                </c:pt>
                <c:pt idx="60">
                  <c:v>4162.836363636363</c:v>
                </c:pt>
                <c:pt idx="61">
                  <c:v>3949.357575757575</c:v>
                </c:pt>
                <c:pt idx="62">
                  <c:v>3735.878787878787</c:v>
                </c:pt>
                <c:pt idx="63">
                  <c:v>3522.4</c:v>
                </c:pt>
                <c:pt idx="64">
                  <c:v>3308.921212121212</c:v>
                </c:pt>
                <c:pt idx="65">
                  <c:v>3095.442424242424</c:v>
                </c:pt>
                <c:pt idx="66">
                  <c:v>2881.963636363635</c:v>
                </c:pt>
                <c:pt idx="67">
                  <c:v>2668.484848484848</c:v>
                </c:pt>
                <c:pt idx="68">
                  <c:v>2455.00606060606</c:v>
                </c:pt>
                <c:pt idx="69">
                  <c:v>2241.527272727272</c:v>
                </c:pt>
                <c:pt idx="70">
                  <c:v>2028.048484848484</c:v>
                </c:pt>
                <c:pt idx="71">
                  <c:v>1814.569696969696</c:v>
                </c:pt>
                <c:pt idx="72">
                  <c:v>1601.09090909091</c:v>
                </c:pt>
                <c:pt idx="73">
                  <c:v>1387.612121212121</c:v>
                </c:pt>
                <c:pt idx="74">
                  <c:v>1174.133333333333</c:v>
                </c:pt>
                <c:pt idx="75">
                  <c:v>960.6545454545449</c:v>
                </c:pt>
                <c:pt idx="76">
                  <c:v>747.1757575757574</c:v>
                </c:pt>
                <c:pt idx="77">
                  <c:v>533.6969696969691</c:v>
                </c:pt>
                <c:pt idx="78">
                  <c:v>320.2181818181816</c:v>
                </c:pt>
                <c:pt idx="79">
                  <c:v>106.7393939393933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31.6235294117647</c:v>
                </c:pt>
                <c:pt idx="14">
                  <c:v>94.87058823529409</c:v>
                </c:pt>
                <c:pt idx="15">
                  <c:v>158.1176470588235</c:v>
                </c:pt>
                <c:pt idx="16">
                  <c:v>221.3647058823529</c:v>
                </c:pt>
                <c:pt idx="17">
                  <c:v>284.6117647058823</c:v>
                </c:pt>
                <c:pt idx="18">
                  <c:v>347.8588235294117</c:v>
                </c:pt>
                <c:pt idx="19">
                  <c:v>411.105882352941</c:v>
                </c:pt>
                <c:pt idx="20">
                  <c:v>474.3529411764705</c:v>
                </c:pt>
                <c:pt idx="21">
                  <c:v>537.6</c:v>
                </c:pt>
                <c:pt idx="22">
                  <c:v>600.8470588235293</c:v>
                </c:pt>
                <c:pt idx="23">
                  <c:v>664.0941176470587</c:v>
                </c:pt>
                <c:pt idx="24">
                  <c:v>727.3411764705882</c:v>
                </c:pt>
                <c:pt idx="25">
                  <c:v>790.5882352941174</c:v>
                </c:pt>
                <c:pt idx="26">
                  <c:v>853.8352941176469</c:v>
                </c:pt>
                <c:pt idx="27">
                  <c:v>917.0823529411762</c:v>
                </c:pt>
                <c:pt idx="28">
                  <c:v>980.3294117647057</c:v>
                </c:pt>
                <c:pt idx="29">
                  <c:v>1043.576470588235</c:v>
                </c:pt>
                <c:pt idx="30">
                  <c:v>1106.823529411764</c:v>
                </c:pt>
                <c:pt idx="31">
                  <c:v>1170.070588235294</c:v>
                </c:pt>
                <c:pt idx="32">
                  <c:v>1233.317647058823</c:v>
                </c:pt>
                <c:pt idx="33">
                  <c:v>1296.564705882353</c:v>
                </c:pt>
                <c:pt idx="34">
                  <c:v>1359.811764705882</c:v>
                </c:pt>
                <c:pt idx="35">
                  <c:v>1423.058823529411</c:v>
                </c:pt>
                <c:pt idx="36">
                  <c:v>1486.305882352941</c:v>
                </c:pt>
                <c:pt idx="37">
                  <c:v>1549.55294117647</c:v>
                </c:pt>
                <c:pt idx="38">
                  <c:v>1612.8</c:v>
                </c:pt>
                <c:pt idx="39">
                  <c:v>1676.04705882353</c:v>
                </c:pt>
                <c:pt idx="40">
                  <c:v>1739.294117647059</c:v>
                </c:pt>
                <c:pt idx="41">
                  <c:v>1802.541176470588</c:v>
                </c:pt>
                <c:pt idx="42">
                  <c:v>1865.788235294117</c:v>
                </c:pt>
                <c:pt idx="43">
                  <c:v>1929.035294117647</c:v>
                </c:pt>
                <c:pt idx="44">
                  <c:v>1992.282352941176</c:v>
                </c:pt>
                <c:pt idx="45">
                  <c:v>2055.529411764705</c:v>
                </c:pt>
                <c:pt idx="46">
                  <c:v>2118.776470588235</c:v>
                </c:pt>
                <c:pt idx="47">
                  <c:v>2753.163636363636</c:v>
                </c:pt>
                <c:pt idx="48">
                  <c:v>3958.690909090908</c:v>
                </c:pt>
                <c:pt idx="49">
                  <c:v>5164.21818181818</c:v>
                </c:pt>
                <c:pt idx="50">
                  <c:v>6369.745454545453</c:v>
                </c:pt>
                <c:pt idx="51">
                  <c:v>7575.272727272724</c:v>
                </c:pt>
                <c:pt idx="52">
                  <c:v>8780.799999999997</c:v>
                </c:pt>
                <c:pt idx="53">
                  <c:v>9986.327272727269</c:v>
                </c:pt>
                <c:pt idx="54">
                  <c:v>11191.85454545454</c:v>
                </c:pt>
                <c:pt idx="55">
                  <c:v>12397.38181818181</c:v>
                </c:pt>
                <c:pt idx="56">
                  <c:v>13602.90909090909</c:v>
                </c:pt>
                <c:pt idx="57">
                  <c:v>14808.43636363636</c:v>
                </c:pt>
                <c:pt idx="58">
                  <c:v>16013.96363636363</c:v>
                </c:pt>
                <c:pt idx="59">
                  <c:v>17219.4909090909</c:v>
                </c:pt>
                <c:pt idx="60">
                  <c:v>18425.01818181817</c:v>
                </c:pt>
                <c:pt idx="61">
                  <c:v>19630.54545454545</c:v>
                </c:pt>
                <c:pt idx="62">
                  <c:v>20836.07272727272</c:v>
                </c:pt>
                <c:pt idx="63">
                  <c:v>22041.59999999999</c:v>
                </c:pt>
                <c:pt idx="64">
                  <c:v>23247.12727272727</c:v>
                </c:pt>
                <c:pt idx="65">
                  <c:v>24452.65454545453</c:v>
                </c:pt>
                <c:pt idx="66">
                  <c:v>25658.18181818181</c:v>
                </c:pt>
                <c:pt idx="67">
                  <c:v>26863.70909090908</c:v>
                </c:pt>
                <c:pt idx="68">
                  <c:v>28069.23636363635</c:v>
                </c:pt>
                <c:pt idx="69">
                  <c:v>29274.76363636363</c:v>
                </c:pt>
                <c:pt idx="70">
                  <c:v>30480.29090909089</c:v>
                </c:pt>
                <c:pt idx="71">
                  <c:v>31685.81818181817</c:v>
                </c:pt>
                <c:pt idx="72">
                  <c:v>32891.34545454544</c:v>
                </c:pt>
                <c:pt idx="73">
                  <c:v>34096.87272727271</c:v>
                </c:pt>
                <c:pt idx="74">
                  <c:v>35302.39999999998</c:v>
                </c:pt>
                <c:pt idx="75">
                  <c:v>36507.92727272726</c:v>
                </c:pt>
                <c:pt idx="76">
                  <c:v>37713.45454545452</c:v>
                </c:pt>
                <c:pt idx="77">
                  <c:v>38918.9818181818</c:v>
                </c:pt>
                <c:pt idx="78">
                  <c:v>40124.50909090908</c:v>
                </c:pt>
                <c:pt idx="79">
                  <c:v>41330.03636363635</c:v>
                </c:pt>
                <c:pt idx="80">
                  <c:v>43948.79999999999</c:v>
                </c:pt>
                <c:pt idx="81">
                  <c:v>47980.79999999999</c:v>
                </c:pt>
                <c:pt idx="82">
                  <c:v>52012.79999999999</c:v>
                </c:pt>
                <c:pt idx="83">
                  <c:v>56044.79999999999</c:v>
                </c:pt>
                <c:pt idx="84">
                  <c:v>60076.79999999999</c:v>
                </c:pt>
                <c:pt idx="85">
                  <c:v>64108.79999999999</c:v>
                </c:pt>
                <c:pt idx="86">
                  <c:v>68140.79999999999</c:v>
                </c:pt>
                <c:pt idx="87">
                  <c:v>72172.79999999999</c:v>
                </c:pt>
                <c:pt idx="88">
                  <c:v>76204.79999999999</c:v>
                </c:pt>
                <c:pt idx="89">
                  <c:v>80236.79999999999</c:v>
                </c:pt>
                <c:pt idx="90">
                  <c:v>84268.79999999999</c:v>
                </c:pt>
                <c:pt idx="91">
                  <c:v>88300.79999999999</c:v>
                </c:pt>
                <c:pt idx="92">
                  <c:v>92332.79999999997</c:v>
                </c:pt>
                <c:pt idx="93">
                  <c:v>96364.79999999997</c:v>
                </c:pt>
                <c:pt idx="94">
                  <c:v>100396.8</c:v>
                </c:pt>
                <c:pt idx="95">
                  <c:v>104428.8</c:v>
                </c:pt>
                <c:pt idx="96">
                  <c:v>109546.55</c:v>
                </c:pt>
                <c:pt idx="97">
                  <c:v>115750.05</c:v>
                </c:pt>
                <c:pt idx="98">
                  <c:v>121953.55</c:v>
                </c:pt>
                <c:pt idx="99">
                  <c:v>128157.05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0.900877478063048</c:v>
                </c:pt>
                <c:pt idx="14">
                  <c:v>2.702632434189145</c:v>
                </c:pt>
                <c:pt idx="15">
                  <c:v>4.504387390315242</c:v>
                </c:pt>
                <c:pt idx="16">
                  <c:v>6.30614234644134</c:v>
                </c:pt>
                <c:pt idx="17">
                  <c:v>8.107897302567435</c:v>
                </c:pt>
                <c:pt idx="18">
                  <c:v>9.90965225869353</c:v>
                </c:pt>
                <c:pt idx="19">
                  <c:v>11.71140721481963</c:v>
                </c:pt>
                <c:pt idx="20">
                  <c:v>13.51316217094573</c:v>
                </c:pt>
                <c:pt idx="21">
                  <c:v>15.31491712707182</c:v>
                </c:pt>
                <c:pt idx="22">
                  <c:v>17.11667208319792</c:v>
                </c:pt>
                <c:pt idx="23">
                  <c:v>18.91842703932402</c:v>
                </c:pt>
                <c:pt idx="24">
                  <c:v>20.72018199545011</c:v>
                </c:pt>
                <c:pt idx="25">
                  <c:v>22.52193695157621</c:v>
                </c:pt>
                <c:pt idx="26">
                  <c:v>24.32369190770231</c:v>
                </c:pt>
                <c:pt idx="27">
                  <c:v>26.1254468638284</c:v>
                </c:pt>
                <c:pt idx="28">
                  <c:v>27.9272018199545</c:v>
                </c:pt>
                <c:pt idx="29">
                  <c:v>29.7289567760806</c:v>
                </c:pt>
                <c:pt idx="30">
                  <c:v>31.53071173220669</c:v>
                </c:pt>
                <c:pt idx="31">
                  <c:v>33.33246668833279</c:v>
                </c:pt>
                <c:pt idx="32">
                  <c:v>35.13422164445889</c:v>
                </c:pt>
                <c:pt idx="33">
                  <c:v>36.93597660058498</c:v>
                </c:pt>
                <c:pt idx="34">
                  <c:v>38.73773155671108</c:v>
                </c:pt>
                <c:pt idx="35">
                  <c:v>40.53948651283718</c:v>
                </c:pt>
                <c:pt idx="36">
                  <c:v>42.34124146896328</c:v>
                </c:pt>
                <c:pt idx="37">
                  <c:v>44.14299642508937</c:v>
                </c:pt>
                <c:pt idx="38">
                  <c:v>45.94475138121547</c:v>
                </c:pt>
                <c:pt idx="39">
                  <c:v>47.74650633734156</c:v>
                </c:pt>
                <c:pt idx="40">
                  <c:v>49.54826129346766</c:v>
                </c:pt>
                <c:pt idx="41">
                  <c:v>51.35001624959376</c:v>
                </c:pt>
                <c:pt idx="42">
                  <c:v>53.15177120571985</c:v>
                </c:pt>
                <c:pt idx="43">
                  <c:v>54.95352616184595</c:v>
                </c:pt>
                <c:pt idx="44">
                  <c:v>56.75528111797205</c:v>
                </c:pt>
                <c:pt idx="45">
                  <c:v>58.55703607409815</c:v>
                </c:pt>
                <c:pt idx="46">
                  <c:v>60.35879103022425</c:v>
                </c:pt>
                <c:pt idx="47">
                  <c:v>61.44530386740331</c:v>
                </c:pt>
                <c:pt idx="48">
                  <c:v>61.81657458563536</c:v>
                </c:pt>
                <c:pt idx="49">
                  <c:v>62.1878453038674</c:v>
                </c:pt>
                <c:pt idx="50">
                  <c:v>62.55911602209944</c:v>
                </c:pt>
                <c:pt idx="51">
                  <c:v>62.93038674033149</c:v>
                </c:pt>
                <c:pt idx="52">
                  <c:v>63.30165745856353</c:v>
                </c:pt>
                <c:pt idx="53">
                  <c:v>63.67292817679558</c:v>
                </c:pt>
                <c:pt idx="54">
                  <c:v>64.04419889502761</c:v>
                </c:pt>
                <c:pt idx="55">
                  <c:v>64.41546961325965</c:v>
                </c:pt>
                <c:pt idx="56">
                  <c:v>64.78674033149171</c:v>
                </c:pt>
                <c:pt idx="57">
                  <c:v>65.15801104972375</c:v>
                </c:pt>
                <c:pt idx="58">
                  <c:v>65.52928176795579</c:v>
                </c:pt>
                <c:pt idx="59">
                  <c:v>65.90055248618783</c:v>
                </c:pt>
                <c:pt idx="60">
                  <c:v>66.27182320441988</c:v>
                </c:pt>
                <c:pt idx="61">
                  <c:v>66.64309392265193</c:v>
                </c:pt>
                <c:pt idx="62">
                  <c:v>67.01436464088396</c:v>
                </c:pt>
                <c:pt idx="63">
                  <c:v>67.38563535911601</c:v>
                </c:pt>
                <c:pt idx="64">
                  <c:v>67.75690607734806</c:v>
                </c:pt>
                <c:pt idx="65">
                  <c:v>68.1281767955801</c:v>
                </c:pt>
                <c:pt idx="66">
                  <c:v>68.49944751381214</c:v>
                </c:pt>
                <c:pt idx="67">
                  <c:v>68.8707182320442</c:v>
                </c:pt>
                <c:pt idx="68">
                  <c:v>69.24198895027623</c:v>
                </c:pt>
                <c:pt idx="69">
                  <c:v>69.61325966850827</c:v>
                </c:pt>
                <c:pt idx="70">
                  <c:v>69.98453038674031</c:v>
                </c:pt>
                <c:pt idx="71">
                  <c:v>70.35580110497237</c:v>
                </c:pt>
                <c:pt idx="72">
                  <c:v>70.72707182320441</c:v>
                </c:pt>
                <c:pt idx="73">
                  <c:v>71.09834254143645</c:v>
                </c:pt>
                <c:pt idx="74">
                  <c:v>71.4696132596685</c:v>
                </c:pt>
                <c:pt idx="75">
                  <c:v>71.84088397790054</c:v>
                </c:pt>
                <c:pt idx="76">
                  <c:v>72.21215469613258</c:v>
                </c:pt>
                <c:pt idx="77">
                  <c:v>72.58342541436463</c:v>
                </c:pt>
                <c:pt idx="78">
                  <c:v>72.95469613259668</c:v>
                </c:pt>
                <c:pt idx="79">
                  <c:v>73.32596685082872</c:v>
                </c:pt>
                <c:pt idx="80">
                  <c:v>71.21436464088397</c:v>
                </c:pt>
                <c:pt idx="81">
                  <c:v>66.61988950276242</c:v>
                </c:pt>
                <c:pt idx="82">
                  <c:v>62.02541436464087</c:v>
                </c:pt>
                <c:pt idx="83">
                  <c:v>57.43093922651932</c:v>
                </c:pt>
                <c:pt idx="84">
                  <c:v>52.83646408839778</c:v>
                </c:pt>
                <c:pt idx="85">
                  <c:v>48.24198895027624</c:v>
                </c:pt>
                <c:pt idx="86">
                  <c:v>43.64751381215468</c:v>
                </c:pt>
                <c:pt idx="87">
                  <c:v>39.05303867403315</c:v>
                </c:pt>
                <c:pt idx="88">
                  <c:v>34.45856353591159</c:v>
                </c:pt>
                <c:pt idx="89">
                  <c:v>29.86408839779005</c:v>
                </c:pt>
                <c:pt idx="90">
                  <c:v>25.2696132596685</c:v>
                </c:pt>
                <c:pt idx="91">
                  <c:v>20.67513812154696</c:v>
                </c:pt>
                <c:pt idx="92">
                  <c:v>16.08066298342541</c:v>
                </c:pt>
                <c:pt idx="93">
                  <c:v>11.48618784530387</c:v>
                </c:pt>
                <c:pt idx="94">
                  <c:v>6.891712707182321</c:v>
                </c:pt>
                <c:pt idx="95">
                  <c:v>2.29723756906077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18197.81764705882</c:v>
                </c:pt>
                <c:pt idx="1">
                  <c:v>18197.81764705882</c:v>
                </c:pt>
                <c:pt idx="2">
                  <c:v>18197.81764705882</c:v>
                </c:pt>
                <c:pt idx="3">
                  <c:v>18197.81764705882</c:v>
                </c:pt>
                <c:pt idx="4">
                  <c:v>18197.81764705882</c:v>
                </c:pt>
                <c:pt idx="5">
                  <c:v>18197.81764705882</c:v>
                </c:pt>
                <c:pt idx="6">
                  <c:v>18197.81764705882</c:v>
                </c:pt>
                <c:pt idx="7">
                  <c:v>18197.81764705882</c:v>
                </c:pt>
                <c:pt idx="8">
                  <c:v>18197.81764705882</c:v>
                </c:pt>
                <c:pt idx="9">
                  <c:v>18197.81764705882</c:v>
                </c:pt>
                <c:pt idx="10">
                  <c:v>18197.81764705882</c:v>
                </c:pt>
                <c:pt idx="11">
                  <c:v>18197.81764705882</c:v>
                </c:pt>
                <c:pt idx="12">
                  <c:v>18197.81764705882</c:v>
                </c:pt>
                <c:pt idx="13">
                  <c:v>18197.81764705882</c:v>
                </c:pt>
                <c:pt idx="14">
                  <c:v>18197.81764705882</c:v>
                </c:pt>
                <c:pt idx="15">
                  <c:v>18197.81764705882</c:v>
                </c:pt>
                <c:pt idx="16">
                  <c:v>18197.81764705882</c:v>
                </c:pt>
                <c:pt idx="17">
                  <c:v>18197.81764705882</c:v>
                </c:pt>
                <c:pt idx="18">
                  <c:v>18197.81764705882</c:v>
                </c:pt>
                <c:pt idx="19">
                  <c:v>18197.81764705882</c:v>
                </c:pt>
                <c:pt idx="20">
                  <c:v>18197.81764705882</c:v>
                </c:pt>
                <c:pt idx="21">
                  <c:v>18197.81764705882</c:v>
                </c:pt>
                <c:pt idx="22">
                  <c:v>18197.81764705882</c:v>
                </c:pt>
                <c:pt idx="23">
                  <c:v>18197.81764705882</c:v>
                </c:pt>
                <c:pt idx="24">
                  <c:v>18197.81764705882</c:v>
                </c:pt>
                <c:pt idx="25">
                  <c:v>18197.81764705882</c:v>
                </c:pt>
                <c:pt idx="26">
                  <c:v>18197.81764705882</c:v>
                </c:pt>
                <c:pt idx="27">
                  <c:v>18197.81764705882</c:v>
                </c:pt>
                <c:pt idx="28">
                  <c:v>18197.81764705882</c:v>
                </c:pt>
                <c:pt idx="29">
                  <c:v>18197.81764705882</c:v>
                </c:pt>
                <c:pt idx="30">
                  <c:v>18197.81764705882</c:v>
                </c:pt>
                <c:pt idx="31">
                  <c:v>18197.81764705882</c:v>
                </c:pt>
                <c:pt idx="32">
                  <c:v>18197.81764705882</c:v>
                </c:pt>
                <c:pt idx="33">
                  <c:v>18197.81764705882</c:v>
                </c:pt>
                <c:pt idx="34">
                  <c:v>18197.81764705882</c:v>
                </c:pt>
                <c:pt idx="35">
                  <c:v>18197.81764705882</c:v>
                </c:pt>
                <c:pt idx="36">
                  <c:v>18197.81764705882</c:v>
                </c:pt>
                <c:pt idx="37">
                  <c:v>18197.81764705882</c:v>
                </c:pt>
                <c:pt idx="38">
                  <c:v>18197.81764705882</c:v>
                </c:pt>
                <c:pt idx="39">
                  <c:v>18197.81764705882</c:v>
                </c:pt>
                <c:pt idx="40">
                  <c:v>18197.81764705882</c:v>
                </c:pt>
                <c:pt idx="41">
                  <c:v>18197.81764705882</c:v>
                </c:pt>
                <c:pt idx="42">
                  <c:v>18197.81764705882</c:v>
                </c:pt>
                <c:pt idx="43">
                  <c:v>18197.81764705882</c:v>
                </c:pt>
                <c:pt idx="44">
                  <c:v>18197.81764705882</c:v>
                </c:pt>
                <c:pt idx="45">
                  <c:v>18197.81764705882</c:v>
                </c:pt>
                <c:pt idx="46">
                  <c:v>18197.81764705882</c:v>
                </c:pt>
                <c:pt idx="47">
                  <c:v>18056.25131907308</c:v>
                </c:pt>
                <c:pt idx="48">
                  <c:v>17773.1186631016</c:v>
                </c:pt>
                <c:pt idx="49">
                  <c:v>17489.98600713012</c:v>
                </c:pt>
                <c:pt idx="50">
                  <c:v>17206.85335115864</c:v>
                </c:pt>
                <c:pt idx="51">
                  <c:v>16923.72069518716</c:v>
                </c:pt>
                <c:pt idx="52">
                  <c:v>16640.58803921569</c:v>
                </c:pt>
                <c:pt idx="53">
                  <c:v>16357.45538324421</c:v>
                </c:pt>
                <c:pt idx="54">
                  <c:v>16074.32272727273</c:v>
                </c:pt>
                <c:pt idx="55">
                  <c:v>15791.19007130125</c:v>
                </c:pt>
                <c:pt idx="56">
                  <c:v>15508.05741532977</c:v>
                </c:pt>
                <c:pt idx="57">
                  <c:v>15224.92475935829</c:v>
                </c:pt>
                <c:pt idx="58">
                  <c:v>14941.79210338681</c:v>
                </c:pt>
                <c:pt idx="59">
                  <c:v>14658.65944741533</c:v>
                </c:pt>
                <c:pt idx="60">
                  <c:v>14375.52679144385</c:v>
                </c:pt>
                <c:pt idx="61">
                  <c:v>14092.39413547237</c:v>
                </c:pt>
                <c:pt idx="62">
                  <c:v>13809.26147950089</c:v>
                </c:pt>
                <c:pt idx="63">
                  <c:v>13526.12882352941</c:v>
                </c:pt>
                <c:pt idx="64">
                  <c:v>13242.99616755793</c:v>
                </c:pt>
                <c:pt idx="65">
                  <c:v>12959.86351158645</c:v>
                </c:pt>
                <c:pt idx="66">
                  <c:v>12676.73085561497</c:v>
                </c:pt>
                <c:pt idx="67">
                  <c:v>12393.59819964349</c:v>
                </c:pt>
                <c:pt idx="68">
                  <c:v>12110.46554367201</c:v>
                </c:pt>
                <c:pt idx="69">
                  <c:v>11827.33288770054</c:v>
                </c:pt>
                <c:pt idx="70">
                  <c:v>11544.20023172906</c:v>
                </c:pt>
                <c:pt idx="71">
                  <c:v>11261.06757575758</c:v>
                </c:pt>
                <c:pt idx="72">
                  <c:v>10977.9349197861</c:v>
                </c:pt>
                <c:pt idx="73">
                  <c:v>10694.80226381462</c:v>
                </c:pt>
                <c:pt idx="74">
                  <c:v>10411.66960784314</c:v>
                </c:pt>
                <c:pt idx="75">
                  <c:v>10128.53695187166</c:v>
                </c:pt>
                <c:pt idx="76">
                  <c:v>9845.404295900178</c:v>
                </c:pt>
                <c:pt idx="77">
                  <c:v>9562.2716399287</c:v>
                </c:pt>
                <c:pt idx="78">
                  <c:v>9279.13898395722</c:v>
                </c:pt>
                <c:pt idx="79">
                  <c:v>8996.00632798574</c:v>
                </c:pt>
                <c:pt idx="80">
                  <c:v>8854.44</c:v>
                </c:pt>
                <c:pt idx="81">
                  <c:v>8854.44</c:v>
                </c:pt>
                <c:pt idx="82">
                  <c:v>8854.44</c:v>
                </c:pt>
                <c:pt idx="83">
                  <c:v>8854.44</c:v>
                </c:pt>
                <c:pt idx="84">
                  <c:v>8854.44</c:v>
                </c:pt>
                <c:pt idx="85">
                  <c:v>8854.44</c:v>
                </c:pt>
                <c:pt idx="86">
                  <c:v>8854.44</c:v>
                </c:pt>
                <c:pt idx="87">
                  <c:v>8854.44</c:v>
                </c:pt>
                <c:pt idx="88">
                  <c:v>8854.44</c:v>
                </c:pt>
                <c:pt idx="89">
                  <c:v>8854.44</c:v>
                </c:pt>
                <c:pt idx="90">
                  <c:v>8854.44</c:v>
                </c:pt>
                <c:pt idx="91">
                  <c:v>8854.44</c:v>
                </c:pt>
                <c:pt idx="92">
                  <c:v>8854.44</c:v>
                </c:pt>
                <c:pt idx="93">
                  <c:v>8854.44</c:v>
                </c:pt>
                <c:pt idx="94">
                  <c:v>8854.44</c:v>
                </c:pt>
                <c:pt idx="95">
                  <c:v>8854.44</c:v>
                </c:pt>
                <c:pt idx="96">
                  <c:v>8290.525000000001</c:v>
                </c:pt>
                <c:pt idx="97">
                  <c:v>7162.695</c:v>
                </c:pt>
                <c:pt idx="98">
                  <c:v>6034.865</c:v>
                </c:pt>
                <c:pt idx="99">
                  <c:v>4907.035000000001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24.70588235294117</c:v>
                </c:pt>
                <c:pt idx="14">
                  <c:v>74.11764705882352</c:v>
                </c:pt>
                <c:pt idx="15">
                  <c:v>123.5294117647059</c:v>
                </c:pt>
                <c:pt idx="16">
                  <c:v>172.9411764705882</c:v>
                </c:pt>
                <c:pt idx="17">
                  <c:v>222.3529411764705</c:v>
                </c:pt>
                <c:pt idx="18">
                  <c:v>271.764705882353</c:v>
                </c:pt>
                <c:pt idx="19">
                  <c:v>321.1764705882352</c:v>
                </c:pt>
                <c:pt idx="20">
                  <c:v>370.5882352941176</c:v>
                </c:pt>
                <c:pt idx="21">
                  <c:v>419.9999999999999</c:v>
                </c:pt>
                <c:pt idx="22">
                  <c:v>469.4117647058823</c:v>
                </c:pt>
                <c:pt idx="23">
                  <c:v>518.8235294117646</c:v>
                </c:pt>
                <c:pt idx="24">
                  <c:v>568.235294117647</c:v>
                </c:pt>
                <c:pt idx="25">
                  <c:v>617.6470588235294</c:v>
                </c:pt>
                <c:pt idx="26">
                  <c:v>667.0588235294117</c:v>
                </c:pt>
                <c:pt idx="27">
                  <c:v>716.470588235294</c:v>
                </c:pt>
                <c:pt idx="28">
                  <c:v>765.8823529411763</c:v>
                </c:pt>
                <c:pt idx="29">
                  <c:v>815.2941176470587</c:v>
                </c:pt>
                <c:pt idx="30">
                  <c:v>864.705882352941</c:v>
                </c:pt>
                <c:pt idx="31">
                  <c:v>914.1176470588234</c:v>
                </c:pt>
                <c:pt idx="32">
                  <c:v>963.5294117647057</c:v>
                </c:pt>
                <c:pt idx="33">
                  <c:v>1012.941176470588</c:v>
                </c:pt>
                <c:pt idx="34">
                  <c:v>1062.35294117647</c:v>
                </c:pt>
                <c:pt idx="35">
                  <c:v>1111.764705882353</c:v>
                </c:pt>
                <c:pt idx="36">
                  <c:v>1161.176470588235</c:v>
                </c:pt>
                <c:pt idx="37">
                  <c:v>1210.588235294118</c:v>
                </c:pt>
                <c:pt idx="38">
                  <c:v>126</c:v>
                </c:pt>
                <c:pt idx="39">
                  <c:v>1309.411764705882</c:v>
                </c:pt>
                <c:pt idx="40">
                  <c:v>1358.823529411765</c:v>
                </c:pt>
                <c:pt idx="41">
                  <c:v>1408.235294117647</c:v>
                </c:pt>
                <c:pt idx="42">
                  <c:v>1457.647058823529</c:v>
                </c:pt>
                <c:pt idx="43">
                  <c:v>1507.058823529412</c:v>
                </c:pt>
                <c:pt idx="44">
                  <c:v>1556.470588235294</c:v>
                </c:pt>
                <c:pt idx="45">
                  <c:v>1605.882352941176</c:v>
                </c:pt>
                <c:pt idx="46">
                  <c:v>1655.294117647059</c:v>
                </c:pt>
                <c:pt idx="47">
                  <c:v>1654.545454545454</c:v>
                </c:pt>
                <c:pt idx="48">
                  <c:v>1603.636363636364</c:v>
                </c:pt>
                <c:pt idx="49">
                  <c:v>1552.727272727273</c:v>
                </c:pt>
                <c:pt idx="50">
                  <c:v>1501.818181818182</c:v>
                </c:pt>
                <c:pt idx="51">
                  <c:v>1450.909090909091</c:v>
                </c:pt>
                <c:pt idx="52">
                  <c:v>14</c:v>
                </c:pt>
                <c:pt idx="53">
                  <c:v>1349.09090909091</c:v>
                </c:pt>
                <c:pt idx="54">
                  <c:v>1298.181818181818</c:v>
                </c:pt>
                <c:pt idx="55">
                  <c:v>1247.272727272727</c:v>
                </c:pt>
                <c:pt idx="56">
                  <c:v>1196.363636363636</c:v>
                </c:pt>
                <c:pt idx="57">
                  <c:v>1145.454545454545</c:v>
                </c:pt>
                <c:pt idx="58">
                  <c:v>1094.545454545455</c:v>
                </c:pt>
                <c:pt idx="59">
                  <c:v>1043.636363636364</c:v>
                </c:pt>
                <c:pt idx="60">
                  <c:v>992.7272727272726</c:v>
                </c:pt>
                <c:pt idx="61">
                  <c:v>941.8181818181817</c:v>
                </c:pt>
                <c:pt idx="62">
                  <c:v>890.9090909090908</c:v>
                </c:pt>
                <c:pt idx="63">
                  <c:v>839.9999999999999</c:v>
                </c:pt>
                <c:pt idx="64">
                  <c:v>789.090909090909</c:v>
                </c:pt>
                <c:pt idx="65">
                  <c:v>738.1818181818181</c:v>
                </c:pt>
                <c:pt idx="66">
                  <c:v>687.2727272727272</c:v>
                </c:pt>
                <c:pt idx="67">
                  <c:v>636.3636363636362</c:v>
                </c:pt>
                <c:pt idx="68">
                  <c:v>585.4545454545455</c:v>
                </c:pt>
                <c:pt idx="69">
                  <c:v>534.5454545454545</c:v>
                </c:pt>
                <c:pt idx="70">
                  <c:v>483.6363636363637</c:v>
                </c:pt>
                <c:pt idx="71">
                  <c:v>432.7272727272727</c:v>
                </c:pt>
                <c:pt idx="72">
                  <c:v>381.8181818181818</c:v>
                </c:pt>
                <c:pt idx="73">
                  <c:v>330.909090909091</c:v>
                </c:pt>
                <c:pt idx="74">
                  <c:v>280.0</c:v>
                </c:pt>
                <c:pt idx="75">
                  <c:v>229.0909090909092</c:v>
                </c:pt>
                <c:pt idx="76">
                  <c:v>178.1818181818182</c:v>
                </c:pt>
                <c:pt idx="77">
                  <c:v>127.2727272727273</c:v>
                </c:pt>
                <c:pt idx="78">
                  <c:v>76.36363636363649</c:v>
                </c:pt>
                <c:pt idx="79">
                  <c:v>25.4545454545455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151288"/>
        <c:axId val="-20941453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21925.55336467335</c:v>
                </c:pt>
                <c:pt idx="1">
                  <c:v>21925.55336467335</c:v>
                </c:pt>
                <c:pt idx="2">
                  <c:v>21925.55336467335</c:v>
                </c:pt>
                <c:pt idx="3">
                  <c:v>21925.55336467335</c:v>
                </c:pt>
                <c:pt idx="4">
                  <c:v>21925.55336467335</c:v>
                </c:pt>
                <c:pt idx="5">
                  <c:v>21925.55336467335</c:v>
                </c:pt>
                <c:pt idx="6">
                  <c:v>21925.55336467335</c:v>
                </c:pt>
                <c:pt idx="7">
                  <c:v>21925.55336467335</c:v>
                </c:pt>
                <c:pt idx="8">
                  <c:v>21925.55336467335</c:v>
                </c:pt>
                <c:pt idx="9">
                  <c:v>21925.55336467335</c:v>
                </c:pt>
                <c:pt idx="10">
                  <c:v>21925.55336467335</c:v>
                </c:pt>
                <c:pt idx="11">
                  <c:v>21925.55336467335</c:v>
                </c:pt>
                <c:pt idx="12">
                  <c:v>21925.55336467335</c:v>
                </c:pt>
                <c:pt idx="13">
                  <c:v>21925.55336467335</c:v>
                </c:pt>
                <c:pt idx="14">
                  <c:v>21925.55336467335</c:v>
                </c:pt>
                <c:pt idx="15">
                  <c:v>21925.55336467335</c:v>
                </c:pt>
                <c:pt idx="16">
                  <c:v>21925.55336467335</c:v>
                </c:pt>
                <c:pt idx="17">
                  <c:v>21925.55336467335</c:v>
                </c:pt>
                <c:pt idx="18">
                  <c:v>21925.55336467335</c:v>
                </c:pt>
                <c:pt idx="19">
                  <c:v>21925.55336467335</c:v>
                </c:pt>
                <c:pt idx="20">
                  <c:v>21925.55336467335</c:v>
                </c:pt>
                <c:pt idx="21">
                  <c:v>21925.55336467335</c:v>
                </c:pt>
                <c:pt idx="22">
                  <c:v>21925.55336467335</c:v>
                </c:pt>
                <c:pt idx="23">
                  <c:v>21925.55336467335</c:v>
                </c:pt>
                <c:pt idx="24">
                  <c:v>21925.55336467335</c:v>
                </c:pt>
                <c:pt idx="25">
                  <c:v>21925.55336467335</c:v>
                </c:pt>
                <c:pt idx="26">
                  <c:v>21925.55336467335</c:v>
                </c:pt>
                <c:pt idx="27">
                  <c:v>21925.55336467335</c:v>
                </c:pt>
                <c:pt idx="28">
                  <c:v>21925.55336467335</c:v>
                </c:pt>
                <c:pt idx="29">
                  <c:v>21925.55336467335</c:v>
                </c:pt>
                <c:pt idx="30">
                  <c:v>21925.55336467335</c:v>
                </c:pt>
                <c:pt idx="31">
                  <c:v>21925.55336467335</c:v>
                </c:pt>
                <c:pt idx="32">
                  <c:v>21925.55336467335</c:v>
                </c:pt>
                <c:pt idx="33">
                  <c:v>21925.55336467335</c:v>
                </c:pt>
                <c:pt idx="34">
                  <c:v>21925.55336467335</c:v>
                </c:pt>
                <c:pt idx="35">
                  <c:v>21925.55336467335</c:v>
                </c:pt>
                <c:pt idx="36">
                  <c:v>21925.55336467335</c:v>
                </c:pt>
                <c:pt idx="37">
                  <c:v>21925.55336467335</c:v>
                </c:pt>
                <c:pt idx="38">
                  <c:v>21925.55336467335</c:v>
                </c:pt>
                <c:pt idx="39">
                  <c:v>21925.55336467335</c:v>
                </c:pt>
                <c:pt idx="40">
                  <c:v>21925.55336467335</c:v>
                </c:pt>
                <c:pt idx="41">
                  <c:v>21925.55336467335</c:v>
                </c:pt>
                <c:pt idx="42">
                  <c:v>21925.55336467335</c:v>
                </c:pt>
                <c:pt idx="43">
                  <c:v>21925.55336467335</c:v>
                </c:pt>
                <c:pt idx="44">
                  <c:v>21925.55336467335</c:v>
                </c:pt>
                <c:pt idx="45">
                  <c:v>21925.55336467335</c:v>
                </c:pt>
                <c:pt idx="46">
                  <c:v>21925.55336467335</c:v>
                </c:pt>
                <c:pt idx="47">
                  <c:v>21925.55336467335</c:v>
                </c:pt>
                <c:pt idx="48">
                  <c:v>21925.55336467335</c:v>
                </c:pt>
                <c:pt idx="49">
                  <c:v>21925.55336467335</c:v>
                </c:pt>
                <c:pt idx="50">
                  <c:v>21925.55336467335</c:v>
                </c:pt>
                <c:pt idx="51">
                  <c:v>21925.55336467335</c:v>
                </c:pt>
                <c:pt idx="52">
                  <c:v>21925.55336467335</c:v>
                </c:pt>
                <c:pt idx="53">
                  <c:v>21925.55336467335</c:v>
                </c:pt>
                <c:pt idx="54">
                  <c:v>21925.55336467335</c:v>
                </c:pt>
                <c:pt idx="55">
                  <c:v>21925.55336467335</c:v>
                </c:pt>
                <c:pt idx="56">
                  <c:v>21925.55336467335</c:v>
                </c:pt>
                <c:pt idx="57">
                  <c:v>21925.55336467335</c:v>
                </c:pt>
                <c:pt idx="58">
                  <c:v>21925.55336467335</c:v>
                </c:pt>
                <c:pt idx="59">
                  <c:v>21925.55336467335</c:v>
                </c:pt>
                <c:pt idx="60">
                  <c:v>21925.55336467335</c:v>
                </c:pt>
                <c:pt idx="61">
                  <c:v>21925.55336467335</c:v>
                </c:pt>
                <c:pt idx="62">
                  <c:v>21925.55336467335</c:v>
                </c:pt>
                <c:pt idx="63">
                  <c:v>21925.55336467335</c:v>
                </c:pt>
                <c:pt idx="64">
                  <c:v>21925.55336467335</c:v>
                </c:pt>
                <c:pt idx="65">
                  <c:v>21925.55336467335</c:v>
                </c:pt>
                <c:pt idx="66">
                  <c:v>21925.55336467335</c:v>
                </c:pt>
                <c:pt idx="67">
                  <c:v>21925.55336467335</c:v>
                </c:pt>
                <c:pt idx="68">
                  <c:v>21925.55336467335</c:v>
                </c:pt>
                <c:pt idx="69">
                  <c:v>21925.55336467335</c:v>
                </c:pt>
                <c:pt idx="70">
                  <c:v>21925.55336467335</c:v>
                </c:pt>
                <c:pt idx="71">
                  <c:v>21925.55336467335</c:v>
                </c:pt>
                <c:pt idx="72">
                  <c:v>21925.55336467335</c:v>
                </c:pt>
                <c:pt idx="73">
                  <c:v>21925.55336467335</c:v>
                </c:pt>
                <c:pt idx="74">
                  <c:v>21925.55336467335</c:v>
                </c:pt>
                <c:pt idx="75">
                  <c:v>21925.55336467335</c:v>
                </c:pt>
                <c:pt idx="76">
                  <c:v>21925.55336467335</c:v>
                </c:pt>
                <c:pt idx="77">
                  <c:v>21925.55336467335</c:v>
                </c:pt>
                <c:pt idx="78">
                  <c:v>21925.55336467335</c:v>
                </c:pt>
                <c:pt idx="79">
                  <c:v>21925.55336467335</c:v>
                </c:pt>
                <c:pt idx="80">
                  <c:v>21925.55336467335</c:v>
                </c:pt>
                <c:pt idx="81">
                  <c:v>21925.55336467335</c:v>
                </c:pt>
                <c:pt idx="82">
                  <c:v>21925.55336467335</c:v>
                </c:pt>
                <c:pt idx="83">
                  <c:v>21925.55336467335</c:v>
                </c:pt>
                <c:pt idx="84">
                  <c:v>21925.55336467335</c:v>
                </c:pt>
                <c:pt idx="85">
                  <c:v>21925.55336467335</c:v>
                </c:pt>
                <c:pt idx="86">
                  <c:v>21925.55336467335</c:v>
                </c:pt>
                <c:pt idx="87">
                  <c:v>21925.55336467335</c:v>
                </c:pt>
                <c:pt idx="88">
                  <c:v>21925.55336467335</c:v>
                </c:pt>
                <c:pt idx="89">
                  <c:v>21925.55336467335</c:v>
                </c:pt>
                <c:pt idx="90">
                  <c:v>21925.55336467335</c:v>
                </c:pt>
                <c:pt idx="91">
                  <c:v>21925.55336467335</c:v>
                </c:pt>
                <c:pt idx="92">
                  <c:v>21925.55336467335</c:v>
                </c:pt>
                <c:pt idx="93">
                  <c:v>21925.55336467335</c:v>
                </c:pt>
                <c:pt idx="94">
                  <c:v>21925.55336467335</c:v>
                </c:pt>
                <c:pt idx="95">
                  <c:v>21925.55336467335</c:v>
                </c:pt>
                <c:pt idx="96">
                  <c:v>21925.55336467335</c:v>
                </c:pt>
                <c:pt idx="97">
                  <c:v>21925.55336467335</c:v>
                </c:pt>
                <c:pt idx="98">
                  <c:v>21925.55336467335</c:v>
                </c:pt>
                <c:pt idx="99">
                  <c:v>21925.55336467335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30454.98707102586</c:v>
                </c:pt>
                <c:pt idx="1">
                  <c:v>30454.98707102586</c:v>
                </c:pt>
                <c:pt idx="2">
                  <c:v>30454.98707102586</c:v>
                </c:pt>
                <c:pt idx="3">
                  <c:v>30454.98707102586</c:v>
                </c:pt>
                <c:pt idx="4">
                  <c:v>30454.98707102586</c:v>
                </c:pt>
                <c:pt idx="5">
                  <c:v>30454.98707102586</c:v>
                </c:pt>
                <c:pt idx="6">
                  <c:v>30454.98707102586</c:v>
                </c:pt>
                <c:pt idx="7">
                  <c:v>30454.98707102586</c:v>
                </c:pt>
                <c:pt idx="8">
                  <c:v>30454.98707102586</c:v>
                </c:pt>
                <c:pt idx="9">
                  <c:v>30454.98707102586</c:v>
                </c:pt>
                <c:pt idx="10">
                  <c:v>30454.98707102586</c:v>
                </c:pt>
                <c:pt idx="11">
                  <c:v>30454.98707102586</c:v>
                </c:pt>
                <c:pt idx="12">
                  <c:v>30454.98707102586</c:v>
                </c:pt>
                <c:pt idx="13">
                  <c:v>30960.91897935784</c:v>
                </c:pt>
                <c:pt idx="14">
                  <c:v>31972.78279602181</c:v>
                </c:pt>
                <c:pt idx="15">
                  <c:v>32984.64661268578</c:v>
                </c:pt>
                <c:pt idx="16">
                  <c:v>33996.51042934975</c:v>
                </c:pt>
                <c:pt idx="17">
                  <c:v>35008.37424601372</c:v>
                </c:pt>
                <c:pt idx="18">
                  <c:v>36020.23806267769</c:v>
                </c:pt>
                <c:pt idx="19">
                  <c:v>37032.10187934167</c:v>
                </c:pt>
                <c:pt idx="20">
                  <c:v>38043.96569600564</c:v>
                </c:pt>
                <c:pt idx="21">
                  <c:v>39055.8295126696</c:v>
                </c:pt>
                <c:pt idx="22">
                  <c:v>40067.69332933357</c:v>
                </c:pt>
                <c:pt idx="23">
                  <c:v>41079.55714599754</c:v>
                </c:pt>
                <c:pt idx="24">
                  <c:v>42091.42096266152</c:v>
                </c:pt>
                <c:pt idx="25">
                  <c:v>43103.28477932548</c:v>
                </c:pt>
                <c:pt idx="26">
                  <c:v>44115.14859598945</c:v>
                </c:pt>
                <c:pt idx="27">
                  <c:v>45127.01241265343</c:v>
                </c:pt>
                <c:pt idx="28">
                  <c:v>46138.8762293174</c:v>
                </c:pt>
                <c:pt idx="29">
                  <c:v>47150.74004598136</c:v>
                </c:pt>
                <c:pt idx="30">
                  <c:v>48162.60386264534</c:v>
                </c:pt>
                <c:pt idx="31">
                  <c:v>49174.46767930931</c:v>
                </c:pt>
                <c:pt idx="32">
                  <c:v>50186.33149597327</c:v>
                </c:pt>
                <c:pt idx="33">
                  <c:v>51198.19531263724</c:v>
                </c:pt>
                <c:pt idx="34">
                  <c:v>52210.05912930121</c:v>
                </c:pt>
                <c:pt idx="35">
                  <c:v>53221.92294596518</c:v>
                </c:pt>
                <c:pt idx="36">
                  <c:v>54233.78676262916</c:v>
                </c:pt>
                <c:pt idx="37">
                  <c:v>55245.65057929312</c:v>
                </c:pt>
                <c:pt idx="38">
                  <c:v>56257.5143959571</c:v>
                </c:pt>
                <c:pt idx="39">
                  <c:v>57269.37821262105</c:v>
                </c:pt>
                <c:pt idx="40">
                  <c:v>58281.24202928503</c:v>
                </c:pt>
                <c:pt idx="41">
                  <c:v>59293.105845949</c:v>
                </c:pt>
                <c:pt idx="42">
                  <c:v>60304.96966261297</c:v>
                </c:pt>
                <c:pt idx="43">
                  <c:v>61316.83347927694</c:v>
                </c:pt>
                <c:pt idx="44">
                  <c:v>62328.69729594092</c:v>
                </c:pt>
                <c:pt idx="45">
                  <c:v>63340.56111260488</c:v>
                </c:pt>
                <c:pt idx="46">
                  <c:v>64352.42492926885</c:v>
                </c:pt>
                <c:pt idx="47">
                  <c:v>67496.69502085154</c:v>
                </c:pt>
                <c:pt idx="48">
                  <c:v>72773.371387353</c:v>
                </c:pt>
                <c:pt idx="49">
                  <c:v>78050.04775385442</c:v>
                </c:pt>
                <c:pt idx="50">
                  <c:v>83326.72412035585</c:v>
                </c:pt>
                <c:pt idx="51">
                  <c:v>88603.4004868573</c:v>
                </c:pt>
                <c:pt idx="52">
                  <c:v>93880.07685335873</c:v>
                </c:pt>
                <c:pt idx="53">
                  <c:v>99156.75321986015</c:v>
                </c:pt>
                <c:pt idx="54">
                  <c:v>104433.4295863616</c:v>
                </c:pt>
                <c:pt idx="55">
                  <c:v>109710.105952863</c:v>
                </c:pt>
                <c:pt idx="56">
                  <c:v>114986.7823193644</c:v>
                </c:pt>
                <c:pt idx="57">
                  <c:v>120263.4586858659</c:v>
                </c:pt>
                <c:pt idx="58">
                  <c:v>125540.1350523673</c:v>
                </c:pt>
                <c:pt idx="59">
                  <c:v>130816.8114188688</c:v>
                </c:pt>
                <c:pt idx="60">
                  <c:v>136093.4877853702</c:v>
                </c:pt>
                <c:pt idx="61">
                  <c:v>141370.1641518716</c:v>
                </c:pt>
                <c:pt idx="62">
                  <c:v>146646.8405183731</c:v>
                </c:pt>
                <c:pt idx="63">
                  <c:v>151923.5168848745</c:v>
                </c:pt>
                <c:pt idx="64">
                  <c:v>157200.193251376</c:v>
                </c:pt>
                <c:pt idx="65">
                  <c:v>162476.8696178774</c:v>
                </c:pt>
                <c:pt idx="66">
                  <c:v>167753.5459843788</c:v>
                </c:pt>
                <c:pt idx="67">
                  <c:v>173030.2223508802</c:v>
                </c:pt>
                <c:pt idx="68">
                  <c:v>178306.8987173817</c:v>
                </c:pt>
                <c:pt idx="69">
                  <c:v>183583.5750838831</c:v>
                </c:pt>
                <c:pt idx="70">
                  <c:v>188860.2514503845</c:v>
                </c:pt>
                <c:pt idx="71">
                  <c:v>194136.927816886</c:v>
                </c:pt>
                <c:pt idx="72">
                  <c:v>199413.6041833874</c:v>
                </c:pt>
                <c:pt idx="73">
                  <c:v>204690.2805498888</c:v>
                </c:pt>
                <c:pt idx="74">
                  <c:v>209966.9569163902</c:v>
                </c:pt>
                <c:pt idx="75">
                  <c:v>215243.6332828917</c:v>
                </c:pt>
                <c:pt idx="76">
                  <c:v>220520.3096493931</c:v>
                </c:pt>
                <c:pt idx="77">
                  <c:v>225796.9860158946</c:v>
                </c:pt>
                <c:pt idx="78">
                  <c:v>231073.662382396</c:v>
                </c:pt>
                <c:pt idx="79">
                  <c:v>236350.3387488974</c:v>
                </c:pt>
                <c:pt idx="80">
                  <c:v>243078.984075812</c:v>
                </c:pt>
                <c:pt idx="81">
                  <c:v>251259.5983631396</c:v>
                </c:pt>
                <c:pt idx="82">
                  <c:v>259440.2126504673</c:v>
                </c:pt>
                <c:pt idx="83">
                  <c:v>267620.826937795</c:v>
                </c:pt>
                <c:pt idx="84">
                  <c:v>275801.4412251227</c:v>
                </c:pt>
                <c:pt idx="85">
                  <c:v>283982.0555124503</c:v>
                </c:pt>
                <c:pt idx="86">
                  <c:v>292162.669799778</c:v>
                </c:pt>
                <c:pt idx="87">
                  <c:v>300343.2840871055</c:v>
                </c:pt>
                <c:pt idx="88">
                  <c:v>308523.8983744333</c:v>
                </c:pt>
                <c:pt idx="89">
                  <c:v>316704.512661761</c:v>
                </c:pt>
                <c:pt idx="90">
                  <c:v>324885.1269490885</c:v>
                </c:pt>
                <c:pt idx="91">
                  <c:v>333065.7412364163</c:v>
                </c:pt>
                <c:pt idx="92">
                  <c:v>341246.3555237439</c:v>
                </c:pt>
                <c:pt idx="93">
                  <c:v>349426.9698110715</c:v>
                </c:pt>
                <c:pt idx="94">
                  <c:v>357607.5840983992</c:v>
                </c:pt>
                <c:pt idx="95">
                  <c:v>365788.1983857268</c:v>
                </c:pt>
                <c:pt idx="96">
                  <c:v>374768.4060293907</c:v>
                </c:pt>
                <c:pt idx="97">
                  <c:v>384548.2070293907</c:v>
                </c:pt>
                <c:pt idx="98">
                  <c:v>394328.0080293907</c:v>
                </c:pt>
                <c:pt idx="99">
                  <c:v>404107.8090293907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51288"/>
        <c:axId val="-2094145336"/>
      </c:lineChart>
      <c:catAx>
        <c:axId val="-209415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4145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4145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415128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0.0400498132004981</c:v>
                </c:pt>
                <c:pt idx="1">
                  <c:v>0.0400498132004981</c:v>
                </c:pt>
                <c:pt idx="2" formatCode="0.0%">
                  <c:v>0.0400498132004981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0.0311533623910336</c:v>
                </c:pt>
                <c:pt idx="1">
                  <c:v>0.0311533623910336</c:v>
                </c:pt>
                <c:pt idx="2" formatCode="0.0%">
                  <c:v>0.0311533623910336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0.529945643835616</c:v>
                </c:pt>
                <c:pt idx="2" formatCode="0.0%">
                  <c:v>0.5276769309262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0.130695646326276</c:v>
                </c:pt>
                <c:pt idx="1">
                  <c:v>0.130695646326276</c:v>
                </c:pt>
                <c:pt idx="2" formatCode="0.0%">
                  <c:v>0.13082097699439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 formatCode="0.0%">
                  <c:v>0.0206670325530127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0.220031639352428</c:v>
                </c:pt>
                <c:pt idx="1">
                  <c:v>0.220031639352428</c:v>
                </c:pt>
                <c:pt idx="2" formatCode="0.0%">
                  <c:v>0.219883801392098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0.509767666251557</c:v>
                </c:pt>
                <c:pt idx="1">
                  <c:v>0.483217455983348</c:v>
                </c:pt>
                <c:pt idx="2" formatCode="0.0%">
                  <c:v>0.51203908677689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120408"/>
        <c:axId val="-2081131560"/>
      </c:barChart>
      <c:catAx>
        <c:axId val="-208112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131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131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120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0.126177534246575</c:v>
                </c:pt>
                <c:pt idx="2" formatCode="0.0%">
                  <c:v>0.126177534246575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0.0424190535491905</c:v>
                </c:pt>
                <c:pt idx="1">
                  <c:v>0.0424190535491905</c:v>
                </c:pt>
                <c:pt idx="2" formatCode="0.0%">
                  <c:v>0.0424190535491905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5373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-0.000598414142683812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E46C0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604A7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0.0188742216687422</c:v>
                </c:pt>
                <c:pt idx="1">
                  <c:v>0.0188742216687422</c:v>
                </c:pt>
                <c:pt idx="2" formatCode="0.0%">
                  <c:v>0.0188742216687422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0.106717245843958</c:v>
                </c:pt>
                <c:pt idx="1">
                  <c:v>0.106717245843958</c:v>
                </c:pt>
                <c:pt idx="2" formatCode="0.0%">
                  <c:v>0.106717245843958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0.0325210460772105</c:v>
                </c:pt>
                <c:pt idx="1">
                  <c:v>0.0325210460772105</c:v>
                </c:pt>
                <c:pt idx="2" formatCode="0.0%">
                  <c:v>0.0240016983956263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0.754979626400996</c:v>
                </c:pt>
                <c:pt idx="1">
                  <c:v>0.707500599637934</c:v>
                </c:pt>
                <c:pt idx="2" formatCode="0.0%">
                  <c:v>0.764097388225264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236456"/>
        <c:axId val="-2081244376"/>
      </c:barChart>
      <c:catAx>
        <c:axId val="-208123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24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24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236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0.00567372353673724</c:v>
                </c:pt>
                <c:pt idx="1">
                  <c:v>0.00567372353673724</c:v>
                </c:pt>
                <c:pt idx="2">
                  <c:v>0.011013698630137</c:v>
                </c:pt>
                <c:pt idx="3">
                  <c:v>0.011013698630137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0.553023177519659</c:v>
                </c:pt>
                <c:pt idx="1">
                  <c:v>0.324560142252711</c:v>
                </c:pt>
                <c:pt idx="2">
                  <c:v>0.384192022693384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0.0968361865594857</c:v>
                </c:pt>
                <c:pt idx="1">
                  <c:v>0.0568315538345398</c:v>
                </c:pt>
                <c:pt idx="2">
                  <c:v>0.0672732932298849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0.0278534486186592</c:v>
                </c:pt>
                <c:pt idx="1">
                  <c:v>0.0163467276117541</c:v>
                </c:pt>
                <c:pt idx="2">
                  <c:v>0.0193501343140514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0.00948081277236966</c:v>
                </c:pt>
                <c:pt idx="1">
                  <c:v>0.00556413196978934</c:v>
                </c:pt>
                <c:pt idx="2">
                  <c:v>0.00658643757415482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-0.00410094246473261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0.279790127336646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0.0419685191004969</c:v>
                </c:pt>
                <c:pt idx="1">
                  <c:v>0.0419685191004969</c:v>
                </c:pt>
                <c:pt idx="2">
                  <c:v>0.0419685191004969</c:v>
                </c:pt>
                <c:pt idx="3">
                  <c:v>0.0419685191004969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0.0377484433374844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(Poor!$AA$20,Poor!$AC$20,Poor!$AE$20,Poor!$AG$20)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0.0176470331997776</c:v>
                </c:pt>
                <c:pt idx="3">
                  <c:v>0.0176470331997776</c:v>
                </c:pt>
              </c:numCache>
            </c:numRef>
          </c:val>
        </c:ser>
        <c:ser>
          <c:idx val="11"/>
          <c:order val="13"/>
          <c:tx>
            <c:strRef>
              <c:f>Poor!$A$21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(Poor!$AA$21,Poor!$AC$21,Poor!$AE$21,Poor!$AG$21)</c:f>
              <c:numCache>
                <c:formatCode>0.0%</c:formatCode>
                <c:ptCount val="4"/>
                <c:pt idx="0">
                  <c:v>0.081020030845354</c:v>
                </c:pt>
                <c:pt idx="1">
                  <c:v>0.081020030845354</c:v>
                </c:pt>
                <c:pt idx="2">
                  <c:v>0.081020030845354</c:v>
                </c:pt>
                <c:pt idx="3">
                  <c:v>0.081020030845354</c:v>
                </c:pt>
              </c:numCache>
            </c:numRef>
          </c:val>
        </c:ser>
        <c:ser>
          <c:idx val="13"/>
          <c:order val="14"/>
          <c:tx>
            <c:strRef>
              <c:f>Poor!$A$22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(Poor!$AA$22,Poor!$AC$22,Poor!$AE$22,Poor!$AG$22)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0.182703786900788</c:v>
                </c:pt>
                <c:pt idx="3">
                  <c:v>0.622357231374779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387800"/>
        <c:axId val="-2081388360"/>
      </c:barChart>
      <c:catAx>
        <c:axId val="-2081387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388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138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387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0.504710136986301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0.113683063511831</c:v>
                </c:pt>
                <c:pt idx="3">
                  <c:v>0.0559931506849315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-0.00239365657073525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V.Poor!$A$16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(V.Poor!$AA$16,V.Poor!$AC$16,V.Poor!$AE$16,V.Poor!$AG$16)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0.0754968866749689</c:v>
                </c:pt>
              </c:numCache>
            </c:numRef>
          </c:val>
        </c:ser>
        <c:ser>
          <c:idx val="9"/>
          <c:order val="11"/>
          <c:tx>
            <c:strRef>
              <c:f>V.Poor!$A$17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(V.Poor!$AA$17,V.Poor!$AC$17,V.Poor!$AE$17,V.Poor!$AG$17)</c:f>
              <c:numCache>
                <c:formatCode>0.0%</c:formatCode>
                <c:ptCount val="4"/>
                <c:pt idx="0">
                  <c:v>0.00613368806973848</c:v>
                </c:pt>
                <c:pt idx="1">
                  <c:v>0.00368104707347447</c:v>
                </c:pt>
                <c:pt idx="2">
                  <c:v>0.00490736757160648</c:v>
                </c:pt>
                <c:pt idx="3">
                  <c:v>0.00613368806973848</c:v>
                </c:pt>
              </c:numCache>
            </c:numRef>
          </c:val>
        </c:ser>
        <c:ser>
          <c:idx val="10"/>
          <c:order val="12"/>
          <c:tx>
            <c:strRef>
              <c:f>V.Poor!$A$20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(V.Poor!$AA$20,V.Poor!$AC$20,V.Poor!$AE$20,V.Poor!$AG$20)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(V.Poor!$AA$21,V.Poor!$AC$21,V.Poor!$AE$21,V.Poor!$AG$21)</c:f>
              <c:numCache>
                <c:formatCode>0.0%</c:formatCode>
                <c:ptCount val="4"/>
                <c:pt idx="0">
                  <c:v>0.0240016983956263</c:v>
                </c:pt>
                <c:pt idx="1">
                  <c:v>0.0240016983956263</c:v>
                </c:pt>
                <c:pt idx="2">
                  <c:v>0.0240016983956263</c:v>
                </c:pt>
                <c:pt idx="3">
                  <c:v>0.0240016983956263</c:v>
                </c:pt>
              </c:numCache>
            </c:numRef>
          </c:val>
        </c:ser>
        <c:ser>
          <c:idx val="13"/>
          <c:order val="14"/>
          <c:tx>
            <c:strRef>
              <c:f>V.Poor!$A$22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(V.Poor!$AA$22,V.Poor!$AC$22,V.Poor!$AE$22,V.Poor!$AG$22)</c:f>
              <c:numCache>
                <c:formatCode>0.0%;[Red]"Adjust!"</c:formatCode>
                <c:ptCount val="4"/>
                <c:pt idx="0">
                  <c:v>0.360830887275111</c:v>
                </c:pt>
                <c:pt idx="1">
                  <c:v>0.865600008686941</c:v>
                </c:pt>
                <c:pt idx="2">
                  <c:v>0.750690624676978</c:v>
                </c:pt>
                <c:pt idx="3">
                  <c:v>0.731657330330777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1778440"/>
        <c:axId val="-2001780792"/>
      </c:barChart>
      <c:catAx>
        <c:axId val="-2001778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780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1780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77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0.0272338729763387</c:v>
                </c:pt>
                <c:pt idx="1">
                  <c:v>0.0272338729763387</c:v>
                </c:pt>
                <c:pt idx="2">
                  <c:v>0.0528657534246575</c:v>
                </c:pt>
                <c:pt idx="3">
                  <c:v>0.0528657534246575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0.0378011207970112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0.57931722150143</c:v>
                </c:pt>
                <c:pt idx="1">
                  <c:v>0.57931722150143</c:v>
                </c:pt>
                <c:pt idx="2">
                  <c:v>0.349265727279106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0.0882991766035719</c:v>
                </c:pt>
                <c:pt idx="1">
                  <c:v>0.0882991766035719</c:v>
                </c:pt>
                <c:pt idx="2">
                  <c:v>0.0532348685486414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(Middle!$AA$20,Middle!$AC$20,Middle!$AE$20,Middle!$AG$20)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0.0206897117904187</c:v>
                </c:pt>
                <c:pt idx="3">
                  <c:v>0.0206897117904187</c:v>
                </c:pt>
              </c:numCache>
            </c:numRef>
          </c:val>
        </c:ser>
        <c:ser>
          <c:idx val="11"/>
          <c:order val="13"/>
          <c:tx>
            <c:strRef>
              <c:f>Middle!$A$21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(Middle!$AA$21,Middle!$AC$21,Middle!$AE$21,Middle!$AG$21)</c:f>
              <c:numCache>
                <c:formatCode>0.0%</c:formatCode>
                <c:ptCount val="4"/>
                <c:pt idx="0">
                  <c:v>0.20161473596732</c:v>
                </c:pt>
                <c:pt idx="1">
                  <c:v>0.20161473596732</c:v>
                </c:pt>
                <c:pt idx="2">
                  <c:v>0.20161473596732</c:v>
                </c:pt>
                <c:pt idx="3">
                  <c:v>0.20161473596732</c:v>
                </c:pt>
              </c:numCache>
            </c:numRef>
          </c:val>
        </c:ser>
        <c:ser>
          <c:idx val="13"/>
          <c:order val="14"/>
          <c:tx>
            <c:strRef>
              <c:f>Middle!$A$22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(Middle!$AA$22,Middle!$AC$22,Middle!$AE$22,Middle!$AG$22)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0.218794210038517</c:v>
                </c:pt>
                <c:pt idx="3">
                  <c:v>0.583493685069253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1888792"/>
        <c:axId val="-2001894680"/>
      </c:barChart>
      <c:catAx>
        <c:axId val="-20018887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894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1894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888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0.0272338729763387</c:v>
                </c:pt>
                <c:pt idx="1">
                  <c:v>0.0272338729763387</c:v>
                </c:pt>
                <c:pt idx="2">
                  <c:v>0.0528657534246575</c:v>
                </c:pt>
                <c:pt idx="3">
                  <c:v>0.0528657534246575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0.124613449564134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0.573994464228052</c:v>
                </c:pt>
                <c:pt idx="1">
                  <c:v>0.573994464228052</c:v>
                </c:pt>
                <c:pt idx="2">
                  <c:v>0.512202999247626</c:v>
                </c:pt>
                <c:pt idx="3">
                  <c:v>0.45051579600107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0.0480668844091216</c:v>
                </c:pt>
                <c:pt idx="1">
                  <c:v>0.0480668844091216</c:v>
                </c:pt>
                <c:pt idx="2">
                  <c:v>0.0428924038352037</c:v>
                </c:pt>
                <c:pt idx="3">
                  <c:v>0.0377266542456813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(Rich!$AA$20,Rich!$AC$20,Rich!$AE$20,Rich!$AG$20)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0.0413340651060254</c:v>
                </c:pt>
                <c:pt idx="3">
                  <c:v>0.0413340651060254</c:v>
                </c:pt>
              </c:numCache>
            </c:numRef>
          </c:val>
        </c:ser>
        <c:ser>
          <c:idx val="11"/>
          <c:order val="13"/>
          <c:tx>
            <c:strRef>
              <c:f>Rich!$A$21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(Rich!$AA$21,Rich!$AC$21,Rich!$AE$21,Rich!$AG$21)</c:f>
              <c:numCache>
                <c:formatCode>0.0%</c:formatCode>
                <c:ptCount val="4"/>
                <c:pt idx="0">
                  <c:v>0.219883801392098</c:v>
                </c:pt>
                <c:pt idx="1">
                  <c:v>0.219883801392098</c:v>
                </c:pt>
                <c:pt idx="2">
                  <c:v>0.219883801392098</c:v>
                </c:pt>
                <c:pt idx="3">
                  <c:v>0.219883801392098</c:v>
                </c:pt>
              </c:numCache>
            </c:numRef>
          </c:val>
        </c:ser>
        <c:ser>
          <c:idx val="13"/>
          <c:order val="14"/>
          <c:tx>
            <c:strRef>
              <c:f>Rich!$A$22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(Rich!$AA$22,Rich!$AC$22,Rich!$AE$22,Rich!$AG$22)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-0.057760496728056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1996264"/>
        <c:axId val="-2001992952"/>
      </c:barChart>
      <c:catAx>
        <c:axId val="-2001996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9929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1992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996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Poor!$A$29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Poor!$K$29:$M$29</c:f>
              <c:numCache>
                <c:formatCode>0%</c:formatCode>
                <c:ptCount val="3"/>
                <c:pt idx="0">
                  <c:v>0.0578834525029219</c:v>
                </c:pt>
                <c:pt idx="1">
                  <c:v>0.0642506322782433</c:v>
                </c:pt>
                <c:pt idx="2">
                  <c:v>0.0642506322782433</c:v>
                </c:pt>
              </c:numCache>
            </c:numRef>
          </c:val>
        </c:ser>
        <c:ser>
          <c:idx val="1"/>
          <c:order val="1"/>
          <c:tx>
            <c:strRef>
              <c:f>Poor!$A$30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Poor!$K$30:$M$30</c:f>
              <c:numCache>
                <c:formatCode>0%</c:formatCode>
                <c:ptCount val="3"/>
                <c:pt idx="0">
                  <c:v>0.00962454269068191</c:v>
                </c:pt>
                <c:pt idx="1">
                  <c:v>0.0104907515328433</c:v>
                </c:pt>
                <c:pt idx="2">
                  <c:v>0.0104907515328433</c:v>
                </c:pt>
              </c:numCache>
            </c:numRef>
          </c:val>
        </c:ser>
        <c:ser>
          <c:idx val="2"/>
          <c:order val="2"/>
          <c:tx>
            <c:strRef>
              <c:f>Poor!$A$31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Poor!$K$31:$M$31</c:f>
              <c:numCache>
                <c:formatCode>0%</c:formatCode>
                <c:ptCount val="3"/>
                <c:pt idx="0">
                  <c:v>0.000199754659617926</c:v>
                </c:pt>
                <c:pt idx="1">
                  <c:v>0.00021773257898354</c:v>
                </c:pt>
                <c:pt idx="2">
                  <c:v>0.00021773257898354</c:v>
                </c:pt>
              </c:numCache>
            </c:numRef>
          </c:val>
        </c:ser>
        <c:ser>
          <c:idx val="3"/>
          <c:order val="3"/>
          <c:tx>
            <c:strRef>
              <c:f>Poor!$A$32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Poor!$K$32:$M$32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Poor!$A$33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Poor!$K$33:$M$33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Poor!$A$34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Poor!$K$34:$M$34</c:f>
              <c:numCache>
                <c:formatCode>0%</c:formatCode>
                <c:ptCount val="3"/>
                <c:pt idx="0">
                  <c:v>0.00726380580428823</c:v>
                </c:pt>
                <c:pt idx="1">
                  <c:v>0.00886184308123165</c:v>
                </c:pt>
                <c:pt idx="2">
                  <c:v>0.00908898001002927</c:v>
                </c:pt>
              </c:numCache>
            </c:numRef>
          </c:val>
        </c:ser>
        <c:ser>
          <c:idx val="6"/>
          <c:order val="6"/>
          <c:tx>
            <c:strRef>
              <c:f>Poor!$A$35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Poor!$K$35:$M$35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-0.000279266715734783</c:v>
                </c:pt>
              </c:numCache>
            </c:numRef>
          </c:val>
        </c:ser>
        <c:ser>
          <c:idx val="7"/>
          <c:order val="7"/>
          <c:tx>
            <c:strRef>
              <c:f>Poor!$A$36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Poor!$K$36:$M$36</c:f>
              <c:numCache>
                <c:formatCode>0%</c:formatCode>
                <c:ptCount val="3"/>
                <c:pt idx="0">
                  <c:v>0.0613791590462356</c:v>
                </c:pt>
                <c:pt idx="1">
                  <c:v>0.0592738538909497</c:v>
                </c:pt>
                <c:pt idx="2">
                  <c:v>0.0592738538909497</c:v>
                </c:pt>
              </c:numCache>
            </c:numRef>
          </c:val>
        </c:ser>
        <c:ser>
          <c:idx val="8"/>
          <c:order val="8"/>
          <c:tx>
            <c:strRef>
              <c:f>Poor!$A$37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0.0933399045851038</c:v>
                </c:pt>
                <c:pt idx="1">
                  <c:v>0.102673895043614</c:v>
                </c:pt>
                <c:pt idx="2">
                  <c:v>0.102673895043614</c:v>
                </c:pt>
              </c:numCache>
            </c:numRef>
          </c:val>
        </c:ser>
        <c:ser>
          <c:idx val="9"/>
          <c:order val="9"/>
          <c:tx>
            <c:strRef>
              <c:f>Poor!$A$38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0.0708221065918103</c:v>
                </c:pt>
                <c:pt idx="1">
                  <c:v>0.0779043172509913</c:v>
                </c:pt>
                <c:pt idx="2">
                  <c:v>0.0779043172509913</c:v>
                </c:pt>
              </c:numCache>
            </c:numRef>
          </c:val>
        </c:ser>
        <c:ser>
          <c:idx val="10"/>
          <c:order val="10"/>
          <c:tx>
            <c:strRef>
              <c:f>Poor!$A$39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0.217914174128647</c:v>
                </c:pt>
                <c:pt idx="1">
                  <c:v>0.233168166317652</c:v>
                </c:pt>
                <c:pt idx="2">
                  <c:v>0.233168166317652</c:v>
                </c:pt>
              </c:numCache>
            </c:numRef>
          </c:val>
        </c:ser>
        <c:ser>
          <c:idx val="11"/>
          <c:order val="11"/>
          <c:tx>
            <c:strRef>
              <c:f>Poor!$A$40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0.114223346272432</c:v>
                </c:pt>
                <c:pt idx="1">
                  <c:v>0.125645680899676</c:v>
                </c:pt>
                <c:pt idx="2">
                  <c:v>0.125001598764286</c:v>
                </c:pt>
              </c:numCache>
            </c:numRef>
          </c:val>
        </c:ser>
        <c:ser>
          <c:idx val="13"/>
          <c:order val="13"/>
          <c:tx>
            <c:strRef>
              <c:f>Poor!$A$42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0.0348662678605835</c:v>
                </c:pt>
                <c:pt idx="1">
                  <c:v>0.0366095812536127</c:v>
                </c:pt>
                <c:pt idx="2">
                  <c:v>0.0366095812536127</c:v>
                </c:pt>
              </c:numCache>
            </c:numRef>
          </c:val>
        </c:ser>
        <c:ser>
          <c:idx val="14"/>
          <c:order val="14"/>
          <c:tx>
            <c:strRef>
              <c:f>Poor!$A$43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0.295056726451082</c:v>
                </c:pt>
                <c:pt idx="1">
                  <c:v>0.327512966360701</c:v>
                </c:pt>
                <c:pt idx="2">
                  <c:v>0.327512966360701</c:v>
                </c:pt>
              </c:numCache>
            </c:numRef>
          </c:val>
        </c:ser>
        <c:ser>
          <c:idx val="15"/>
          <c:order val="15"/>
          <c:tx>
            <c:strRef>
              <c:f>Poor!$A$44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0.0101874876405142</c:v>
                </c:pt>
                <c:pt idx="1">
                  <c:v>0.0109006117753502</c:v>
                </c:pt>
                <c:pt idx="2">
                  <c:v>0.0109006117753502</c:v>
                </c:pt>
              </c:numCache>
            </c:numRef>
          </c:val>
        </c:ser>
        <c:ser>
          <c:idx val="16"/>
          <c:order val="16"/>
          <c:tx>
            <c:strRef>
              <c:f>Poor!$A$45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0.0272392717660809</c:v>
                </c:pt>
                <c:pt idx="1">
                  <c:v>0.0286012353543849</c:v>
                </c:pt>
                <c:pt idx="2">
                  <c:v>0.0286012353543849</c:v>
                </c:pt>
              </c:numCache>
            </c:numRef>
          </c:val>
        </c:ser>
        <c:ser>
          <c:idx val="17"/>
          <c:order val="17"/>
          <c:tx>
            <c:strRef>
              <c:f>Poor!$A$46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2194360"/>
        <c:axId val="-2002230712"/>
      </c:barChart>
      <c:catAx>
        <c:axId val="-2002194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23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23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194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406400</xdr:colOff>
      <xdr:row>55</xdr:row>
      <xdr:rowOff>165100</xdr:rowOff>
    </xdr:from>
    <xdr:to>
      <xdr:col>19</xdr:col>
      <xdr:colOff>12700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444500</xdr:colOff>
      <xdr:row>81</xdr:row>
      <xdr:rowOff>12700</xdr:rowOff>
    </xdr:from>
    <xdr:to>
      <xdr:col>17</xdr:col>
      <xdr:colOff>482600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ZALOF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15324.027716993891</v>
          </cell>
          <cell r="E1031">
            <v>15324.027716993891</v>
          </cell>
          <cell r="H1031">
            <v>12770.023097494908</v>
          </cell>
          <cell r="J1031">
            <v>12770.023097494908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</v>
          </cell>
          <cell r="E1040">
            <v>5</v>
          </cell>
          <cell r="H1040">
            <v>5</v>
          </cell>
          <cell r="J1040">
            <v>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4.0049813200498136E-2</v>
          </cell>
          <cell r="I1044">
            <v>0</v>
          </cell>
          <cell r="J1044">
            <v>4.0049813200498136E-2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3.1153362391033626E-2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4.2419053549190538E-2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WILD FOODS -- see worksheet Data 3</v>
          </cell>
          <cell r="C1051">
            <v>0</v>
          </cell>
          <cell r="D1051">
            <v>0.03</v>
          </cell>
          <cell r="E1051">
            <v>0</v>
          </cell>
          <cell r="F1051">
            <v>0.05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Land clearing, construction, herding, slaughtering</v>
          </cell>
          <cell r="C1052">
            <v>0</v>
          </cell>
          <cell r="D1052">
            <v>0</v>
          </cell>
          <cell r="E1052">
            <v>7.8860958904109588E-2</v>
          </cell>
          <cell r="F1052">
            <v>-6.0025342465753417E-2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Labour: Weeding</v>
          </cell>
          <cell r="C1053">
            <v>0</v>
          </cell>
          <cell r="D1053">
            <v>0</v>
          </cell>
          <cell r="E1053">
            <v>4.731657534246575E-2</v>
          </cell>
          <cell r="F1053">
            <v>-3.6015205479452049E-2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cereal</v>
          </cell>
          <cell r="C1054">
            <v>1.8874221668742218E-2</v>
          </cell>
          <cell r="D1054">
            <v>0</v>
          </cell>
          <cell r="E1054">
            <v>9.437110834371109E-3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Gifts/remittances: sugar</v>
          </cell>
          <cell r="C1055">
            <v>5.2139476961394777E-3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Food aid</v>
          </cell>
          <cell r="C1056">
            <v>0.10671724584395817</v>
          </cell>
          <cell r="D1056">
            <v>0</v>
          </cell>
          <cell r="E1056">
            <v>0.10371288718891458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Purchase - other</v>
          </cell>
          <cell r="C1057">
            <v>0</v>
          </cell>
          <cell r="D1057">
            <v>0</v>
          </cell>
          <cell r="E1057">
            <v>8.241966687422167E-2</v>
          </cell>
          <cell r="F1057">
            <v>-8.241966687422167E-2</v>
          </cell>
          <cell r="H1057">
            <v>0.10332242092154421</v>
          </cell>
          <cell r="I1057">
            <v>-0.10332242092154421</v>
          </cell>
          <cell r="J1057">
            <v>0.13069564632627648</v>
          </cell>
          <cell r="K1057">
            <v>-0.13069564632627648</v>
          </cell>
        </row>
        <row r="1058">
          <cell r="A1058" t="str">
            <v>Purchase - desirable</v>
          </cell>
          <cell r="C1058">
            <v>0</v>
          </cell>
          <cell r="D1058">
            <v>0</v>
          </cell>
          <cell r="E1058">
            <v>8.603013698630136E-3</v>
          </cell>
          <cell r="F1058">
            <v>-8.603013698630136E-3</v>
          </cell>
          <cell r="H1058">
            <v>1.0323616438356165E-2</v>
          </cell>
          <cell r="I1058">
            <v>-1.0323616438356165E-2</v>
          </cell>
          <cell r="J1058">
            <v>2.0647232876712329E-2</v>
          </cell>
          <cell r="K1058">
            <v>-2.0647232876712329E-2</v>
          </cell>
        </row>
        <row r="1059">
          <cell r="A1059" t="str">
            <v>Purchase - fpl non staple</v>
          </cell>
          <cell r="C1059">
            <v>3.2521046077210465E-2</v>
          </cell>
          <cell r="D1059">
            <v>0.34167699219310266</v>
          </cell>
          <cell r="E1059">
            <v>8.8346656288916553E-2</v>
          </cell>
          <cell r="F1059">
            <v>0.28585138198139654</v>
          </cell>
          <cell r="H1059">
            <v>0.20196907397260272</v>
          </cell>
          <cell r="I1059">
            <v>0.17222896429771037</v>
          </cell>
          <cell r="J1059">
            <v>0.22003163935242837</v>
          </cell>
          <cell r="K1059">
            <v>0.15416639891788472</v>
          </cell>
        </row>
        <row r="1060">
          <cell r="A1060" t="str">
            <v>Purchase - staple</v>
          </cell>
          <cell r="C1060">
            <v>0.75497962640099636</v>
          </cell>
          <cell r="E1060">
            <v>0.37748981320049818</v>
          </cell>
          <cell r="H1060">
            <v>0.50976766625155667</v>
          </cell>
          <cell r="J1060">
            <v>0.50976766625155667</v>
          </cell>
        </row>
        <row r="1064">
          <cell r="A1064" t="str">
            <v>Cattle sales - local: no. sold</v>
          </cell>
          <cell r="C1064">
            <v>0</v>
          </cell>
          <cell r="D1064">
            <v>0</v>
          </cell>
          <cell r="E1064">
            <v>3187.5</v>
          </cell>
          <cell r="F1064">
            <v>0</v>
          </cell>
          <cell r="H1064">
            <v>8000</v>
          </cell>
          <cell r="I1064">
            <v>4000</v>
          </cell>
          <cell r="J1064">
            <v>8000</v>
          </cell>
          <cell r="K1064">
            <v>0</v>
          </cell>
        </row>
        <row r="1065">
          <cell r="A1065" t="str">
            <v>Goat sales - local: no. sold</v>
          </cell>
          <cell r="C1065">
            <v>0</v>
          </cell>
          <cell r="D1065">
            <v>0</v>
          </cell>
          <cell r="E1065">
            <v>530</v>
          </cell>
          <cell r="F1065">
            <v>0</v>
          </cell>
          <cell r="H1065">
            <v>600</v>
          </cell>
          <cell r="I1065">
            <v>300</v>
          </cell>
          <cell r="J1065">
            <v>1800</v>
          </cell>
          <cell r="K1065">
            <v>-600</v>
          </cell>
        </row>
        <row r="1066">
          <cell r="A1066" t="str">
            <v>Chicken sales: no. sold</v>
          </cell>
          <cell r="C1066">
            <v>0</v>
          </cell>
          <cell r="D1066">
            <v>0</v>
          </cell>
          <cell r="E1066">
            <v>11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Maize: kg produced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H1067">
            <v>2304</v>
          </cell>
          <cell r="I1067">
            <v>-2304</v>
          </cell>
          <cell r="J1067">
            <v>7200</v>
          </cell>
          <cell r="K1067">
            <v>-7200</v>
          </cell>
        </row>
        <row r="1068">
          <cell r="A1068" t="str">
            <v>Beans: kg produced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H1068">
            <v>500</v>
          </cell>
          <cell r="I1068">
            <v>75</v>
          </cell>
          <cell r="J1068">
            <v>1000</v>
          </cell>
          <cell r="K1068">
            <v>0</v>
          </cell>
        </row>
        <row r="1069">
          <cell r="A1069" t="str">
            <v>Water melon: no. local meas</v>
          </cell>
          <cell r="C1069">
            <v>0</v>
          </cell>
          <cell r="D1069">
            <v>0</v>
          </cell>
          <cell r="E1069">
            <v>400</v>
          </cell>
          <cell r="F1069">
            <v>-400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</row>
        <row r="1070">
          <cell r="A1070" t="str">
            <v>WILD FOODS -- see worksheet Data 3</v>
          </cell>
          <cell r="C1070">
            <v>0</v>
          </cell>
          <cell r="D1070">
            <v>750</v>
          </cell>
          <cell r="E1070">
            <v>0</v>
          </cell>
          <cell r="F1070">
            <v>750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</row>
        <row r="1071">
          <cell r="A1071" t="str">
            <v>Agricultural cash income -- see Data2</v>
          </cell>
          <cell r="C1071">
            <v>700</v>
          </cell>
          <cell r="D1071">
            <v>0</v>
          </cell>
          <cell r="E1071">
            <v>3380</v>
          </cell>
          <cell r="F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</row>
        <row r="1072">
          <cell r="A1072" t="str">
            <v>Construction cash income -- see Data2</v>
          </cell>
          <cell r="C1072">
            <v>880</v>
          </cell>
          <cell r="D1072">
            <v>0</v>
          </cell>
          <cell r="E1072">
            <v>5140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6000</v>
          </cell>
          <cell r="D1073">
            <v>0</v>
          </cell>
          <cell r="E1073">
            <v>3900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12000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 (conservancies, etc.)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126000</v>
          </cell>
          <cell r="I1075">
            <v>0</v>
          </cell>
          <cell r="J1075">
            <v>168000</v>
          </cell>
          <cell r="K1075">
            <v>0</v>
          </cell>
        </row>
        <row r="1076">
          <cell r="A1076" t="str">
            <v>Self-employment -- see Data2</v>
          </cell>
          <cell r="C1076">
            <v>2292</v>
          </cell>
          <cell r="D1076">
            <v>458.40000000000009</v>
          </cell>
          <cell r="E1076">
            <v>6290</v>
          </cell>
          <cell r="F1076">
            <v>1258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1920</v>
          </cell>
          <cell r="F1077">
            <v>0</v>
          </cell>
          <cell r="H1077">
            <v>31200</v>
          </cell>
          <cell r="I1077">
            <v>0</v>
          </cell>
          <cell r="J1077">
            <v>79200</v>
          </cell>
          <cell r="K1077">
            <v>0</v>
          </cell>
        </row>
        <row r="1078">
          <cell r="A1078" t="str">
            <v>Social development -- see Data2</v>
          </cell>
          <cell r="C1078">
            <v>16248.051470588236</v>
          </cell>
          <cell r="D1078">
            <v>0</v>
          </cell>
          <cell r="E1078">
            <v>16248.051470588236</v>
          </cell>
          <cell r="F1078">
            <v>0</v>
          </cell>
          <cell r="H1078">
            <v>6588.1250000000009</v>
          </cell>
          <cell r="I1078">
            <v>0</v>
          </cell>
          <cell r="J1078">
            <v>6588.1250000000009</v>
          </cell>
          <cell r="K1078">
            <v>0</v>
          </cell>
        </row>
        <row r="1079">
          <cell r="A1079" t="str">
            <v>Public works -- see Data2</v>
          </cell>
          <cell r="C1079">
            <v>0</v>
          </cell>
          <cell r="D1079">
            <v>0</v>
          </cell>
          <cell r="E1079">
            <v>561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Remittances: no. times per year</v>
          </cell>
          <cell r="C1080">
            <v>0</v>
          </cell>
          <cell r="D1080">
            <v>0</v>
          </cell>
          <cell r="E1080">
            <v>1500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51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T38" sqref="T3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1"/>
      <c r="X1" s="115" t="s">
        <v>67</v>
      </c>
      <c r="Y1" s="116" t="s">
        <v>58</v>
      </c>
      <c r="Z1" s="245" t="str">
        <f>Poor!Z1</f>
        <v>Apr-Jun</v>
      </c>
      <c r="AA1" s="246"/>
      <c r="AB1" s="245" t="str">
        <f>Poor!AB1</f>
        <v>Jul-Sep</v>
      </c>
      <c r="AC1" s="246"/>
      <c r="AD1" s="245" t="str">
        <f>Poor!AD1</f>
        <v>Oct-Dec</v>
      </c>
      <c r="AE1" s="246"/>
      <c r="AF1" s="245" t="str">
        <f>Poor!AF1</f>
        <v>Jan-Mar</v>
      </c>
      <c r="AG1" s="246"/>
      <c r="AH1" s="118"/>
      <c r="AI1" s="111"/>
      <c r="AJ1" s="197" t="str">
        <f>LEFT(Z1,4) &amp; MID(AB1,5,3)</f>
        <v>Apr-Sep</v>
      </c>
      <c r="AK1" s="198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1"/>
      <c r="X2" s="119" t="s">
        <v>59</v>
      </c>
      <c r="Y2" s="116" t="s">
        <v>60</v>
      </c>
      <c r="Z2" s="247" t="str">
        <f>Poor!Z2</f>
        <v>Q1</v>
      </c>
      <c r="AA2" s="248"/>
      <c r="AB2" s="247" t="str">
        <f>Poor!AB2</f>
        <v>Q2</v>
      </c>
      <c r="AC2" s="248"/>
      <c r="AD2" s="247" t="str">
        <f>Poor!AD2</f>
        <v>Q3</v>
      </c>
      <c r="AE2" s="248"/>
      <c r="AF2" s="247" t="str">
        <f>Poor!AF2</f>
        <v>Q4</v>
      </c>
      <c r="AG2" s="248"/>
      <c r="AH2" s="118"/>
      <c r="AI2" s="111"/>
      <c r="AJ2" s="199" t="str">
        <f>Poor!AJ2</f>
        <v>H1</v>
      </c>
      <c r="AK2" s="200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1"/>
      <c r="X3" s="119"/>
      <c r="Y3" s="116" t="s">
        <v>61</v>
      </c>
      <c r="Z3" s="121"/>
      <c r="AA3" s="120"/>
      <c r="AB3" s="121"/>
      <c r="AC3" s="120"/>
      <c r="AD3" s="121"/>
      <c r="AE3" s="120"/>
      <c r="AF3" s="121"/>
      <c r="AG3" s="120"/>
      <c r="AH3" s="118"/>
      <c r="AI3" s="111"/>
      <c r="AJ3" s="121"/>
      <c r="AK3" s="120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1"/>
      <c r="X4" s="119"/>
      <c r="Y4" s="116" t="s">
        <v>62</v>
      </c>
      <c r="Z4" s="121"/>
      <c r="AA4" s="120"/>
      <c r="AB4" s="121"/>
      <c r="AC4" s="120"/>
      <c r="AD4" s="121"/>
      <c r="AE4" s="120"/>
      <c r="AF4" s="121"/>
      <c r="AG4" s="120"/>
      <c r="AH4" s="118"/>
      <c r="AI4" s="111"/>
      <c r="AJ4" s="121"/>
      <c r="AK4" s="120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1"/>
      <c r="X5" s="119"/>
      <c r="Y5" s="116"/>
      <c r="Z5" s="121"/>
      <c r="AA5" s="120"/>
      <c r="AB5" s="121"/>
      <c r="AC5" s="120"/>
      <c r="AD5" s="121"/>
      <c r="AE5" s="120"/>
      <c r="AF5" s="121"/>
      <c r="AG5" s="120"/>
      <c r="AH5" s="118"/>
      <c r="AI5" s="111"/>
      <c r="AJ5" s="121"/>
      <c r="AK5" s="120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7">
        <f>IF([1]Summ!C1044="",0,[1]Summ!C1044)</f>
        <v>0</v>
      </c>
      <c r="C6" s="217">
        <f>IF([1]Summ!D1044="",0,[1]Summ!D1044)</f>
        <v>0</v>
      </c>
      <c r="D6" s="24">
        <f t="shared" ref="D6:D20" si="0">(B6+C6)</f>
        <v>0</v>
      </c>
      <c r="E6" s="75">
        <f>Poor!E6</f>
        <v>1</v>
      </c>
      <c r="F6" s="2" t="s">
        <v>21</v>
      </c>
      <c r="H6" s="24">
        <f t="shared" ref="H6:H21" si="1">(E6*F$7/F$9)</f>
        <v>1</v>
      </c>
      <c r="I6" s="22">
        <f t="shared" ref="I6:I21" si="2">(D6*H6)</f>
        <v>0</v>
      </c>
      <c r="J6" s="24">
        <f t="shared" ref="J6:J13" si="3">IF(I$24&lt;=1+I$113,I6,B6*H6+J$25*(I6-B6*H6))</f>
        <v>0</v>
      </c>
      <c r="K6" s="22">
        <f t="shared" ref="K6:K23" si="4">B6</f>
        <v>0</v>
      </c>
      <c r="L6" s="22">
        <f t="shared" ref="L6:L21" si="5">IF(K6="","",K6*H6)</f>
        <v>0</v>
      </c>
      <c r="M6" s="178">
        <f t="shared" ref="M6:M23" si="6">J6</f>
        <v>0</v>
      </c>
      <c r="N6" s="235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6"/>
      <c r="X6" s="119"/>
      <c r="Y6" s="185">
        <f>M6*4</f>
        <v>0</v>
      </c>
      <c r="Z6" s="157">
        <f>Poor!Z6</f>
        <v>0.17</v>
      </c>
      <c r="AA6" s="122">
        <f>$M6*Z6*4</f>
        <v>0</v>
      </c>
      <c r="AB6" s="157">
        <f>Poor!AB6</f>
        <v>0.17</v>
      </c>
      <c r="AC6" s="122">
        <f t="shared" ref="AC6:AC21" si="7">$M6*AB6*4</f>
        <v>0</v>
      </c>
      <c r="AD6" s="157">
        <f>Poor!AD6</f>
        <v>0.33</v>
      </c>
      <c r="AE6" s="122">
        <f t="shared" ref="AE6:AE21" si="8">$M6*AD6*4</f>
        <v>0</v>
      </c>
      <c r="AF6" s="123">
        <f>1-SUM(Z6,AB6,AD6)</f>
        <v>0.32999999999999996</v>
      </c>
      <c r="AG6" s="122">
        <f>$M6*AF6*4</f>
        <v>0</v>
      </c>
      <c r="AH6" s="124">
        <f>SUM(Z6,AB6,AD6,AF6)</f>
        <v>1</v>
      </c>
      <c r="AI6" s="185">
        <f>SUM(AA6,AC6,AE6,AG6)/4</f>
        <v>0</v>
      </c>
      <c r="AJ6" s="121">
        <f>(AA6+AC6)/2</f>
        <v>0</v>
      </c>
      <c r="AK6" s="120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7">
        <f>IF([1]Summ!C1045="",0,[1]Summ!C1045)</f>
        <v>0</v>
      </c>
      <c r="C7" s="217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8">
        <f t="shared" si="6"/>
        <v>0</v>
      </c>
      <c r="N7" s="235">
        <v>3</v>
      </c>
      <c r="O7" s="2"/>
      <c r="P7" s="22"/>
      <c r="Q7" s="59" t="s">
        <v>71</v>
      </c>
      <c r="R7" s="228">
        <f>IF($B$68=0,0,(SUMIF($N$6:$N$20,$U7,K$6:K$20)+SUMIF($N$78:$N$100,$U7,K$78:K$100))*$I$70*Poor!$B$68/$B$68)</f>
        <v>1200.5294239670377</v>
      </c>
      <c r="S7" s="228">
        <f>IF($B$68=0,0,(SUMIF($N$6:$N$20,$U7,L$6:L$20)+SUMIF($N$78:$N$100,$U7,L$78:L$100))*$I$70*Poor!$B$68/$B$68)</f>
        <v>1200.5294239670377</v>
      </c>
      <c r="T7" s="228">
        <f>IF($B$68=0,0,(SUMIF($N$6:$N$20,$U7,M$6:M$20)+SUMIF($N$78:$N$100,$U7,M$78:M$100))*$I$70*Poor!$B$68/$B$68)</f>
        <v>1200.5294239670377</v>
      </c>
      <c r="U7" s="229">
        <v>1</v>
      </c>
      <c r="V7" s="56"/>
      <c r="W7" s="116"/>
      <c r="X7" s="119">
        <f>Poor!X7</f>
        <v>4</v>
      </c>
      <c r="Y7" s="185">
        <f t="shared" ref="Y7:Y21" si="9">M7*4</f>
        <v>0</v>
      </c>
      <c r="Z7" s="126">
        <f>IF($Y7=0,0,AA7/$Y7)</f>
        <v>0</v>
      </c>
      <c r="AA7" s="122">
        <f>IF($X7=1,IF(SUM(AA$6,AA$12:AA$21)&lt;1,IF((1-SUM(AA$6,AA$12:AA$21))*$M7/SUM($M$7*IF($X$7=1,1,0),$M$8*IF($X$8=1,1,0),$M$9*IF($X$9=1,1,0),$M$10*IF($X$10=1,1,0),$M$11*IF($X$11=1,1,0))&lt;Y7,(1-SUM(AA$6,AA$12:AA$21))*$M7/SUM($M$7*IF($X$7=1,1,0),$M$8*IF($X$8=1,1,0),$M$9*IF($X$9=1,1,0),$M$10*IF($X$10=1,1,0),$M$11*IF($X$11=1,1,0)),Y7),0),0)</f>
        <v>0</v>
      </c>
      <c r="AB7" s="126">
        <f>IF($Y7=0,0,AC7/$Y7)</f>
        <v>0</v>
      </c>
      <c r="AC7" s="122">
        <f>IF($X7&lt;3,IF(SUM(AC$6,AC$12:AC$21)&lt;1,IF(SUM(AC$6,AC$12:AC$21)+SUM((Y$7-AA$7)*IF($X$7&lt;3,1,0),(Y$8-AA$8)*IF($X$8&lt;3,1,0),(Y$9-AA$9)*IF($X$9&lt;3,1,0),(Y$10-AA$10)*IF($X$10&lt;3,1,0),(Y$11-AA$11)*IF($X$11&lt;3,1,0))&lt;1,Y7-AA7,IF((1-SUM(AC$6,AC$12:AC$21))*$M7/SUM($M$7*IF($X$7&lt;3,1,0),$M$8*IF($X$8&lt;3,1,0),$M$9*IF($X$9&lt;3,1,0),$M$10*IF($X$10&lt;3,1,0),$M$11*IF($X$11&lt;3,1,0))&lt;Y7-AA7,(1-SUM(AC$6,AC$12:AC$21))*$M7/SUM($M$7*IF($X$7&lt;3,1,0),$M$8*IF($X$8&lt;3,1,0),$M$9*IF($X$9&lt;3,1,0),$M$10*IF($X$10&lt;3,1,0),$M$11*IF($X$11&lt;3,1,0)),Y7-AA7)),0),0)</f>
        <v>0</v>
      </c>
      <c r="AD7" s="126">
        <f>IF($Y7=0,0,AE7/$Y7)</f>
        <v>0</v>
      </c>
      <c r="AE7" s="122">
        <f>IF($X7&lt;4,IF(SUM(AE$6:AE$6,AE$12:AE$21)&lt;1,IF(SUM(AE$6:AE$6,AE$12:AE$21)+SUM((Y$7-AA$7-AC$7)*IF($X$7&lt;3,1,0),(Y$8-AA$8-AC$8)*IF($X$8&lt;3,1,0),(Y$9-AA$9-AC$9)*IF($X$9&lt;3,1,0),(Y$10-AA$10-AC$10)*IF($X$10&lt;3,1,0),(Y$11-AA$11-AC$11)*IF($X$11&lt;3,1,0))&lt;1,Y7-AA7-AC7,IF((1-SUM(AE$6:AE$6,AE$12:AE$21))*$M7/SUM($M$7*IF($X$7&lt;4,1,0),$M$8*IF($X$8&lt;4,1,0),$M$9*IF($X$9&lt;4,1,0),$M$10*IF($X$10&lt;4,1,0),$M$11*IF($X$11&lt;4,1,0))&lt;Y7-AA7-AC7,(1-SUM(AE$6:AE$6,AE$12:AE$21))*$M7/SUM($M$7*IF($X$7&lt;4,1,0),$M$8*IF($X$8&lt;4,1,0),$M$9*IF($X$9&lt;4,1,0),$M$10*IF($X$10&lt;4,1,0),$M$11*IF($X$11&lt;4,1,0)),Y7-AA7-AC7)),0),0)</f>
        <v>0</v>
      </c>
      <c r="AF7" s="123">
        <f t="shared" ref="AF7:AF21" si="10">1-SUM(Z7,AB7,AD7)</f>
        <v>1</v>
      </c>
      <c r="AG7" s="122">
        <f t="shared" ref="AG7:AG21" si="11">$M7*AF7*4</f>
        <v>0</v>
      </c>
      <c r="AH7" s="124">
        <f t="shared" ref="AH7:AH22" si="12">SUM(Z7,AB7,AD7,AF7)</f>
        <v>1</v>
      </c>
      <c r="AI7" s="185">
        <f t="shared" ref="AI7:AI22" si="13">SUM(AA7,AC7,AE7,AG7)/4</f>
        <v>0</v>
      </c>
      <c r="AJ7" s="121">
        <f t="shared" ref="AJ7:AJ23" si="14">(AA7+AC7)/2</f>
        <v>0</v>
      </c>
      <c r="AK7" s="120">
        <f t="shared" ref="AK7:AK23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7">
        <f>IF([1]Summ!C1046="",0,[1]Summ!C1046)</f>
        <v>0.12617753424657532</v>
      </c>
      <c r="C8" s="217">
        <f>IF([1]Summ!D1046="",0,[1]Summ!D1046)</f>
        <v>0</v>
      </c>
      <c r="D8" s="24">
        <f t="shared" si="0"/>
        <v>0.12617753424657532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0.12617753424657532</v>
      </c>
      <c r="J8" s="24">
        <f t="shared" si="3"/>
        <v>0.12617753424657532</v>
      </c>
      <c r="K8" s="22">
        <f t="shared" si="4"/>
        <v>0.12617753424657532</v>
      </c>
      <c r="L8" s="22">
        <f t="shared" si="5"/>
        <v>0.12617753424657532</v>
      </c>
      <c r="M8" s="230">
        <f t="shared" si="6"/>
        <v>0.12617753424657532</v>
      </c>
      <c r="N8" s="235">
        <v>1</v>
      </c>
      <c r="O8" s="2"/>
      <c r="P8" s="22"/>
      <c r="Q8" s="59" t="s">
        <v>72</v>
      </c>
      <c r="R8" s="228">
        <f>IF($B$68=0,0,(SUMIF($N$6:$N$20,$U8,K$6:K$20)+SUMIF($N$78:$N$100,$U8,K$78:K$100))*$I$70*Poor!$B$68/$B$68)</f>
        <v>0</v>
      </c>
      <c r="S8" s="228">
        <f>IF($B$68=0,0,(SUMIF($N$6:$N$20,$U8,L$6:L$20)+SUMIF($N$78:$N$100,$U8,L$78:L$100))*$I$70*Poor!$B$68/$B$68)</f>
        <v>0</v>
      </c>
      <c r="T8" s="228">
        <f>IF($B$68=0,0,(SUMIF($N$6:$N$20,$U8,M$6:M$20)+SUMIF($N$78:$N$100,$U8,M$78:M$100))*$I$70*Poor!$B$68/$B$68)</f>
        <v>0</v>
      </c>
      <c r="U8" s="229">
        <v>2</v>
      </c>
      <c r="V8" s="56"/>
      <c r="W8" s="116"/>
      <c r="X8" s="119">
        <f>Poor!X8</f>
        <v>1</v>
      </c>
      <c r="Y8" s="185">
        <f t="shared" si="9"/>
        <v>0.50471013698630129</v>
      </c>
      <c r="Z8" s="126">
        <f>IF($Y8=0,0,AA8/$Y8)</f>
        <v>1</v>
      </c>
      <c r="AA8" s="122">
        <f>IF($X8=1,IF(SUM(AA$6,AA$12:AA$21)&lt;1,IF((1-SUM(AA$6,AA$12:AA$21))*$M8/SUM($M$7*IF($X$7=1,1,0),$M$8*IF($X$8=1,1,0),$M$9*IF($X$9=1,1,0),$M$10*IF($X$10=1,1,0),$M$11*IF($X$11=1,1,0))&lt;Y8,(1-SUM(AA$6,AA$12:AA$21))*$M8/SUM($M$7*IF($X$7=1,1,0),$M$8*IF($X$8=1,1,0),$M$9*IF($X$9=1,1,0),$M$10*IF($X$10=1,1,0),$M$11*IF($X$11=1,1,0)),Y8),0),0)</f>
        <v>0.50471013698630129</v>
      </c>
      <c r="AB8" s="126">
        <f>IF($Y8=0,0,AC8/$Y8)</f>
        <v>0</v>
      </c>
      <c r="AC8" s="122">
        <f>IF($X8&lt;3,IF(SUM(AC$6,AC$12:AC$21)&lt;1,IF(SUM(AC$6,AC$12:AC$21)+SUM((Y$7-AA$7)*IF($X$7&lt;3,1,0),(Y$8-AA$8)*IF($X$8&lt;3,1,0),(Y$9-AA$9)*IF($X$9&lt;3,1,0),(Y$10-AA$10)*IF($X$10&lt;3,1,0),(Y$11-AA$11)*IF($X$11&lt;3,1,0))&lt;1,Y8-AA8,IF((1-SUM(AC$6,AC$12:AC$21))*$M8/SUM($M$7*IF($X$7&lt;3,1,0),$M$8*IF($X$8&lt;3,1,0),$M$9*IF($X$9&lt;3,1,0),$M$10*IF($X$10&lt;3,1,0),$M$11*IF($X$11&lt;3,1,0))&lt;Y8-AA8,(1-SUM(AC$6,AC$12:AC$21))*$M8/SUM($M$7*IF($X$7&lt;3,1,0),$M$8*IF($X$8&lt;3,1,0),$M$9*IF($X$9&lt;3,1,0),$M$10*IF($X$10&lt;3,1,0),$M$11*IF($X$11&lt;3,1,0)),Y8-AA8)),0),0)</f>
        <v>0</v>
      </c>
      <c r="AD8" s="126">
        <f>IF($Y8=0,0,AE8/$Y8)</f>
        <v>0</v>
      </c>
      <c r="AE8" s="122">
        <f>IF($X8&lt;4,IF(SUM(AE$6:AE$6,AE$12:AE$21)&lt;1,IF(SUM(AE$6:AE$6,AE$12:AE$21)+SUM((Y$7-AA$7-AC$7)*IF($X$7&lt;3,1,0),(Y$8-AA$8-AC$8)*IF($X$8&lt;3,1,0),(Y$9-AA$9-AC$9)*IF($X$9&lt;3,1,0),(Y$10-AA$10-AC$10)*IF($X$10&lt;3,1,0),(Y$11-AA$11-AC$11)*IF($X$11&lt;3,1,0))&lt;1,Y8-AA8-AC8,IF((1-SUM(AE$6:AE$6,AE$12:AE$21))*$M8/SUM($M$7*IF($X$7&lt;4,1,0),$M$8*IF($X$8&lt;4,1,0),$M$9*IF($X$9&lt;4,1,0),$M$10*IF($X$10&lt;4,1,0),$M$11*IF($X$11&lt;4,1,0))&lt;Y8-AA8-AC8,(1-SUM(AE$6:AE$6,AE$12:AE$21))*$M8/SUM($M$7*IF($X$7&lt;4,1,0),$M$8*IF($X$8&lt;4,1,0),$M$9*IF($X$9&lt;4,1,0),$M$10*IF($X$10&lt;4,1,0),$M$11*IF($X$11&lt;4,1,0)),Y8-AA8-AC8)),0),0)</f>
        <v>0</v>
      </c>
      <c r="AF8" s="123">
        <f t="shared" si="10"/>
        <v>0</v>
      </c>
      <c r="AG8" s="122">
        <f t="shared" si="11"/>
        <v>0</v>
      </c>
      <c r="AH8" s="124">
        <f t="shared" si="12"/>
        <v>1</v>
      </c>
      <c r="AI8" s="185">
        <f t="shared" si="13"/>
        <v>0.12617753424657532</v>
      </c>
      <c r="AJ8" s="121">
        <f t="shared" si="14"/>
        <v>0.25235506849315065</v>
      </c>
      <c r="AK8" s="120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7">
        <f>IF([1]Summ!C1047="",0,[1]Summ!C1047)</f>
        <v>0</v>
      </c>
      <c r="C9" s="217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30">
        <f t="shared" si="6"/>
        <v>0</v>
      </c>
      <c r="N9" s="235">
        <v>1</v>
      </c>
      <c r="O9" s="2"/>
      <c r="P9" s="22"/>
      <c r="Q9" s="59" t="s">
        <v>73</v>
      </c>
      <c r="R9" s="228">
        <f>IF($B$68=0,0,(SUMIF($N$6:$N$20,$U9,K$6:K$20)+SUMIF($N$78:$N$100,$U9,K$78:K$100))*$I$70*Poor!$B$68/$B$68)</f>
        <v>0</v>
      </c>
      <c r="S9" s="228">
        <f>IF($B$68=0,0,(SUMIF($N$6:$N$20,$U9,L$6:L$20)+SUMIF($N$78:$N$100,$U9,L$78:L$100))*$I$70*Poor!$B$68/$B$68)</f>
        <v>0</v>
      </c>
      <c r="T9" s="228">
        <f>IF($B$68=0,0,(SUMIF($N$6:$N$20,$U9,M$6:M$20)+SUMIF($N$78:$N$100,$U9,M$78:M$100))*$I$70*Poor!$B$68/$B$68)</f>
        <v>0</v>
      </c>
      <c r="U9" s="229">
        <v>3</v>
      </c>
      <c r="V9" s="56"/>
      <c r="W9" s="116"/>
      <c r="X9" s="119">
        <f>Poor!X9</f>
        <v>1</v>
      </c>
      <c r="Y9" s="185">
        <f t="shared" si="9"/>
        <v>0</v>
      </c>
      <c r="Z9" s="126">
        <f>IF($Y9=0,0,AA9/$Y9)</f>
        <v>0</v>
      </c>
      <c r="AA9" s="122">
        <f>IF($X9=1,IF(SUM(AA$6,AA$12:AA$21)&lt;1,IF((1-SUM(AA$6,AA$12:AA$21))*$M9/SUM($M$7*IF($X$7=1,1,0),$M$8*IF($X$8=1,1,0),$M$9*IF($X$9=1,1,0),$M$10*IF($X$10=1,1,0),$M$11*IF($X$11=1,1,0))&lt;Y9,(1-SUM(AA$6,AA$12:AA$21))*$M9/SUM($M$7*IF($X$7=1,1,0),$M$8*IF($X$8=1,1,0),$M$9*IF($X$9=1,1,0),$M$10*IF($X$10=1,1,0),$M$11*IF($X$11=1,1,0)),Y9),0),0)</f>
        <v>0</v>
      </c>
      <c r="AB9" s="126">
        <f>IF($Y9=0,0,AC9/$Y9)</f>
        <v>0</v>
      </c>
      <c r="AC9" s="122">
        <f>IF($X9&lt;3,IF(SUM(AC$6,AC$12:AC$21)&lt;1,IF(SUM(AC$6,AC$12:AC$21)+SUM((Y$7-AA$7)*IF($X$7&lt;3,1,0),(Y$8-AA$8)*IF($X$8&lt;3,1,0),(Y$9-AA$9)*IF($X$9&lt;3,1,0),(Y$10-AA$10)*IF($X$10&lt;3,1,0),(Y$11-AA$11)*IF($X$11&lt;3,1,0))&lt;1,Y9-AA9,IF((1-SUM(AC$6,AC$12:AC$21))*$M9/SUM($M$7*IF($X$7&lt;3,1,0),$M$8*IF($X$8&lt;3,1,0),$M$9*IF($X$9&lt;3,1,0),$M$10*IF($X$10&lt;3,1,0),$M$11*IF($X$11&lt;3,1,0))&lt;Y9-AA9,(1-SUM(AC$6,AC$12:AC$21))*$M9/SUM($M$7*IF($X$7&lt;3,1,0),$M$8*IF($X$8&lt;3,1,0),$M$9*IF($X$9&lt;3,1,0),$M$10*IF($X$10&lt;3,1,0),$M$11*IF($X$11&lt;3,1,0)),Y9-AA9)),0),0)</f>
        <v>0</v>
      </c>
      <c r="AD9" s="126">
        <f>IF($Y9=0,0,AE9/$Y9)</f>
        <v>0</v>
      </c>
      <c r="AE9" s="122">
        <f>IF($X9&lt;4,IF(SUM(AE$6:AE$6,AE$12:AE$21)&lt;1,IF(SUM(AE$6:AE$6,AE$12:AE$21)+SUM((Y$7-AA$7-AC$7)*IF($X$7&lt;3,1,0),(Y$8-AA$8-AC$8)*IF($X$8&lt;3,1,0),(Y$9-AA$9-AC$9)*IF($X$9&lt;3,1,0),(Y$10-AA$10-AC$10)*IF($X$10&lt;3,1,0),(Y$11-AA$11-AC$11)*IF($X$11&lt;3,1,0))&lt;1,Y9-AA9-AC9,IF((1-SUM(AE$6:AE$6,AE$12:AE$21))*$M9/SUM($M$7*IF($X$7&lt;4,1,0),$M$8*IF($X$8&lt;4,1,0),$M$9*IF($X$9&lt;4,1,0),$M$10*IF($X$10&lt;4,1,0),$M$11*IF($X$11&lt;4,1,0))&lt;Y9-AA9-AC9,(1-SUM(AE$6:AE$6,AE$12:AE$21))*$M9/SUM($M$7*IF($X$7&lt;4,1,0),$M$8*IF($X$8&lt;4,1,0),$M$9*IF($X$9&lt;4,1,0),$M$10*IF($X$10&lt;4,1,0),$M$11*IF($X$11&lt;4,1,0)),Y9-AA9-AC9)),0),0)</f>
        <v>0</v>
      </c>
      <c r="AF9" s="123">
        <f t="shared" si="10"/>
        <v>1</v>
      </c>
      <c r="AG9" s="122">
        <f t="shared" si="11"/>
        <v>0</v>
      </c>
      <c r="AH9" s="124">
        <f t="shared" si="12"/>
        <v>1</v>
      </c>
      <c r="AI9" s="185">
        <f t="shared" si="13"/>
        <v>0</v>
      </c>
      <c r="AJ9" s="121">
        <f t="shared" si="14"/>
        <v>0</v>
      </c>
      <c r="AK9" s="120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7">
        <f>IF([1]Summ!C1048="",0,[1]Summ!C1048)</f>
        <v>0</v>
      </c>
      <c r="C10" s="217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30">
        <f t="shared" si="6"/>
        <v>0</v>
      </c>
      <c r="N10" s="235">
        <v>1</v>
      </c>
      <c r="O10" s="2"/>
      <c r="P10" s="22"/>
      <c r="Q10" s="59" t="s">
        <v>74</v>
      </c>
      <c r="R10" s="228">
        <f>IF($B$68=0,0,(SUMIF($N$6:$N$20,$U10,K$6:K$20)+SUMIF($N$78:$N$100,$U10,K$78:K$100))*$I$70*Poor!$B$68/$B$68)</f>
        <v>0</v>
      </c>
      <c r="S10" s="228">
        <f>IF($B$68=0,0,(SUMIF($N$6:$N$20,$U10,L$6:L$20)+SUMIF($N$78:$N$100,$U10,L$78:L$100))*$I$70*Poor!$B$68/$B$68)</f>
        <v>0</v>
      </c>
      <c r="T10" s="228">
        <f>IF($B$68=0,0,(SUMIF($N$6:$N$20,$U10,M$6:M$20)+SUMIF($N$78:$N$100,$U10,M$78:M$100))*$I$70*Poor!$B$68/$B$68)</f>
        <v>0</v>
      </c>
      <c r="U10" s="229">
        <v>4</v>
      </c>
      <c r="V10" s="56"/>
      <c r="W10" s="116"/>
      <c r="X10" s="119">
        <f>Poor!X10</f>
        <v>1</v>
      </c>
      <c r="Y10" s="185">
        <f t="shared" si="9"/>
        <v>0</v>
      </c>
      <c r="Z10" s="126">
        <f>IF($Y10=0,0,AA10/$Y10)</f>
        <v>0</v>
      </c>
      <c r="AA10" s="122">
        <f>IF($X10=1,IF(SUM(AA$6,AA$12:AA$21)&lt;1,IF((1-SUM(AA$6,AA$12:AA$21))*$M10/SUM($M$7*IF($X$7=1,1,0),$M$8*IF($X$8=1,1,0),$M$9*IF($X$9=1,1,0),$M$10*IF($X$10=1,1,0),$M$11*IF($X$11=1,1,0))&lt;Y10,(1-SUM(AA$6,AA$12:AA$21))*$M10/SUM($M$7*IF($X$7=1,1,0),$M$8*IF($X$8=1,1,0),$M$9*IF($X$9=1,1,0),$M$10*IF($X$10=1,1,0),$M$11*IF($X$11=1,1,0)),Y10),0),0)</f>
        <v>0</v>
      </c>
      <c r="AB10" s="126">
        <f>IF($Y10=0,0,AC10/$Y10)</f>
        <v>0</v>
      </c>
      <c r="AC10" s="122">
        <f>IF($X10&lt;3,IF(SUM(AC$6,AC$12:AC$21)&lt;1,IF(SUM(AC$6,AC$12:AC$21)+SUM((Y$7-AA$7)*IF($X$7&lt;3,1,0),(Y$8-AA$8)*IF($X$8&lt;3,1,0),(Y$9-AA$9)*IF($X$9&lt;3,1,0),(Y$10-AA$10)*IF($X$10&lt;3,1,0),(Y$11-AA$11)*IF($X$11&lt;3,1,0))&lt;1,Y10-AA10,IF((1-SUM(AC$6,AC$12:AC$21))*$M10/SUM($M$7*IF($X$7&lt;3,1,0),$M$8*IF($X$8&lt;3,1,0),$M$9*IF($X$9&lt;3,1,0),$M$10*IF($X$10&lt;3,1,0),$M$11*IF($X$11&lt;3,1,0))&lt;Y10-AA10,(1-SUM(AC$6,AC$12:AC$21))*$M10/SUM($M$7*IF($X$7&lt;3,1,0),$M$8*IF($X$8&lt;3,1,0),$M$9*IF($X$9&lt;3,1,0),$M$10*IF($X$10&lt;3,1,0),$M$11*IF($X$11&lt;3,1,0)),Y10-AA10)),0),0)</f>
        <v>0</v>
      </c>
      <c r="AD10" s="126">
        <f>IF($Y10=0,0,AE10/$Y10)</f>
        <v>0</v>
      </c>
      <c r="AE10" s="122">
        <f>IF($X10&lt;4,IF(SUM(AE$6:AE$6,AE$12:AE$21)&lt;1,IF(SUM(AE$6:AE$6,AE$12:AE$21)+SUM((Y$7-AA$7-AC$7)*IF($X$7&lt;3,1,0),(Y$8-AA$8-AC$8)*IF($X$8&lt;3,1,0),(Y$9-AA$9-AC$9)*IF($X$9&lt;3,1,0),(Y$10-AA$10-AC$10)*IF($X$10&lt;3,1,0),(Y$11-AA$11-AC$11)*IF($X$11&lt;3,1,0))&lt;1,Y10-AA10-AC10,IF((1-SUM(AE$6:AE$6,AE$12:AE$21))*$M10/SUM($M$7*IF($X$7&lt;4,1,0),$M$8*IF($X$8&lt;4,1,0),$M$9*IF($X$9&lt;4,1,0),$M$10*IF($X$10&lt;4,1,0),$M$11*IF($X$11&lt;4,1,0))&lt;Y10-AA10-AC10,(1-SUM(AE$6:AE$6,AE$12:AE$21))*$M10/SUM($M$7*IF($X$7&lt;4,1,0),$M$8*IF($X$8&lt;4,1,0),$M$9*IF($X$9&lt;4,1,0),$M$10*IF($X$10&lt;4,1,0),$M$11*IF($X$11&lt;4,1,0)),Y10-AA10-AC10)),0),0)</f>
        <v>0</v>
      </c>
      <c r="AF10" s="123">
        <f t="shared" si="10"/>
        <v>1</v>
      </c>
      <c r="AG10" s="122">
        <f t="shared" si="11"/>
        <v>0</v>
      </c>
      <c r="AH10" s="124">
        <f t="shared" si="12"/>
        <v>1</v>
      </c>
      <c r="AI10" s="185">
        <f t="shared" si="13"/>
        <v>0</v>
      </c>
      <c r="AJ10" s="121">
        <f t="shared" si="14"/>
        <v>0</v>
      </c>
      <c r="AK10" s="120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7">
        <f>IF([1]Summ!C1049="",0,[1]Summ!C1049)</f>
        <v>0</v>
      </c>
      <c r="C11" s="217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30">
        <f t="shared" si="6"/>
        <v>0</v>
      </c>
      <c r="N11" s="235">
        <v>1</v>
      </c>
      <c r="O11" s="2"/>
      <c r="P11" s="22"/>
      <c r="Q11" s="59" t="s">
        <v>75</v>
      </c>
      <c r="R11" s="228">
        <f>IF($B$68=0,0,(SUMIF($N$6:$N$20,$U11,K$6:K$20)+SUMIF($N$78:$N$100,$U11,K$78:K$100))*$I$70*Poor!$B$68/$B$68)</f>
        <v>0</v>
      </c>
      <c r="S11" s="228">
        <f>IF($B$68=0,0,(SUMIF($N$6:$N$20,$U11,L$6:L$20)+SUMIF($N$78:$N$100,$U11,L$78:L$100))*$I$70*Poor!$B$68/$B$68)</f>
        <v>0</v>
      </c>
      <c r="T11" s="228">
        <f>IF($B$68=0,0,(SUMIF($N$6:$N$20,$U11,M$6:M$20)+SUMIF($N$78:$N$100,$U11,M$78:M$100))*$I$70*Poor!$B$68/$B$68)</f>
        <v>0</v>
      </c>
      <c r="U11" s="229">
        <v>5</v>
      </c>
      <c r="V11" s="56"/>
      <c r="W11" s="116"/>
      <c r="X11" s="119">
        <f>Poor!X11</f>
        <v>1</v>
      </c>
      <c r="Y11" s="185">
        <f t="shared" si="9"/>
        <v>0</v>
      </c>
      <c r="Z11" s="126">
        <f>IF($Y11=0,0,AA11/$Y11)</f>
        <v>0</v>
      </c>
      <c r="AA11" s="122">
        <f>IF($X11=1,IF(SUM(AA$6,AA$12:AA$21)&lt;1,IF((1-SUM(AA$6,AA$12:AA$21))*$M11/SUM($M$7*IF($X$7=1,1,0),$M$8*IF($X$8=1,1,0),$M$9*IF($X$9=1,1,0),$M$10*IF($X$10=1,1,0),$M$11*IF($X$11=1,1,0))&lt;Y11,(1-SUM(AA$6,AA$12:AA$21))*$M11/SUM($M$7*IF($X$7=1,1,0),$M$8*IF($X$8=1,1,0),$M$9*IF($X$9=1,1,0),$M$10*IF($X$10=1,1,0),$M$11*IF($X$11=1,1,0)),Y11),0),0)</f>
        <v>0</v>
      </c>
      <c r="AB11" s="126">
        <f>IF($Y11=0,0,AC11/$Y11)</f>
        <v>0</v>
      </c>
      <c r="AC11" s="122">
        <f>IF($X11&lt;3,IF(SUM(AC$6,AC$12:AC$21)&lt;1,IF(SUM(AC$6,AC$12:AC$21)+SUM((Y$7-AA$7)*IF($X$7&lt;3,1,0),(Y$8-AA$8)*IF($X$8&lt;3,1,0),(Y$9-AA$9)*IF($X$9&lt;3,1,0),(Y$10-AA$10)*IF($X$10&lt;3,1,0),(Y$11-AA$11)*IF($X$11&lt;3,1,0))&lt;1,Y11-AA11,IF((1-SUM(AC$6,AC$12:AC$21))*$M11/SUM($M$7*IF($X$7&lt;3,1,0),$M$8*IF($X$8&lt;3,1,0),$M$9*IF($X$9&lt;3,1,0),$M$10*IF($X$10&lt;3,1,0),$M$11*IF($X$11&lt;3,1,0))&lt;Y11-AA11,(1-SUM(AC$6,AC$12:AC$21))*$M11/SUM($M$7*IF($X$7&lt;3,1,0),$M$8*IF($X$8&lt;3,1,0),$M$9*IF($X$9&lt;3,1,0),$M$10*IF($X$10&lt;3,1,0),$M$11*IF($X$11&lt;3,1,0)),Y11-AA11)),0),0)</f>
        <v>0</v>
      </c>
      <c r="AD11" s="126">
        <f>IF($Y11=0,0,AE11/$Y11)</f>
        <v>0</v>
      </c>
      <c r="AE11" s="122">
        <f>IF($X11&lt;4,IF(SUM(AE$6:AE$6,AE$12:AE$21)&lt;1,IF(SUM(AE$6:AE$6,AE$12:AE$21)+SUM((Y$7-AA$7-AC$7)*IF($X$7&lt;3,1,0),(Y$8-AA$8-AC$8)*IF($X$8&lt;3,1,0),(Y$9-AA$9-AC$9)*IF($X$9&lt;3,1,0),(Y$10-AA$10-AC$10)*IF($X$10&lt;3,1,0),(Y$11-AA$11-AC$11)*IF($X$11&lt;3,1,0))&lt;1,Y11-AA11-AC11,IF((1-SUM(AE$6:AE$6,AE$12:AE$21))*$M11/SUM($M$7*IF($X$7&lt;4,1,0),$M$8*IF($X$8&lt;4,1,0),$M$9*IF($X$9&lt;4,1,0),$M$10*IF($X$10&lt;4,1,0),$M$11*IF($X$11&lt;4,1,0))&lt;Y11-AA11-AC11,(1-SUM(AE$6:AE$6,AE$12:AE$21))*$M11/SUM($M$7*IF($X$7&lt;4,1,0),$M$8*IF($X$8&lt;4,1,0),$M$9*IF($X$9&lt;4,1,0),$M$10*IF($X$10&lt;4,1,0),$M$11*IF($X$11&lt;4,1,0)),Y11-AA11-AC11)),0),0)</f>
        <v>0</v>
      </c>
      <c r="AF11" s="123">
        <f t="shared" si="10"/>
        <v>1</v>
      </c>
      <c r="AG11" s="122">
        <f t="shared" si="11"/>
        <v>0</v>
      </c>
      <c r="AH11" s="124">
        <f t="shared" si="12"/>
        <v>1</v>
      </c>
      <c r="AI11" s="185">
        <f t="shared" si="13"/>
        <v>0</v>
      </c>
      <c r="AJ11" s="121">
        <f t="shared" si="14"/>
        <v>0</v>
      </c>
      <c r="AK11" s="120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7">
        <f>IF([1]Summ!C1050="",0,[1]Summ!C1050)</f>
        <v>4.2419053549190538E-2</v>
      </c>
      <c r="C12" s="217">
        <f>IF([1]Summ!D1050="",0,[1]Summ!D1050)</f>
        <v>0</v>
      </c>
      <c r="D12" s="24">
        <f t="shared" si="0"/>
        <v>4.2419053549190538E-2</v>
      </c>
      <c r="E12" s="75">
        <f>Poor!E12</f>
        <v>1</v>
      </c>
      <c r="H12" s="24">
        <f t="shared" si="1"/>
        <v>1</v>
      </c>
      <c r="I12" s="22">
        <f t="shared" si="2"/>
        <v>4.2419053549190538E-2</v>
      </c>
      <c r="J12" s="24">
        <f t="shared" si="3"/>
        <v>4.2419053549190538E-2</v>
      </c>
      <c r="K12" s="22">
        <f t="shared" si="4"/>
        <v>4.2419053549190538E-2</v>
      </c>
      <c r="L12" s="22">
        <f t="shared" si="5"/>
        <v>4.2419053549190538E-2</v>
      </c>
      <c r="M12" s="230">
        <f t="shared" si="6"/>
        <v>4.2419053549190538E-2</v>
      </c>
      <c r="N12" s="235">
        <v>1</v>
      </c>
      <c r="O12" s="2"/>
      <c r="P12" s="22"/>
      <c r="Q12" s="127" t="s">
        <v>124</v>
      </c>
      <c r="R12" s="228">
        <f>IF($B$68=0,0,(SUMIF($N$6:$N$20,$U12,K$6:K$20)+SUMIF($N$78:$N$100,$U12,K$78:K$100))*$I$70*Poor!$B$68/$B$68)</f>
        <v>0</v>
      </c>
      <c r="S12" s="228">
        <f>IF($B$68=0,0,(SUMIF($N$6:$N$20,$U12,L$6:L$20)+SUMIF($N$78:$N$100,$U12,L$78:L$100))*$I$70*Poor!$B$68/$B$68)</f>
        <v>0</v>
      </c>
      <c r="T12" s="228">
        <f>IF($B$68=0,0,(SUMIF($N$6:$N$20,$U12,M$6:M$20)+SUMIF($N$78:$N$100,$U12,M$78:M$100))*$I$70*Poor!$B$68/$B$68)</f>
        <v>-19.221494290062946</v>
      </c>
      <c r="U12" s="229">
        <v>6</v>
      </c>
      <c r="V12" s="56"/>
      <c r="W12" s="118"/>
      <c r="X12" s="119">
        <v>1</v>
      </c>
      <c r="Y12" s="185">
        <f t="shared" si="9"/>
        <v>0.16967621419676215</v>
      </c>
      <c r="Z12" s="157">
        <f>Poor!Z12</f>
        <v>0</v>
      </c>
      <c r="AA12" s="122">
        <f>$M12*Z12*4</f>
        <v>0</v>
      </c>
      <c r="AB12" s="157">
        <f>Poor!AB12</f>
        <v>0</v>
      </c>
      <c r="AC12" s="122">
        <f>$M12*AB12*4</f>
        <v>0</v>
      </c>
      <c r="AD12" s="157">
        <f>Poor!AD12</f>
        <v>0.67</v>
      </c>
      <c r="AE12" s="122">
        <f>$M12*AD12*4</f>
        <v>0.11368306351183065</v>
      </c>
      <c r="AF12" s="123">
        <f>1-SUM(Z12,AB12,AD12)</f>
        <v>0.32999999999999996</v>
      </c>
      <c r="AG12" s="122">
        <f>$M12*AF12*4</f>
        <v>5.5993150684931506E-2</v>
      </c>
      <c r="AH12" s="124">
        <f t="shared" si="12"/>
        <v>1</v>
      </c>
      <c r="AI12" s="185">
        <f t="shared" si="13"/>
        <v>4.2419053549190538E-2</v>
      </c>
      <c r="AJ12" s="121">
        <f t="shared" si="14"/>
        <v>0</v>
      </c>
      <c r="AK12" s="120">
        <f t="shared" si="15"/>
        <v>8.4838107098381077E-2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WILD FOODS -- see worksheet Data 3</v>
      </c>
      <c r="B13" s="217">
        <f>IF([1]Summ!C1051="",0,[1]Summ!C1051)</f>
        <v>0</v>
      </c>
      <c r="C13" s="217">
        <f>IF([1]Summ!D1051="",0,[1]Summ!D1051)</f>
        <v>0.03</v>
      </c>
      <c r="D13" s="24">
        <f t="shared" si="0"/>
        <v>0.03</v>
      </c>
      <c r="E13" s="75">
        <f>Poor!E13</f>
        <v>0.8</v>
      </c>
      <c r="H13" s="24">
        <f t="shared" si="1"/>
        <v>0.8</v>
      </c>
      <c r="I13" s="22">
        <f t="shared" si="2"/>
        <v>2.4E-2</v>
      </c>
      <c r="J13" s="24">
        <f t="shared" si="3"/>
        <v>-5.9841414268381249E-4</v>
      </c>
      <c r="K13" s="22">
        <f t="shared" si="4"/>
        <v>0</v>
      </c>
      <c r="L13" s="22">
        <f t="shared" si="5"/>
        <v>0</v>
      </c>
      <c r="M13" s="231">
        <f t="shared" si="6"/>
        <v>-5.9841414268381249E-4</v>
      </c>
      <c r="N13" s="235">
        <v>6</v>
      </c>
      <c r="O13" s="2"/>
      <c r="P13" s="22"/>
      <c r="Q13" s="59" t="s">
        <v>76</v>
      </c>
      <c r="R13" s="228">
        <f>IF($B$68=0,0,(SUMIF($N$6:$N$20,$U13,K$6:K$20)+SUMIF($N$78:$N$100,$U13,K$78:K$100))*$I$70*Poor!$B$68/$B$68)</f>
        <v>8489.5999999999985</v>
      </c>
      <c r="S13" s="228">
        <f>IF($B$68=0,0,(SUMIF($N$6:$N$20,$U13,L$6:L$20)+SUMIF($N$78:$N$100,$U13,L$78:L$100))*$I$70*Poor!$B$68/$B$68)</f>
        <v>8243.9900000000016</v>
      </c>
      <c r="T13" s="228">
        <f>IF($B$68=0,0,(SUMIF($N$6:$N$20,$U13,M$6:M$20)+SUMIF($N$78:$N$100,$U13,M$78:M$100))*$I$70*Poor!$B$68/$B$68)</f>
        <v>8243.9900000000016</v>
      </c>
      <c r="U13" s="229">
        <v>7</v>
      </c>
      <c r="V13" s="56"/>
      <c r="W13" s="111"/>
      <c r="X13" s="119"/>
      <c r="Y13" s="185">
        <f t="shared" si="9"/>
        <v>-2.3936565707352499E-3</v>
      </c>
      <c r="Z13" s="157">
        <f>Poor!Z13</f>
        <v>1</v>
      </c>
      <c r="AA13" s="122">
        <f>$M13*Z13*4</f>
        <v>-2.3936565707352499E-3</v>
      </c>
      <c r="AB13" s="157">
        <f>Poor!AB13</f>
        <v>0</v>
      </c>
      <c r="AC13" s="122">
        <f>$M13*AB13*4</f>
        <v>0</v>
      </c>
      <c r="AD13" s="157">
        <f>Poor!AD13</f>
        <v>0</v>
      </c>
      <c r="AE13" s="122">
        <f>$M13*AD13*4</f>
        <v>0</v>
      </c>
      <c r="AF13" s="123">
        <f>1-SUM(Z13,AB13,AD13)</f>
        <v>0</v>
      </c>
      <c r="AG13" s="122">
        <f>$M13*AF13*4</f>
        <v>0</v>
      </c>
      <c r="AH13" s="124">
        <f t="shared" si="12"/>
        <v>1</v>
      </c>
      <c r="AI13" s="185">
        <f t="shared" si="13"/>
        <v>-5.9841414268381249E-4</v>
      </c>
      <c r="AJ13" s="121">
        <f t="shared" si="14"/>
        <v>-1.196828285367625E-3</v>
      </c>
      <c r="AK13" s="120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Land clearing, construction, herding, slaughtering</v>
      </c>
      <c r="B14" s="217">
        <f>IF([1]Summ!C1052="",0,[1]Summ!C1052)</f>
        <v>0</v>
      </c>
      <c r="C14" s="217">
        <f>IF([1]Summ!D1052="",0,[1]Summ!D1052)</f>
        <v>0</v>
      </c>
      <c r="D14" s="24">
        <f t="shared" si="0"/>
        <v>0</v>
      </c>
      <c r="E14" s="75">
        <f>Poor!E14</f>
        <v>0.87</v>
      </c>
      <c r="F14" s="22"/>
      <c r="H14" s="24">
        <f t="shared" si="1"/>
        <v>0.87</v>
      </c>
      <c r="I14" s="22">
        <f t="shared" si="2"/>
        <v>0</v>
      </c>
      <c r="J14" s="24">
        <f>IF(I$24&lt;=1+I113,I14,B14*H14+J$25*(I14-B14*H14))</f>
        <v>0</v>
      </c>
      <c r="K14" s="22">
        <f t="shared" si="4"/>
        <v>0</v>
      </c>
      <c r="L14" s="22">
        <f t="shared" si="5"/>
        <v>0</v>
      </c>
      <c r="M14" s="231">
        <f t="shared" si="6"/>
        <v>0</v>
      </c>
      <c r="N14" s="235">
        <v>7</v>
      </c>
      <c r="O14" s="2"/>
      <c r="P14" s="22"/>
      <c r="Q14" s="127" t="s">
        <v>77</v>
      </c>
      <c r="R14" s="228">
        <f>IF($B$68=0,0,(SUMIF($N$6:$N$20,$U14,K$6:K$20)+SUMIF($N$78:$N$100,$U14,K$78:K$100))*$I$70*Poor!$B$68/$B$68)</f>
        <v>0</v>
      </c>
      <c r="S14" s="228">
        <f>IF($B$68=0,0,(SUMIF($N$6:$N$20,$U14,L$6:L$20)+SUMIF($N$78:$N$100,$U14,L$78:L$100))*$I$70*Poor!$B$68/$B$68)</f>
        <v>0</v>
      </c>
      <c r="T14" s="228">
        <f>IF($B$68=0,0,(SUMIF($N$6:$N$20,$U14,M$6:M$20)+SUMIF($N$78:$N$100,$U14,M$78:M$100))*$I$70*Poor!$B$68/$B$68)</f>
        <v>0</v>
      </c>
      <c r="U14" s="229">
        <v>8</v>
      </c>
      <c r="V14" s="56"/>
      <c r="W14" s="111"/>
      <c r="X14" s="119"/>
      <c r="Y14" s="185">
        <f>M14*4</f>
        <v>0</v>
      </c>
      <c r="Z14" s="157">
        <f>Poor!Z14</f>
        <v>0</v>
      </c>
      <c r="AA14" s="122">
        <f t="shared" ref="AA14:AA21" si="16">$M14*Z14*4</f>
        <v>0</v>
      </c>
      <c r="AB14" s="157">
        <f>Poor!AB14</f>
        <v>1</v>
      </c>
      <c r="AC14" s="122">
        <f t="shared" si="7"/>
        <v>0</v>
      </c>
      <c r="AD14" s="157">
        <f>Poor!AD14</f>
        <v>0</v>
      </c>
      <c r="AE14" s="122">
        <f t="shared" si="8"/>
        <v>0</v>
      </c>
      <c r="AF14" s="123">
        <f t="shared" si="10"/>
        <v>0</v>
      </c>
      <c r="AG14" s="122">
        <f t="shared" si="11"/>
        <v>0</v>
      </c>
      <c r="AH14" s="129">
        <f>SUM(Z14,AB14,AD14,AF14)</f>
        <v>1</v>
      </c>
      <c r="AI14" s="185">
        <f>SUM(AA14,AC14,AE14,AG14)/4</f>
        <v>0</v>
      </c>
      <c r="AJ14" s="121">
        <f t="shared" si="14"/>
        <v>0</v>
      </c>
      <c r="AK14" s="120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Labour: Weeding</v>
      </c>
      <c r="B15" s="217">
        <f>IF([1]Summ!C1053="",0,[1]Summ!C1053)</f>
        <v>0</v>
      </c>
      <c r="C15" s="217">
        <f>IF([1]Summ!D1053="",0,[1]Summ!D1053)</f>
        <v>0</v>
      </c>
      <c r="D15" s="24">
        <f t="shared" si="0"/>
        <v>0</v>
      </c>
      <c r="E15" s="75">
        <f>Poor!E15</f>
        <v>0.87</v>
      </c>
      <c r="F15" s="22"/>
      <c r="H15" s="24">
        <f t="shared" si="1"/>
        <v>0.87</v>
      </c>
      <c r="I15" s="22">
        <f t="shared" si="2"/>
        <v>0</v>
      </c>
      <c r="J15" s="24">
        <f>IF(I$24&lt;=1+I113,I15,B15*H15+J$25*(I15-B15*H15))</f>
        <v>0</v>
      </c>
      <c r="K15" s="22">
        <f t="shared" si="4"/>
        <v>0</v>
      </c>
      <c r="L15" s="22">
        <f t="shared" si="5"/>
        <v>0</v>
      </c>
      <c r="M15" s="232">
        <f t="shared" si="6"/>
        <v>0</v>
      </c>
      <c r="N15" s="235">
        <v>7</v>
      </c>
      <c r="O15" s="2"/>
      <c r="P15" s="22"/>
      <c r="Q15" s="59" t="s">
        <v>128</v>
      </c>
      <c r="R15" s="228">
        <f>IF($B$68=0,0,(SUMIF($N$6:$N$20,$U15,K$6:K$20)+SUMIF($N$78:$N$100,$U15,K$78:K$100))*$I$70*Poor!$B$68/$B$68)</f>
        <v>0</v>
      </c>
      <c r="S15" s="228">
        <f>IF($B$68=0,0,(SUMIF($N$6:$N$20,$U15,L$6:L$20)+SUMIF($N$78:$N$100,$U15,L$78:L$100))*$I$70*Poor!$B$68/$B$68)</f>
        <v>0</v>
      </c>
      <c r="T15" s="228">
        <f>IF($B$68=0,0,(SUMIF($N$6:$N$20,$U15,M$6:M$20)+SUMIF($N$78:$N$100,$U15,M$78:M$100))*$I$70*Poor!$B$68/$B$68)</f>
        <v>0</v>
      </c>
      <c r="U15" s="229">
        <v>9</v>
      </c>
      <c r="V15" s="56"/>
      <c r="W15" s="111"/>
      <c r="X15" s="119"/>
      <c r="Y15" s="185">
        <f t="shared" si="9"/>
        <v>0</v>
      </c>
      <c r="Z15" s="157">
        <f>Poor!Z15</f>
        <v>0.25</v>
      </c>
      <c r="AA15" s="122">
        <f t="shared" si="16"/>
        <v>0</v>
      </c>
      <c r="AB15" s="157">
        <f>Poor!AB15</f>
        <v>0.25</v>
      </c>
      <c r="AC15" s="122">
        <f t="shared" si="7"/>
        <v>0</v>
      </c>
      <c r="AD15" s="157">
        <f>Poor!AD15</f>
        <v>0.25</v>
      </c>
      <c r="AE15" s="122">
        <f t="shared" si="8"/>
        <v>0</v>
      </c>
      <c r="AF15" s="123">
        <f t="shared" si="10"/>
        <v>0.25</v>
      </c>
      <c r="AG15" s="122">
        <f t="shared" si="11"/>
        <v>0</v>
      </c>
      <c r="AH15" s="124">
        <f t="shared" si="12"/>
        <v>1</v>
      </c>
      <c r="AI15" s="185">
        <f t="shared" si="13"/>
        <v>0</v>
      </c>
      <c r="AJ15" s="121">
        <f t="shared" si="14"/>
        <v>0</v>
      </c>
      <c r="AK15" s="120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cereal</v>
      </c>
      <c r="B16" s="217">
        <f>IF([1]Summ!C1054="",0,[1]Summ!C1054)</f>
        <v>1.8874221668742218E-2</v>
      </c>
      <c r="C16" s="217">
        <f>IF([1]Summ!D1054="",0,[1]Summ!D1054)</f>
        <v>0</v>
      </c>
      <c r="D16" s="24">
        <f t="shared" si="0"/>
        <v>1.8874221668742218E-2</v>
      </c>
      <c r="E16" s="75">
        <f>Poor!E16</f>
        <v>1</v>
      </c>
      <c r="F16" s="22"/>
      <c r="H16" s="24">
        <f t="shared" si="1"/>
        <v>1</v>
      </c>
      <c r="I16" s="22">
        <f t="shared" si="2"/>
        <v>1.8874221668742218E-2</v>
      </c>
      <c r="J16" s="24">
        <f>IF(I$24&lt;=1+I113,I16,B16*H16+J$25*(I16-B16*H16))</f>
        <v>1.8874221668742218E-2</v>
      </c>
      <c r="K16" s="22">
        <f t="shared" si="4"/>
        <v>1.8874221668742218E-2</v>
      </c>
      <c r="L16" s="22">
        <f t="shared" si="5"/>
        <v>1.8874221668742218E-2</v>
      </c>
      <c r="M16" s="230">
        <f t="shared" si="6"/>
        <v>1.8874221668742218E-2</v>
      </c>
      <c r="N16" s="235">
        <v>13</v>
      </c>
      <c r="O16" s="2"/>
      <c r="P16" s="22"/>
      <c r="Q16" s="127" t="s">
        <v>78</v>
      </c>
      <c r="R16" s="228">
        <f>IF($B$68=0,0,(SUMIF($N$6:$N$20,$U16,K$6:K$20)+SUMIF($N$78:$N$100,$U16,K$78:K$100))*$I$70*Poor!$B$68/$B$68)</f>
        <v>2567.0399999999995</v>
      </c>
      <c r="S16" s="228">
        <f>IF($B$68=0,0,(SUMIF($N$6:$N$20,$U16,L$6:L$20)+SUMIF($N$78:$N$100,$U16,L$78:L$100))*$I$70*Poor!$B$68/$B$68)</f>
        <v>2521.2000000000007</v>
      </c>
      <c r="T16" s="228">
        <f>IF($B$68=0,0,(SUMIF($N$6:$N$20,$U16,M$6:M$20)+SUMIF($N$78:$N$100,$U16,M$78:M$100))*$I$70*Poor!$B$68/$B$68)</f>
        <v>2508.6273188622135</v>
      </c>
      <c r="U16" s="229">
        <v>10</v>
      </c>
      <c r="V16" s="56"/>
      <c r="W16" s="111"/>
      <c r="X16" s="119"/>
      <c r="Y16" s="185">
        <f t="shared" si="9"/>
        <v>7.5496886674968872E-2</v>
      </c>
      <c r="Z16" s="157">
        <f>Poor!Z16</f>
        <v>0</v>
      </c>
      <c r="AA16" s="122">
        <f t="shared" si="16"/>
        <v>0</v>
      </c>
      <c r="AB16" s="157">
        <f>Poor!AB16</f>
        <v>0</v>
      </c>
      <c r="AC16" s="122">
        <f t="shared" si="7"/>
        <v>0</v>
      </c>
      <c r="AD16" s="157">
        <f>Poor!AD16</f>
        <v>0</v>
      </c>
      <c r="AE16" s="122">
        <f t="shared" si="8"/>
        <v>0</v>
      </c>
      <c r="AF16" s="123">
        <f t="shared" si="10"/>
        <v>1</v>
      </c>
      <c r="AG16" s="122">
        <f t="shared" si="11"/>
        <v>7.5496886674968872E-2</v>
      </c>
      <c r="AH16" s="124">
        <f t="shared" si="12"/>
        <v>1</v>
      </c>
      <c r="AI16" s="185">
        <f t="shared" si="13"/>
        <v>1.8874221668742218E-2</v>
      </c>
      <c r="AJ16" s="121">
        <f t="shared" si="14"/>
        <v>0</v>
      </c>
      <c r="AK16" s="120">
        <f t="shared" si="15"/>
        <v>3.7748443337484436E-2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Gifts/remittances: sugar</v>
      </c>
      <c r="B17" s="217">
        <f>IF([1]Summ!C1055="",0,[1]Summ!C1055)</f>
        <v>5.2139476961394777E-3</v>
      </c>
      <c r="C17" s="217">
        <f>IF([1]Summ!D1055="",0,[1]Summ!D1055)</f>
        <v>0</v>
      </c>
      <c r="D17" s="24">
        <f t="shared" si="0"/>
        <v>5.2139476961394777E-3</v>
      </c>
      <c r="E17" s="75">
        <f>Poor!E17</f>
        <v>1</v>
      </c>
      <c r="F17" s="22"/>
      <c r="H17" s="24">
        <f t="shared" si="1"/>
        <v>1</v>
      </c>
      <c r="I17" s="22">
        <f t="shared" si="2"/>
        <v>5.2139476961394777E-3</v>
      </c>
      <c r="J17" s="24">
        <f>IF(I$24&lt;=1+I113,I17,B17*H17+J$25*(I17-B17*H17))</f>
        <v>5.2139476961394777E-3</v>
      </c>
      <c r="K17" s="22">
        <f t="shared" si="4"/>
        <v>5.2139476961394777E-3</v>
      </c>
      <c r="L17" s="22">
        <f t="shared" si="5"/>
        <v>5.2139476961394777E-3</v>
      </c>
      <c r="M17" s="231">
        <f t="shared" si="6"/>
        <v>5.2139476961394777E-3</v>
      </c>
      <c r="N17" s="235">
        <v>13</v>
      </c>
      <c r="O17" s="2"/>
      <c r="P17" s="22"/>
      <c r="Q17" s="127" t="s">
        <v>125</v>
      </c>
      <c r="R17" s="228">
        <f>IF($B$68=0,0,(SUMIF($N$6:$N$20,$U17,K$6:K$20)+SUMIF($N$78:$N$100,$U17,K$78:K$100))*$I$70*Poor!$B$68/$B$68)</f>
        <v>0</v>
      </c>
      <c r="S17" s="228">
        <f>IF($B$68=0,0,(SUMIF($N$6:$N$20,$U17,L$6:L$20)+SUMIF($N$78:$N$100,$U17,L$78:L$100))*$I$70*Poor!$B$68/$B$68)</f>
        <v>0</v>
      </c>
      <c r="T17" s="228">
        <f>IF($B$68=0,0,(SUMIF($N$6:$N$20,$U17,M$6:M$20)+SUMIF($N$78:$N$100,$U17,M$78:M$100))*$I$70*Poor!$B$68/$B$68)</f>
        <v>0</v>
      </c>
      <c r="U17" s="229">
        <v>11</v>
      </c>
      <c r="V17" s="56"/>
      <c r="W17" s="111"/>
      <c r="X17" s="119"/>
      <c r="Y17" s="185">
        <f t="shared" si="9"/>
        <v>2.0855790784557911E-2</v>
      </c>
      <c r="Z17" s="157">
        <f>Poor!Z17</f>
        <v>0.29409999999999997</v>
      </c>
      <c r="AA17" s="122">
        <f t="shared" si="16"/>
        <v>6.1336880697384806E-3</v>
      </c>
      <c r="AB17" s="157">
        <f>Poor!AB17</f>
        <v>0.17649999999999999</v>
      </c>
      <c r="AC17" s="122">
        <f t="shared" si="7"/>
        <v>3.6810470734744711E-3</v>
      </c>
      <c r="AD17" s="157">
        <f>Poor!AD17</f>
        <v>0.23530000000000001</v>
      </c>
      <c r="AE17" s="122">
        <f t="shared" si="8"/>
        <v>4.9073675716064767E-3</v>
      </c>
      <c r="AF17" s="123">
        <f t="shared" si="10"/>
        <v>0.29410000000000003</v>
      </c>
      <c r="AG17" s="122">
        <f t="shared" si="11"/>
        <v>6.1336880697384823E-3</v>
      </c>
      <c r="AH17" s="124">
        <f t="shared" si="12"/>
        <v>1</v>
      </c>
      <c r="AI17" s="185">
        <f t="shared" si="13"/>
        <v>5.2139476961394777E-3</v>
      </c>
      <c r="AJ17" s="121">
        <f t="shared" si="14"/>
        <v>4.9073675716064758E-3</v>
      </c>
      <c r="AK17" s="120">
        <f t="shared" si="15"/>
        <v>5.5205278206724795E-3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Food aid</v>
      </c>
      <c r="B18" s="217">
        <f>IF([1]Summ!C1056="",0,[1]Summ!C1056)</f>
        <v>0.10671724584395817</v>
      </c>
      <c r="C18" s="217">
        <f>IF([1]Summ!D1056="",0,[1]Summ!D1056)</f>
        <v>0</v>
      </c>
      <c r="D18" s="24">
        <f t="shared" si="0"/>
        <v>0.10671724584395817</v>
      </c>
      <c r="E18" s="75">
        <f>Poor!E18</f>
        <v>1</v>
      </c>
      <c r="F18" s="22"/>
      <c r="H18" s="24">
        <f t="shared" si="1"/>
        <v>1</v>
      </c>
      <c r="I18" s="22">
        <f t="shared" si="2"/>
        <v>0.10671724584395817</v>
      </c>
      <c r="J18" s="24">
        <f>IF(I$24&lt;=1+I113,I18,B18*H18+J$25*(I18-B18*H18))</f>
        <v>0.10671724584395817</v>
      </c>
      <c r="K18" s="22">
        <f t="shared" si="4"/>
        <v>0.10671724584395817</v>
      </c>
      <c r="L18" s="22">
        <f t="shared" si="5"/>
        <v>0.10671724584395817</v>
      </c>
      <c r="M18" s="230">
        <f t="shared" si="6"/>
        <v>0.10671724584395817</v>
      </c>
      <c r="N18" s="235"/>
      <c r="O18" s="2"/>
      <c r="P18" s="22"/>
      <c r="Q18" s="59" t="s">
        <v>79</v>
      </c>
      <c r="R18" s="228">
        <f>IF($B$68=0,0,(SUMIF($N$6:$N$20,$U18,K$6:K$20)+SUMIF($N$78:$N$100,$U18,K$78:K$100))*$I$70*Poor!$B$68/$B$68)</f>
        <v>0</v>
      </c>
      <c r="S18" s="228">
        <f>IF($B$68=0,0,(SUMIF($N$6:$N$20,$U18,L$6:L$20)+SUMIF($N$78:$N$100,$U18,L$78:L$100))*$I$70*Poor!$B$68/$B$68)</f>
        <v>0</v>
      </c>
      <c r="T18" s="228">
        <f>IF($B$68=0,0,(SUMIF($N$6:$N$20,$U18,M$6:M$20)+SUMIF($N$78:$N$100,$U18,M$78:M$100))*$I$70*Poor!$B$68/$B$68)</f>
        <v>0</v>
      </c>
      <c r="U18" s="229">
        <v>12</v>
      </c>
      <c r="V18" s="56"/>
      <c r="W18" s="111"/>
      <c r="X18" s="119"/>
      <c r="Y18" s="185">
        <f t="shared" si="9"/>
        <v>0.42686898337583268</v>
      </c>
      <c r="Z18" s="157">
        <f>Poor!Z18</f>
        <v>0.25</v>
      </c>
      <c r="AA18" s="122">
        <f t="shared" si="16"/>
        <v>0.10671724584395817</v>
      </c>
      <c r="AB18" s="157">
        <f>Poor!AB18</f>
        <v>0.25</v>
      </c>
      <c r="AC18" s="122">
        <f t="shared" si="7"/>
        <v>0.10671724584395817</v>
      </c>
      <c r="AD18" s="157">
        <f>Poor!AD18</f>
        <v>0.25</v>
      </c>
      <c r="AE18" s="122">
        <f t="shared" si="8"/>
        <v>0.10671724584395817</v>
      </c>
      <c r="AF18" s="123">
        <f t="shared" si="10"/>
        <v>0.25</v>
      </c>
      <c r="AG18" s="122">
        <f t="shared" si="11"/>
        <v>0.10671724584395817</v>
      </c>
      <c r="AH18" s="124">
        <f t="shared" si="12"/>
        <v>1</v>
      </c>
      <c r="AI18" s="185">
        <f t="shared" si="13"/>
        <v>0.10671724584395817</v>
      </c>
      <c r="AJ18" s="121">
        <f t="shared" si="14"/>
        <v>0.10671724584395817</v>
      </c>
      <c r="AK18" s="120">
        <f t="shared" si="15"/>
        <v>0.10671724584395817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Purchase - other</v>
      </c>
      <c r="B19" s="217">
        <f>IF([1]Summ!C1057="",0,[1]Summ!C1057)</f>
        <v>0</v>
      </c>
      <c r="C19" s="217">
        <f>IF([1]Summ!D1057="",0,[1]Summ!D1057)</f>
        <v>0</v>
      </c>
      <c r="D19" s="24">
        <f t="shared" si="0"/>
        <v>0</v>
      </c>
      <c r="E19" s="75">
        <f>Poor!E19</f>
        <v>1</v>
      </c>
      <c r="F19" s="22"/>
      <c r="H19" s="24">
        <f t="shared" si="1"/>
        <v>1</v>
      </c>
      <c r="I19" s="22">
        <f t="shared" si="2"/>
        <v>0</v>
      </c>
      <c r="J19" s="24">
        <f>IF(I$24&lt;=1+I113,I19,B19*H19+J$25*(I19-B19*H19))</f>
        <v>0</v>
      </c>
      <c r="K19" s="22">
        <f t="shared" si="4"/>
        <v>0</v>
      </c>
      <c r="L19" s="22">
        <f t="shared" si="5"/>
        <v>0</v>
      </c>
      <c r="M19" s="232">
        <f t="shared" si="6"/>
        <v>0</v>
      </c>
      <c r="N19" s="235"/>
      <c r="O19" s="2"/>
      <c r="P19" s="22"/>
      <c r="Q19" s="59" t="s">
        <v>80</v>
      </c>
      <c r="R19" s="228">
        <f>IF($B$68=0,0,(SUMIF($N$6:$N$20,$U19,K$6:K$20)+SUMIF($N$78:$N$100,$U19,K$78:K$100))*$I$70*Poor!$B$68/$B$68)</f>
        <v>171.52515641107254</v>
      </c>
      <c r="S19" s="228">
        <f>IF($B$68=0,0,(SUMIF($N$6:$N$20,$U19,L$6:L$20)+SUMIF($N$78:$N$100,$U19,L$78:L$100))*$I$70*Poor!$B$68/$B$68)</f>
        <v>171.52515641107254</v>
      </c>
      <c r="T19" s="228">
        <f>IF($B$68=0,0,(SUMIF($N$6:$N$20,$U19,M$6:M$20)+SUMIF($N$78:$N$100,$U19,M$78:M$100))*$I$70*Poor!$B$68/$B$68)</f>
        <v>171.52515641107254</v>
      </c>
      <c r="U19" s="229">
        <v>13</v>
      </c>
      <c r="V19" s="56"/>
      <c r="W19" s="111"/>
      <c r="X19" s="119"/>
      <c r="Y19" s="185">
        <f t="shared" si="9"/>
        <v>0</v>
      </c>
      <c r="Z19" s="157">
        <f>Poor!Z19</f>
        <v>0.25</v>
      </c>
      <c r="AA19" s="122">
        <f t="shared" si="16"/>
        <v>0</v>
      </c>
      <c r="AB19" s="157">
        <f>Poor!AB19</f>
        <v>0.25</v>
      </c>
      <c r="AC19" s="122">
        <f t="shared" si="7"/>
        <v>0</v>
      </c>
      <c r="AD19" s="157">
        <f>Poor!AD19</f>
        <v>0.25</v>
      </c>
      <c r="AE19" s="122">
        <f t="shared" si="8"/>
        <v>0</v>
      </c>
      <c r="AF19" s="123">
        <f t="shared" si="10"/>
        <v>0.25</v>
      </c>
      <c r="AG19" s="122">
        <f t="shared" si="11"/>
        <v>0</v>
      </c>
      <c r="AH19" s="124">
        <f t="shared" si="12"/>
        <v>1</v>
      </c>
      <c r="AI19" s="185">
        <f t="shared" si="13"/>
        <v>0</v>
      </c>
      <c r="AJ19" s="121">
        <f t="shared" si="14"/>
        <v>0</v>
      </c>
      <c r="AK19" s="120">
        <f t="shared" si="15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Purchase - desirable</v>
      </c>
      <c r="B20" s="217">
        <f>IF([1]Summ!C1058="",0,[1]Summ!C1058)</f>
        <v>0</v>
      </c>
      <c r="C20" s="217">
        <f>IF([1]Summ!D1058="",0,[1]Summ!D1058)</f>
        <v>0</v>
      </c>
      <c r="D20" s="24">
        <f t="shared" si="0"/>
        <v>0</v>
      </c>
      <c r="E20" s="75">
        <f>Poor!E20</f>
        <v>1</v>
      </c>
      <c r="F20" s="22"/>
      <c r="H20" s="24">
        <f t="shared" si="1"/>
        <v>1</v>
      </c>
      <c r="I20" s="22">
        <f t="shared" si="2"/>
        <v>0</v>
      </c>
      <c r="J20" s="24">
        <f>IF(I$24&lt;=1+I113,I20,B20*H20+J$25*(I20-B20*H20))</f>
        <v>0</v>
      </c>
      <c r="K20" s="22">
        <f t="shared" si="4"/>
        <v>0</v>
      </c>
      <c r="L20" s="22">
        <f t="shared" si="5"/>
        <v>0</v>
      </c>
      <c r="M20" s="230">
        <f t="shared" si="6"/>
        <v>0</v>
      </c>
      <c r="N20" s="235">
        <v>12</v>
      </c>
      <c r="O20" s="2"/>
      <c r="P20" s="22"/>
      <c r="Q20" s="59" t="s">
        <v>81</v>
      </c>
      <c r="R20" s="228">
        <f>IF($B$68=0,0,(SUMIF($N$6:$N$20,$U20,K$6:K$20)+SUMIF($N$78:$N$100,$U20,K$78:K$100))*$I$70*Poor!$B$68/$B$68)</f>
        <v>18197.817647058822</v>
      </c>
      <c r="S20" s="228">
        <f>IF($B$68=0,0,(SUMIF($N$6:$N$20,$U20,L$6:L$20)+SUMIF($N$78:$N$100,$U20,L$78:L$100))*$I$70*Poor!$B$68/$B$68)</f>
        <v>18035.337132352943</v>
      </c>
      <c r="T20" s="228">
        <f>IF($B$68=0,0,(SUMIF($N$6:$N$20,$U20,M$6:M$20)+SUMIF($N$78:$N$100,$U20,M$78:M$100))*$I$70*Poor!$B$68/$B$68)</f>
        <v>18035.337132352943</v>
      </c>
      <c r="U20" s="229">
        <v>14</v>
      </c>
      <c r="V20" s="56"/>
      <c r="W20" s="111"/>
      <c r="X20" s="119"/>
      <c r="Y20" s="185">
        <f t="shared" si="9"/>
        <v>0</v>
      </c>
      <c r="Z20" s="157">
        <f>Poor!Z20</f>
        <v>0</v>
      </c>
      <c r="AA20" s="122">
        <f t="shared" si="16"/>
        <v>0</v>
      </c>
      <c r="AB20" s="157">
        <f>Poor!AB20</f>
        <v>0</v>
      </c>
      <c r="AC20" s="122">
        <f t="shared" si="7"/>
        <v>0</v>
      </c>
      <c r="AD20" s="157">
        <f>Poor!AD20</f>
        <v>0.5</v>
      </c>
      <c r="AE20" s="122">
        <f t="shared" si="8"/>
        <v>0</v>
      </c>
      <c r="AF20" s="123">
        <f t="shared" si="10"/>
        <v>0.5</v>
      </c>
      <c r="AG20" s="122">
        <f t="shared" si="11"/>
        <v>0</v>
      </c>
      <c r="AH20" s="124">
        <f t="shared" si="12"/>
        <v>1</v>
      </c>
      <c r="AI20" s="185">
        <f t="shared" si="13"/>
        <v>0</v>
      </c>
      <c r="AJ20" s="121">
        <f t="shared" si="14"/>
        <v>0</v>
      </c>
      <c r="AK20" s="120">
        <f t="shared" si="15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Purchase - fpl non staple</v>
      </c>
      <c r="B21" s="217">
        <f>IF([1]Summ!C1059="",0,[1]Summ!C1059)</f>
        <v>3.2521046077210465E-2</v>
      </c>
      <c r="C21" s="217">
        <f>IF([1]Summ!D1059="",0,[1]Summ!D1059)</f>
        <v>0.34167699219310266</v>
      </c>
      <c r="D21" s="24">
        <f>(B21+C21)</f>
        <v>0.37419803827031312</v>
      </c>
      <c r="E21" s="75">
        <f>Poor!E21</f>
        <v>1</v>
      </c>
      <c r="F21" s="22"/>
      <c r="H21" s="24">
        <f t="shared" si="1"/>
        <v>1</v>
      </c>
      <c r="I21" s="22">
        <f t="shared" si="2"/>
        <v>0.37419803827031312</v>
      </c>
      <c r="J21" s="24">
        <f>IF(I$24&lt;=1+I113,I21,B21*H21+J$25*(I21-B21*H21))</f>
        <v>2.4001698395626332E-2</v>
      </c>
      <c r="K21" s="22">
        <f t="shared" si="4"/>
        <v>3.2521046077210465E-2</v>
      </c>
      <c r="L21" s="22">
        <f t="shared" si="5"/>
        <v>3.2521046077210465E-2</v>
      </c>
      <c r="M21" s="230">
        <f t="shared" si="6"/>
        <v>2.4001698395626332E-2</v>
      </c>
      <c r="N21" s="235"/>
      <c r="P21" s="22"/>
      <c r="Q21" s="59" t="s">
        <v>82</v>
      </c>
      <c r="R21" s="228">
        <f>IF($B$68=0,0,(SUMIF($N$6:$N$20,$U21,K$6:K$20)+SUMIF($N$78:$N$100,$U21,K$78:K$100))*$I$70*Poor!$B$68/$B$68)</f>
        <v>0</v>
      </c>
      <c r="S21" s="228">
        <f>IF($B$68=0,0,(SUMIF($N$6:$N$20,$U21,L$6:L$20)+SUMIF($N$78:$N$100,$U21,L$78:L$100))*$I$70*Poor!$B$68/$B$68)</f>
        <v>0</v>
      </c>
      <c r="T21" s="228">
        <f>IF($B$68=0,0,(SUMIF($N$6:$N$20,$U21,M$6:M$20)+SUMIF($N$78:$N$100,$U21,M$78:M$100))*$I$70*Poor!$B$68/$B$68)</f>
        <v>0</v>
      </c>
      <c r="U21" s="229">
        <v>15</v>
      </c>
      <c r="V21" s="56"/>
      <c r="W21" s="111"/>
      <c r="X21" s="119"/>
      <c r="Y21" s="185">
        <f t="shared" si="9"/>
        <v>9.6006793582505329E-2</v>
      </c>
      <c r="Z21" s="157">
        <f>Poor!Z21</f>
        <v>0.25</v>
      </c>
      <c r="AA21" s="122">
        <f t="shared" si="16"/>
        <v>2.4001698395626332E-2</v>
      </c>
      <c r="AB21" s="157">
        <f>Poor!AB21</f>
        <v>0.25</v>
      </c>
      <c r="AC21" s="122">
        <f t="shared" si="7"/>
        <v>2.4001698395626332E-2</v>
      </c>
      <c r="AD21" s="157">
        <f>Poor!AD21</f>
        <v>0.25</v>
      </c>
      <c r="AE21" s="122">
        <f t="shared" si="8"/>
        <v>2.4001698395626332E-2</v>
      </c>
      <c r="AF21" s="123">
        <f t="shared" si="10"/>
        <v>0.25</v>
      </c>
      <c r="AG21" s="122">
        <f t="shared" si="11"/>
        <v>2.4001698395626332E-2</v>
      </c>
      <c r="AH21" s="124">
        <f t="shared" si="12"/>
        <v>1</v>
      </c>
      <c r="AI21" s="185">
        <f t="shared" si="13"/>
        <v>2.4001698395626332E-2</v>
      </c>
      <c r="AJ21" s="121">
        <f t="shared" si="14"/>
        <v>2.4001698395626332E-2</v>
      </c>
      <c r="AK21" s="120">
        <f t="shared" si="15"/>
        <v>2.4001698395626332E-2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 thickBot="1">
      <c r="A22" s="94" t="s">
        <v>56</v>
      </c>
      <c r="B22" s="217">
        <f>IF([1]Summ!C1060="",0,[1]Summ!C1060)</f>
        <v>0.75497962640099636</v>
      </c>
      <c r="C22" s="104"/>
      <c r="D22" s="24">
        <f>(D101-B106)</f>
        <v>1.8881448668016461</v>
      </c>
      <c r="E22" s="75">
        <f>Poor!E22</f>
        <v>1</v>
      </c>
      <c r="H22" s="97">
        <f>(E22*F$7/F$9)</f>
        <v>1</v>
      </c>
      <c r="I22" s="29">
        <f>IF(E22&gt;=1,I101-I106,MIN(I101-I106,B22*H22))</f>
        <v>1.74636442997679</v>
      </c>
      <c r="J22" s="237">
        <f>IF(I$24&lt;=$B$24,I22,$B$24-SUM(J6:J21))</f>
        <v>0.76409738822526441</v>
      </c>
      <c r="K22" s="22">
        <f t="shared" si="4"/>
        <v>0.75497962640099636</v>
      </c>
      <c r="L22" s="22">
        <f>IF(L106=L101,0,IF(K22="",0,(L101-L106)/(B101-B106)*K22))</f>
        <v>0.70750059963793421</v>
      </c>
      <c r="M22" s="176">
        <f t="shared" si="6"/>
        <v>0.76409738822526441</v>
      </c>
      <c r="N22" s="167" t="s">
        <v>86</v>
      </c>
      <c r="O22" s="2"/>
      <c r="P22" s="22"/>
      <c r="Q22" s="59" t="s">
        <v>83</v>
      </c>
      <c r="R22" s="228">
        <f>IF($B$68=0,0,(SUMIF($N$6:$N$20,$U22,K$6:K$20)+SUMIF($N$78:$N$100,$U22,K$78:K$100))*$I$70*Poor!$B$68/$B$68)</f>
        <v>0</v>
      </c>
      <c r="S22" s="228">
        <f>IF($B$68=0,0,(SUMIF($N$6:$N$20,$U22,L$6:L$20)+SUMIF($N$78:$N$100,$U22,L$78:L$100))*$I$70*Poor!$B$68/$B$68)</f>
        <v>0</v>
      </c>
      <c r="T22" s="228">
        <f>IF($B$68=0,0,(SUMIF($N$6:$N$20,$U22,M$6:M$20)+SUMIF($N$78:$N$100,$U22,M$78:M$100))*$I$70*Poor!$B$68/$B$68)</f>
        <v>0</v>
      </c>
      <c r="U22" s="229">
        <v>16</v>
      </c>
      <c r="V22" s="56"/>
      <c r="W22" s="111"/>
      <c r="X22" s="119"/>
      <c r="Y22" s="185">
        <f>M22*4</f>
        <v>3.0563895529010576</v>
      </c>
      <c r="Z22" s="123">
        <f>IF($Y22=0,0,AA22/($Y$22))</f>
        <v>0.11805788530215927</v>
      </c>
      <c r="AA22" s="189">
        <f>IF(AA66*4/$I$70+SUM(AA6:AA21)&lt;1,AA66*4/$I$70,1-SUM(AA6:AA21))</f>
        <v>0.36083088727511092</v>
      </c>
      <c r="AB22" s="123">
        <f>IF($Y22=0,0,AC22/($Y$22))</f>
        <v>0.28320997494096672</v>
      </c>
      <c r="AC22" s="189">
        <f>IF(AC66*4/$I$70+SUM(AC6:AC21)&lt;1,AC66*4/$I$70,1-SUM(AC6:AC21))</f>
        <v>0.86560000868694109</v>
      </c>
      <c r="AD22" s="123">
        <f>IF($Y22=0,0,AE22/($Y$22))</f>
        <v>0.24561352919310939</v>
      </c>
      <c r="AE22" s="189">
        <f>IF(AE66*4/$I$70+SUM(AE6:AE21)&lt;1,AE66*4/$I$70,1-SUM(AE6:AE21))</f>
        <v>0.75069062467697845</v>
      </c>
      <c r="AF22" s="123">
        <f>IF($Y22=0,0,AG22/($Y$22))</f>
        <v>0.23938615077266692</v>
      </c>
      <c r="AG22" s="189">
        <f>IF(AG66*4/$I$70+SUM(AG6:AG21)&lt;1,AG66*4/$I$70,1-SUM(AG6:AG21))</f>
        <v>0.73165733033077662</v>
      </c>
      <c r="AH22" s="124">
        <f t="shared" si="12"/>
        <v>0.8862675402089023</v>
      </c>
      <c r="AI22" s="185">
        <f t="shared" si="13"/>
        <v>0.6771947127424518</v>
      </c>
      <c r="AJ22" s="121">
        <f t="shared" si="14"/>
        <v>0.61321544798102601</v>
      </c>
      <c r="AK22" s="120">
        <f t="shared" si="15"/>
        <v>0.74117397750387748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95" t="s">
        <v>57</v>
      </c>
      <c r="B23" s="217" t="str">
        <f>IF(1-$B$24&gt;0,1-$B$24,"")</f>
        <v/>
      </c>
      <c r="C23" s="77"/>
      <c r="D23" s="24"/>
      <c r="E23" s="22"/>
      <c r="F23" s="22"/>
      <c r="H23" s="24"/>
      <c r="I23" s="22"/>
      <c r="J23" s="238">
        <f>($B$24-SUM(J6:J22))</f>
        <v>0</v>
      </c>
      <c r="K23" s="22" t="str">
        <f t="shared" si="4"/>
        <v/>
      </c>
      <c r="L23" s="22">
        <f>(1-SUM(L6:L22))</f>
        <v>-3.9423648719750348E-2</v>
      </c>
      <c r="M23" s="179">
        <f t="shared" si="6"/>
        <v>0</v>
      </c>
      <c r="N23" s="168">
        <f>M23*I70</f>
        <v>0</v>
      </c>
      <c r="P23" s="22"/>
      <c r="Q23" s="172" t="s">
        <v>100</v>
      </c>
      <c r="R23" s="180">
        <f>SUM(R7:R22)</f>
        <v>30626.512227436931</v>
      </c>
      <c r="S23" s="180">
        <f>SUM(S7:S22)</f>
        <v>30172.581712731058</v>
      </c>
      <c r="T23" s="180">
        <f>SUM(T7:T22)</f>
        <v>30140.787537303208</v>
      </c>
      <c r="U23" s="56"/>
      <c r="V23" s="56"/>
      <c r="W23" s="130" t="s">
        <v>84</v>
      </c>
      <c r="X23" s="131"/>
      <c r="Y23" s="122">
        <f>M23*4</f>
        <v>0</v>
      </c>
      <c r="Z23" s="132"/>
      <c r="AA23" s="133">
        <f>1-AA24+IF($Y24&lt;0,$Y24/4,0)</f>
        <v>0</v>
      </c>
      <c r="AB23" s="132"/>
      <c r="AC23" s="134">
        <f>1-AC24+IF($Y24&lt;0,$Y24/4,0)</f>
        <v>0</v>
      </c>
      <c r="AD23" s="135"/>
      <c r="AE23" s="134">
        <f>1-AE24+IF($Y24&lt;0,$Y24/4,0)</f>
        <v>0</v>
      </c>
      <c r="AF23" s="135"/>
      <c r="AG23" s="134">
        <f>1-AG24+IF($Y24&lt;0,$Y24/4,0)</f>
        <v>0</v>
      </c>
      <c r="AH23" s="124"/>
      <c r="AI23" s="184">
        <f>SUM(AA23,AC23,AE23,AG23)/4</f>
        <v>0</v>
      </c>
      <c r="AJ23" s="136">
        <f t="shared" si="14"/>
        <v>0</v>
      </c>
      <c r="AK23" s="137">
        <f t="shared" si="15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>
      <c r="A24" s="22" t="s">
        <v>24</v>
      </c>
      <c r="B24" s="223">
        <f>SUM(B6:B22)</f>
        <v>1.0869026754828126</v>
      </c>
      <c r="C24" s="77">
        <f>SUM(C6:C23)</f>
        <v>0.37167699219310268</v>
      </c>
      <c r="D24" s="24">
        <f>SUM(D6:D22)</f>
        <v>2.5917449080765649</v>
      </c>
      <c r="E24" s="2"/>
      <c r="F24" s="2"/>
      <c r="H24" s="17"/>
      <c r="I24" s="22">
        <f>SUM(I6:I22)</f>
        <v>2.443964471251709</v>
      </c>
      <c r="J24" s="17"/>
      <c r="L24" s="22">
        <f>SUM(L6:L22)</f>
        <v>1.0394236487197503</v>
      </c>
      <c r="M24" s="23"/>
      <c r="N24" s="56"/>
      <c r="O24" s="2"/>
      <c r="P24" s="22"/>
      <c r="Q24" s="59" t="s">
        <v>137</v>
      </c>
      <c r="R24" s="41">
        <f>IF($B$68=0,0,($B$106*$H$106)+1-($D$21*$H$21)-($D$20*$H$20))*$I$70*Poor!$B$68/$B$68</f>
        <v>21925.553364673353</v>
      </c>
      <c r="S24" s="41">
        <f>IF($B$68=0,0,($B$106*($H$106)+1-($D$21*$H$21)-($D$20*$H$20))*$I$70*Poor!$B$68/$B$68)</f>
        <v>21925.553364673353</v>
      </c>
      <c r="T24" s="41">
        <f>IF($B$68=0,0,($B$106*($H$106)+1-($D$21*$H$21)-($D$20*$H$20))*$I$70*Poor!$B$68/$B$68)</f>
        <v>21925.553364673353</v>
      </c>
      <c r="U24" s="56"/>
      <c r="V24" s="56"/>
      <c r="W24" s="111"/>
      <c r="X24" s="119"/>
      <c r="Y24" s="116">
        <f>SUM(Y6:Y23)</f>
        <v>4.3476107019312504</v>
      </c>
      <c r="Z24" s="138"/>
      <c r="AA24" s="139">
        <f>SUM(AA6:AA22)</f>
        <v>1</v>
      </c>
      <c r="AB24" s="138"/>
      <c r="AC24" s="140">
        <f>SUM(AC6:AC22)</f>
        <v>1</v>
      </c>
      <c r="AD24" s="138"/>
      <c r="AE24" s="140">
        <f>SUM(AE6:AE22)</f>
        <v>1</v>
      </c>
      <c r="AF24" s="138"/>
      <c r="AG24" s="140">
        <f>SUM(AG6:AG22)</f>
        <v>1</v>
      </c>
      <c r="AH24" s="128"/>
      <c r="AI24" s="111"/>
      <c r="AJ24" s="141">
        <f>SUM(AJ6:AJ23)</f>
        <v>1</v>
      </c>
      <c r="AK24" s="142">
        <f>SUM(AK6:AK23)</f>
        <v>1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</row>
    <row r="25" spans="1:89" ht="14" customHeight="1" thickBot="1">
      <c r="A25" s="11"/>
      <c r="B25" s="11"/>
      <c r="C25" s="11"/>
      <c r="D25" s="10"/>
      <c r="E25" s="11"/>
      <c r="F25" s="11"/>
      <c r="G25" s="11"/>
      <c r="H25" s="10"/>
      <c r="I25" s="98" t="s">
        <v>25</v>
      </c>
      <c r="J25" s="99">
        <f>(1+K109*H109-L24-L109)/(I24-L24-L109)</f>
        <v>-2.4933922611825518E-2</v>
      </c>
      <c r="K25" s="14"/>
      <c r="L25" s="11"/>
      <c r="M25" s="30"/>
      <c r="N25" s="169" t="s">
        <v>87</v>
      </c>
      <c r="O25" s="2"/>
      <c r="P25" s="2"/>
      <c r="Q25" s="143" t="s">
        <v>138</v>
      </c>
      <c r="R25" s="41">
        <f>IF($B$68=0,0,($B$57+$B$58+((1-$D$21)*$B$70))*$H$71*Poor!$B$68/$B$68)</f>
        <v>35197.146827147968</v>
      </c>
      <c r="S25" s="41">
        <f>IF($B$68=0,0,(($B$57*$H$57)+($B$58*$H$58)+((1-($D$21*$H$21))*$I$70))*Poor!$B$68/$B$68)</f>
        <v>34894.793364673351</v>
      </c>
      <c r="T25" s="41">
        <f>IF($B$68=0,0,(($B$57*$H$57)+($B$58*$H$58)+((1-($D$21*$H$21))*$I$70))*Poor!$B$68/$B$68)</f>
        <v>34894.793364673351</v>
      </c>
      <c r="U25" s="56"/>
      <c r="V25" s="56"/>
      <c r="W25" s="111"/>
      <c r="X25" s="119"/>
      <c r="Y25" s="111"/>
      <c r="Z25" s="144"/>
      <c r="AA25" s="145"/>
      <c r="AB25" s="144"/>
      <c r="AC25" s="145"/>
      <c r="AD25" s="144"/>
      <c r="AE25" s="145"/>
      <c r="AF25" s="144"/>
      <c r="AG25" s="145"/>
      <c r="AH25" s="111"/>
      <c r="AI25" s="111"/>
      <c r="AJ25" s="144"/>
      <c r="AK25" s="145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</row>
    <row r="26" spans="1:89" ht="15.75" customHeight="1" thickBot="1">
      <c r="A26" s="73" t="s">
        <v>53</v>
      </c>
      <c r="B26" s="2"/>
      <c r="C26" s="2"/>
      <c r="D26" s="31"/>
      <c r="E26" s="32"/>
      <c r="F26" s="32"/>
      <c r="G26" s="32"/>
      <c r="H26" s="31"/>
      <c r="I26" s="2"/>
      <c r="J26" s="33"/>
      <c r="K26" s="34" t="s">
        <v>27</v>
      </c>
      <c r="L26" s="35"/>
      <c r="M26" s="36"/>
      <c r="N26" s="170">
        <f>-(M64*B63)</f>
        <v>0</v>
      </c>
      <c r="O26" s="2"/>
      <c r="P26" s="2"/>
      <c r="Q26" s="59" t="s">
        <v>139</v>
      </c>
      <c r="R26" s="41">
        <f>IF($B$68=0,0,($B$57+$B$58+$B$59+((1-$D$21)*$B$70))*$H$71*Poor!$B$68/$B$68)</f>
        <v>58832.487187227729</v>
      </c>
      <c r="S26" s="41">
        <f>IF($B$68=0,0,(($B$57*$H$57)+($B$58*$H$58)+($B$59*$H$59)+((1-($D$21*$H$21))*$I$70))*Poor!$B$68/$B$68)</f>
        <v>57991.673364673356</v>
      </c>
      <c r="T26" s="41">
        <f>IF($B$68=0,0,(($B$57*$H$57)+($B$58*$H$58)+($B$59*$H$59)+((1-($D$21*$H$21))*$I$70))*Poor!$B$68/$B$68)</f>
        <v>57991.673364673356</v>
      </c>
      <c r="U26" s="56"/>
      <c r="V26" s="56"/>
      <c r="W26" s="111"/>
      <c r="X26" s="119"/>
      <c r="Y26" s="111"/>
      <c r="Z26" s="146"/>
      <c r="AA26" s="147"/>
      <c r="AB26" s="146"/>
      <c r="AC26" s="147"/>
      <c r="AD26" s="146"/>
      <c r="AE26" s="147"/>
      <c r="AF26" s="146"/>
      <c r="AG26" s="147"/>
      <c r="AH26" s="111"/>
      <c r="AI26" s="111"/>
      <c r="AJ26" s="146"/>
      <c r="AK26" s="147"/>
      <c r="AP26" s="25"/>
      <c r="AQ26" s="25"/>
      <c r="AR26" s="25"/>
      <c r="AS26" s="25"/>
      <c r="AT26" s="25"/>
      <c r="AU26" s="25"/>
      <c r="AW26" s="25"/>
      <c r="AX26" s="25"/>
      <c r="AY26" s="25"/>
      <c r="AZ26" s="25"/>
      <c r="BA26" s="25"/>
      <c r="BB26" s="25"/>
      <c r="BF26" s="25"/>
      <c r="BG26" s="25"/>
      <c r="BH26" s="25"/>
      <c r="BI26" s="25"/>
      <c r="BJ26" s="25"/>
      <c r="BK26" s="25"/>
      <c r="BM26" s="25"/>
      <c r="BN26" s="25"/>
      <c r="BO26" s="25"/>
      <c r="BP26" s="25"/>
      <c r="BQ26" s="25"/>
      <c r="BR26" s="25"/>
      <c r="BU26" s="25"/>
      <c r="BV26" s="25"/>
      <c r="BW26" s="25"/>
      <c r="BX26" s="25"/>
      <c r="BY26" s="25"/>
      <c r="BZ26" s="25"/>
      <c r="CB26" s="25"/>
      <c r="CC26" s="25"/>
      <c r="CD26" s="25"/>
      <c r="CE26" s="25"/>
      <c r="CF26" s="25"/>
      <c r="CG26" s="25"/>
    </row>
    <row r="27" spans="1:89" ht="14" customHeight="1">
      <c r="A27" s="2"/>
      <c r="B27" s="19" t="s">
        <v>7</v>
      </c>
      <c r="C27" s="19" t="s">
        <v>8</v>
      </c>
      <c r="D27" s="16" t="s">
        <v>9</v>
      </c>
      <c r="E27" s="19" t="s">
        <v>10</v>
      </c>
      <c r="F27" s="2" t="s">
        <v>28</v>
      </c>
      <c r="G27" s="2" t="s">
        <v>29</v>
      </c>
      <c r="H27" s="16" t="s">
        <v>12</v>
      </c>
      <c r="I27" s="19" t="s">
        <v>13</v>
      </c>
      <c r="J27" s="16" t="s">
        <v>14</v>
      </c>
      <c r="K27" s="37" t="s">
        <v>7</v>
      </c>
      <c r="L27" s="19" t="s">
        <v>15</v>
      </c>
      <c r="M27" s="16" t="s">
        <v>14</v>
      </c>
      <c r="N27" s="2"/>
      <c r="O27" s="2"/>
      <c r="Q27" s="127" t="s">
        <v>140</v>
      </c>
      <c r="R27" s="41">
        <f>IF($B$68=0,0,($B$57+$B$58+$B$59+$B$60+(1-$D$21-$D$20)*$B$70)*$H$71*Poor!$B$68/$B$68)</f>
        <v>59871.815158655685</v>
      </c>
      <c r="S27" s="41">
        <f>IF($B$68=0,0,(($B$57*$H$57)+($B$58*$H$58)+($B$59*$H$59)+($B$60*$H$60)+((1-($D$20*$H$20)-($D$21*$H$21))*$I$70))*Poor!$B$68/$B$68)</f>
        <v>59007.323364673357</v>
      </c>
      <c r="T27" s="41">
        <f>IF($B$68=0,0,(($B$57*$H$57)+($B$58*$H$58)+($B$59*$H$59)+($B$60*$H$60)+((1-($D$20*$H$20)-($D$21*$H$21))*$I$70))*Poor!$B$68/$B$68)</f>
        <v>59007.323364673357</v>
      </c>
      <c r="U27" s="56"/>
      <c r="V27" s="56"/>
      <c r="W27" s="111"/>
      <c r="X27" s="119"/>
      <c r="Y27" s="111"/>
      <c r="Z27" s="146"/>
      <c r="AA27" s="147"/>
      <c r="AB27" s="146"/>
      <c r="AC27" s="147"/>
      <c r="AD27" s="146"/>
      <c r="AE27" s="147"/>
      <c r="AF27" s="146"/>
      <c r="AG27" s="147"/>
      <c r="AH27" s="111"/>
      <c r="AI27" s="111"/>
      <c r="AJ27" s="146"/>
      <c r="AK27" s="147"/>
      <c r="AP27" s="25"/>
      <c r="AQ27" s="25"/>
      <c r="AR27" s="25"/>
      <c r="AS27" s="25"/>
      <c r="AT27" s="25"/>
      <c r="AU27" s="25"/>
      <c r="AW27" s="25"/>
      <c r="AX27" s="25"/>
      <c r="AY27" s="25"/>
      <c r="AZ27" s="25"/>
      <c r="BA27" s="25"/>
      <c r="BB27" s="25"/>
      <c r="BF27" s="25"/>
      <c r="BG27" s="25"/>
      <c r="BH27" s="25"/>
      <c r="BI27" s="25"/>
      <c r="BJ27" s="25"/>
      <c r="BK27" s="25"/>
      <c r="BM27" s="25"/>
      <c r="BN27" s="25"/>
      <c r="BO27" s="25"/>
      <c r="BP27" s="25"/>
      <c r="BQ27" s="25"/>
      <c r="BR27" s="25"/>
      <c r="BU27" s="25"/>
      <c r="BV27" s="25"/>
      <c r="BW27" s="25"/>
      <c r="BX27" s="25"/>
      <c r="BY27" s="25"/>
      <c r="BZ27" s="25"/>
      <c r="CB27" s="25"/>
      <c r="CC27" s="25"/>
      <c r="CD27" s="25"/>
      <c r="CE27" s="25"/>
      <c r="CF27" s="25"/>
      <c r="CG27" s="25"/>
    </row>
    <row r="28" spans="1:89" ht="14" customHeight="1">
      <c r="A28" s="2" t="s">
        <v>30</v>
      </c>
      <c r="B28" s="19" t="s">
        <v>16</v>
      </c>
      <c r="C28" s="19" t="s">
        <v>17</v>
      </c>
      <c r="D28" s="16" t="s">
        <v>16</v>
      </c>
      <c r="E28" s="19" t="s">
        <v>18</v>
      </c>
      <c r="F28" s="2" t="s">
        <v>31</v>
      </c>
      <c r="G28" s="2" t="s">
        <v>31</v>
      </c>
      <c r="H28" s="16" t="s">
        <v>18</v>
      </c>
      <c r="I28" s="19" t="s">
        <v>16</v>
      </c>
      <c r="J28" s="16" t="s">
        <v>16</v>
      </c>
      <c r="K28" s="37" t="s">
        <v>16</v>
      </c>
      <c r="L28" s="19" t="s">
        <v>19</v>
      </c>
      <c r="M28" s="16" t="s">
        <v>16</v>
      </c>
      <c r="N28" s="2"/>
      <c r="O28" s="2"/>
      <c r="P28" s="2"/>
      <c r="Q28" s="59"/>
      <c r="R28" s="181"/>
      <c r="S28" s="181"/>
      <c r="T28" s="181"/>
      <c r="U28" s="56"/>
      <c r="V28" s="56"/>
      <c r="W28" s="111"/>
      <c r="X28" s="119"/>
      <c r="Y28" s="111"/>
      <c r="Z28" s="146"/>
      <c r="AA28" s="147"/>
      <c r="AB28" s="146"/>
      <c r="AC28" s="147"/>
      <c r="AD28" s="146"/>
      <c r="AE28" s="147"/>
      <c r="AF28" s="146"/>
      <c r="AG28" s="147"/>
      <c r="AH28" s="111"/>
      <c r="AI28" s="111"/>
      <c r="AJ28" s="146"/>
      <c r="AK28" s="147"/>
      <c r="AP28" s="25"/>
      <c r="AQ28" s="25"/>
      <c r="AR28" s="25"/>
      <c r="AS28" s="25"/>
      <c r="AT28" s="25"/>
      <c r="AU28" s="25"/>
      <c r="AW28" s="25"/>
      <c r="AX28" s="25"/>
      <c r="AY28" s="25"/>
      <c r="AZ28" s="25"/>
      <c r="BA28" s="25"/>
      <c r="BB28" s="25"/>
      <c r="BF28" s="25"/>
      <c r="BG28" s="25"/>
      <c r="BH28" s="25"/>
      <c r="BI28" s="25"/>
      <c r="BJ28" s="25"/>
      <c r="BK28" s="25"/>
      <c r="BM28" s="25"/>
      <c r="BN28" s="25"/>
      <c r="BO28" s="25"/>
      <c r="BP28" s="25"/>
      <c r="BQ28" s="25"/>
      <c r="BR28" s="25"/>
      <c r="BU28" s="25"/>
      <c r="BV28" s="25"/>
      <c r="BW28" s="25"/>
      <c r="BX28" s="25"/>
      <c r="BY28" s="25"/>
      <c r="BZ28" s="25"/>
      <c r="CB28" s="25"/>
      <c r="CC28" s="25"/>
      <c r="CD28" s="25"/>
      <c r="CE28" s="25"/>
      <c r="CF28" s="25"/>
      <c r="CG28" s="25"/>
    </row>
    <row r="29" spans="1:89" ht="14" customHeight="1">
      <c r="A29" s="86" t="str">
        <f>IF(Poor!A29=0,"",Poor!A29)</f>
        <v>Cattle sales - local: no. sold</v>
      </c>
      <c r="B29" s="218">
        <f>IF([1]Summ!C1064="",0,[1]Summ!C1064)</f>
        <v>0</v>
      </c>
      <c r="C29" s="218">
        <f>IF([1]Summ!D1064="",0,[1]Summ!D1064)</f>
        <v>0</v>
      </c>
      <c r="D29" s="38">
        <f t="shared" ref="D29:D51" si="17">B29+C29</f>
        <v>0</v>
      </c>
      <c r="E29" s="75">
        <f>Poor!E29</f>
        <v>1</v>
      </c>
      <c r="F29" s="75">
        <f>Poor!F29</f>
        <v>1.1100000000000001</v>
      </c>
      <c r="G29" s="75">
        <f>Poor!G29</f>
        <v>1.1199999999999999</v>
      </c>
      <c r="H29" s="24">
        <f t="shared" ref="H29:H51" si="18">(E29*F29)</f>
        <v>1.1100000000000001</v>
      </c>
      <c r="I29" s="39">
        <f t="shared" ref="I29:I51" si="19">D29*H29</f>
        <v>0</v>
      </c>
      <c r="J29" s="38">
        <f t="shared" ref="J29:J51" si="20">J78*I$70</f>
        <v>0</v>
      </c>
      <c r="K29" s="40">
        <f t="shared" ref="K29:K51" si="21">(B29/B$52)</f>
        <v>0</v>
      </c>
      <c r="L29" s="22">
        <f t="shared" ref="L29:L51" si="22">(K29*H29)</f>
        <v>0</v>
      </c>
      <c r="M29" s="24">
        <f t="shared" ref="M29:M51" si="23">J29/B$52</f>
        <v>0</v>
      </c>
      <c r="N29" s="2"/>
      <c r="O29" s="2"/>
      <c r="P29" s="2"/>
      <c r="Q29" s="2"/>
      <c r="R29" s="181"/>
      <c r="S29" s="181"/>
      <c r="T29" s="181"/>
      <c r="U29" s="56"/>
      <c r="V29" s="56"/>
      <c r="W29" s="116"/>
      <c r="X29" s="119"/>
      <c r="Y29" s="111"/>
      <c r="Z29" s="123">
        <f>IF($J29=0,0,AA29/($J29))</f>
        <v>0</v>
      </c>
      <c r="AA29" s="148">
        <f>IF(SUM(AA$6:AA$21)+(SUM(AA$31:AA$51,-AA$57)/AA$70)&lt;1,IF(SUM(AA$6:AA$21)+(SUM(AA$31:AA$51,$J$29:$J$30,-AA$57)/AA$70)&lt;1,$J29,(AA$70-(SUM(AA$6:AA$21)*AA$70)-SUM(AA$31:AA$51,-AA$57))*($J29/SUM($J$29:$J$30))),0)</f>
        <v>0</v>
      </c>
      <c r="AB29" s="123">
        <f>IF($J29=0,0,AC29/($J29))</f>
        <v>0</v>
      </c>
      <c r="AC29" s="148">
        <f>IF(SUM(AC$6:AC$21)+(SUM(AC$31:AC$51,-AC$57)/AC$70)&lt;1,IF(SUM(AC$6:AC$21)+((SUM(AC$31:AC$51,$J$29:$J$30,-AC$57)-SUM($AA$29:$AA$30))/AC$70)&lt;1,$J29-$AA29,(AC$70-(SUM(AC$6:AC$21)*AC$70)-SUM(AC$31:AC$51,-AC$57))*($J29/SUM($J$29:$J$30))),0)</f>
        <v>0</v>
      </c>
      <c r="AD29" s="123">
        <f>IF($J29=0,0,AE29/($J29))</f>
        <v>0</v>
      </c>
      <c r="AE29" s="148">
        <f>IF(SUM(AE$6:AE$21)+(SUM(AE$31:AE$51,-AE$57)/AE$70)&lt;1,IF(SUM(AE$6:AE$21)+((SUM(AE$31:AE$51,$J$29:$J$30,-AE$57)-SUM($AA$29:$AA$30)-SUM($AC$29:$AC$30))/AE$70)&lt;1,$J29-$AA29-$AC29,(AE$70-(SUM(AE$6:AE$21)*AE$70)-SUM(AE$31:AE$51,-AE$57))*($J29/SUM($J$29:$J$30))),0)</f>
        <v>0</v>
      </c>
      <c r="AF29" s="123">
        <f t="shared" ref="AF29:AF51" si="24">1-SUM(Z29,AB29,AD29)</f>
        <v>1</v>
      </c>
      <c r="AG29" s="148">
        <f>$J29*AF29</f>
        <v>0</v>
      </c>
      <c r="AH29" s="124">
        <f>SUM(Z29,AB29,AD29,AF29)</f>
        <v>1</v>
      </c>
      <c r="AI29" s="113">
        <f>SUM(AA29,AC29,AE29,AG29)</f>
        <v>0</v>
      </c>
      <c r="AJ29" s="149">
        <f>(AA29+AC29)</f>
        <v>0</v>
      </c>
      <c r="AK29" s="148">
        <f>(AE29+AG29)</f>
        <v>0</v>
      </c>
      <c r="AP29" s="25"/>
      <c r="AQ29" s="25"/>
      <c r="AR29" s="25"/>
      <c r="AS29" s="25"/>
      <c r="AT29" s="25"/>
      <c r="AU29" s="25"/>
      <c r="AW29" s="25"/>
      <c r="AX29" s="25"/>
      <c r="AY29" s="25"/>
      <c r="AZ29" s="25"/>
      <c r="BA29" s="25"/>
      <c r="BB29" s="25"/>
      <c r="BF29" s="25"/>
      <c r="BG29" s="25"/>
      <c r="BH29" s="25"/>
      <c r="BI29" s="25"/>
      <c r="BJ29" s="25"/>
      <c r="BK29" s="25"/>
      <c r="BM29" s="25"/>
      <c r="BN29" s="25"/>
      <c r="BO29" s="25"/>
      <c r="BP29" s="25"/>
      <c r="BQ29" s="25"/>
      <c r="BR29" s="25"/>
      <c r="BU29" s="25"/>
      <c r="BV29" s="25"/>
      <c r="BW29" s="25"/>
      <c r="BX29" s="25"/>
      <c r="BY29" s="25"/>
      <c r="BZ29" s="25"/>
      <c r="CB29" s="25"/>
      <c r="CC29" s="25"/>
      <c r="CD29" s="25"/>
      <c r="CE29" s="25"/>
      <c r="CF29" s="25"/>
      <c r="CG29" s="25"/>
    </row>
    <row r="30" spans="1:89" ht="14" customHeight="1">
      <c r="A30" s="86" t="str">
        <f>IF(Poor!A30=0,"",Poor!A30)</f>
        <v>Goat sales - local: no. sold</v>
      </c>
      <c r="B30" s="218">
        <f>IF([1]Summ!C1065="",0,[1]Summ!C1065)</f>
        <v>0</v>
      </c>
      <c r="C30" s="218">
        <f>IF([1]Summ!D1065="",0,[1]Summ!D1065)</f>
        <v>0</v>
      </c>
      <c r="D30" s="38">
        <f t="shared" si="17"/>
        <v>0</v>
      </c>
      <c r="E30" s="75">
        <f>Poor!E30</f>
        <v>1</v>
      </c>
      <c r="F30" s="75">
        <f>Poor!F30</f>
        <v>1.0900000000000001</v>
      </c>
      <c r="G30" s="22">
        <f t="shared" ref="G30:G51" si="25">(G$29)</f>
        <v>1.1199999999999999</v>
      </c>
      <c r="H30" s="24">
        <f t="shared" si="18"/>
        <v>1.0900000000000001</v>
      </c>
      <c r="I30" s="39">
        <f t="shared" si="19"/>
        <v>0</v>
      </c>
      <c r="J30" s="38">
        <f t="shared" si="20"/>
        <v>0</v>
      </c>
      <c r="K30" s="40">
        <f t="shared" si="21"/>
        <v>0</v>
      </c>
      <c r="L30" s="22">
        <f t="shared" si="22"/>
        <v>0</v>
      </c>
      <c r="M30" s="24">
        <f t="shared" si="23"/>
        <v>0</v>
      </c>
      <c r="N30" s="2"/>
      <c r="O30" s="2"/>
      <c r="P30" s="2"/>
      <c r="Q30" s="59"/>
      <c r="R30" s="181"/>
      <c r="S30" s="181"/>
      <c r="T30" s="181"/>
      <c r="U30" s="56"/>
      <c r="V30" s="56"/>
      <c r="W30" s="116"/>
      <c r="X30" s="119"/>
      <c r="Y30" s="111"/>
      <c r="Z30" s="123">
        <f>IF($J30=0,0,AA30/($J30))</f>
        <v>0</v>
      </c>
      <c r="AA30" s="148">
        <f>IF(SUM(AA$6:AA$21)+(SUM(AA$31:AA$51,-AA$57)/AA$70)&lt;1,IF(SUM(AA$6:AA$21)+(SUM(AA$31:AA$51,$J$29:$J$30,-AA$57)/AA$70)&lt;1,$J30,(AA$70-(SUM(AA$6:AA$21)*AA$70)-SUM(AA$31:AA$51,-AA$57))*($J30/SUM($J$29:$J$30))),0)</f>
        <v>0</v>
      </c>
      <c r="AB30" s="123">
        <f>IF($J30=0,0,AC30/($J30))</f>
        <v>0</v>
      </c>
      <c r="AC30" s="148">
        <f>IF(SUM(AC$6:AC$21)+(SUM(AC$31:AC$51,-AC$57)/AC$70)&lt;1,IF(SUM(AC$6:AC$21)+((SUM(AC$31:AC$51,$J$29:$J$30,-AC$57)-SUM($AA$29:$AA$30))/AC$70)&lt;1,$J30-$AA30,(AC$70-(SUM(AC$6:AC$21)*AC$70)-SUM(AC$31:AC$51,-AC$57))*($J30/SUM($J$29:$J$30))),0)</f>
        <v>0</v>
      </c>
      <c r="AD30" s="123">
        <f>IF($J30=0,0,AE30/($J30))</f>
        <v>0</v>
      </c>
      <c r="AE30" s="148">
        <f>IF(SUM(AE$6:AE$21)+(SUM(AE$31:AE$51,-AE$57)/AE$70)&lt;1,IF(SUM(AE$6:AE$21)+((SUM(AE$31:AE$51,$J$29:$J$30,-AE$57)-SUM($AA$29:$AA$30)-SUM($AC$29:$AC$30))/AE$70)&lt;1,$J30-$AA30-$AC30,(AE$70-(SUM(AE$6:AE$21)*AE$70)-SUM(AE$31:AE$51,-AE$57))*($J30/SUM($J$29:$J$30))),0)</f>
        <v>0</v>
      </c>
      <c r="AF30" s="123">
        <f t="shared" si="24"/>
        <v>1</v>
      </c>
      <c r="AG30" s="148">
        <f t="shared" ref="AG30:AG51" si="26">$J30*AF30</f>
        <v>0</v>
      </c>
      <c r="AH30" s="124">
        <f t="shared" ref="AH30:AI45" si="27">SUM(Z30,AB30,AD30,AF30)</f>
        <v>1</v>
      </c>
      <c r="AI30" s="113">
        <f t="shared" si="27"/>
        <v>0</v>
      </c>
      <c r="AJ30" s="149">
        <f t="shared" ref="AJ30:AJ51" si="28">(AA30+AC30)</f>
        <v>0</v>
      </c>
      <c r="AK30" s="148">
        <f t="shared" ref="AK30:AK51" si="29">(AE30+AG30)</f>
        <v>0</v>
      </c>
      <c r="AP30" s="25"/>
      <c r="AQ30" s="25"/>
      <c r="AR30" s="25"/>
      <c r="AS30" s="25"/>
      <c r="AT30" s="25"/>
      <c r="AU30" s="25"/>
      <c r="AW30" s="25"/>
      <c r="AX30" s="25"/>
      <c r="AY30" s="25"/>
      <c r="AZ30" s="25"/>
      <c r="BA30" s="25"/>
      <c r="BB30" s="25"/>
      <c r="BF30" s="25"/>
      <c r="BG30" s="25"/>
      <c r="BH30" s="25"/>
      <c r="BI30" s="25"/>
      <c r="BJ30" s="25"/>
      <c r="BK30" s="25"/>
      <c r="BM30" s="25"/>
      <c r="BN30" s="25"/>
      <c r="BO30" s="25"/>
      <c r="BP30" s="25"/>
      <c r="BQ30" s="25"/>
      <c r="BR30" s="25"/>
      <c r="BU30" s="25"/>
      <c r="BV30" s="25"/>
      <c r="BW30" s="25"/>
      <c r="BX30" s="25"/>
      <c r="BY30" s="25"/>
      <c r="BZ30" s="25"/>
      <c r="CB30" s="25"/>
      <c r="CC30" s="25"/>
      <c r="CD30" s="25"/>
      <c r="CE30" s="25"/>
      <c r="CF30" s="25"/>
      <c r="CG30" s="25"/>
    </row>
    <row r="31" spans="1:89" ht="14" customHeight="1">
      <c r="A31" s="86" t="str">
        <f>IF(Poor!A31=0,"",Poor!A31)</f>
        <v>Chicken sales: no. sold</v>
      </c>
      <c r="B31" s="218">
        <f>IF([1]Summ!C1066="",0,[1]Summ!C1066)</f>
        <v>0</v>
      </c>
      <c r="C31" s="218">
        <f>IF([1]Summ!D1066="",0,[1]Summ!D1066)</f>
        <v>0</v>
      </c>
      <c r="D31" s="38">
        <f t="shared" si="17"/>
        <v>0</v>
      </c>
      <c r="E31" s="75">
        <f>Poor!E31</f>
        <v>1</v>
      </c>
      <c r="F31" s="75">
        <f>Poor!F31</f>
        <v>1.0900000000000001</v>
      </c>
      <c r="G31" s="22">
        <f t="shared" si="25"/>
        <v>1.1199999999999999</v>
      </c>
      <c r="H31" s="24">
        <f t="shared" si="18"/>
        <v>1.0900000000000001</v>
      </c>
      <c r="I31" s="39">
        <f t="shared" si="19"/>
        <v>0</v>
      </c>
      <c r="J31" s="38">
        <f t="shared" si="20"/>
        <v>0</v>
      </c>
      <c r="K31" s="40">
        <f t="shared" si="21"/>
        <v>0</v>
      </c>
      <c r="L31" s="22">
        <f t="shared" si="22"/>
        <v>0</v>
      </c>
      <c r="M31" s="24">
        <f t="shared" si="23"/>
        <v>0</v>
      </c>
      <c r="N31" s="2"/>
      <c r="O31" s="2"/>
      <c r="P31" s="2"/>
      <c r="Q31" s="59"/>
      <c r="R31" s="181"/>
      <c r="S31" s="181"/>
      <c r="T31" s="181"/>
      <c r="U31" s="56"/>
      <c r="V31" s="56"/>
      <c r="W31" s="116"/>
      <c r="X31" s="119"/>
      <c r="Y31" s="111"/>
      <c r="Z31" s="123">
        <f>Z8</f>
        <v>1</v>
      </c>
      <c r="AA31" s="148">
        <f t="shared" ref="AA31:AA51" si="30">$J31*Z31</f>
        <v>0</v>
      </c>
      <c r="AB31" s="123">
        <f>AB8</f>
        <v>0</v>
      </c>
      <c r="AC31" s="148">
        <f t="shared" ref="AC31:AC51" si="31">$J31*AB31</f>
        <v>0</v>
      </c>
      <c r="AD31" s="123">
        <f>AD8</f>
        <v>0</v>
      </c>
      <c r="AE31" s="148">
        <f t="shared" ref="AE31:AE51" si="32">$J31*AD31</f>
        <v>0</v>
      </c>
      <c r="AF31" s="123">
        <f t="shared" si="24"/>
        <v>0</v>
      </c>
      <c r="AG31" s="148">
        <f t="shared" si="26"/>
        <v>0</v>
      </c>
      <c r="AH31" s="124">
        <f t="shared" si="27"/>
        <v>1</v>
      </c>
      <c r="AI31" s="113">
        <f t="shared" si="27"/>
        <v>0</v>
      </c>
      <c r="AJ31" s="149">
        <f t="shared" si="28"/>
        <v>0</v>
      </c>
      <c r="AK31" s="148">
        <f t="shared" si="29"/>
        <v>0</v>
      </c>
      <c r="AP31" s="25"/>
      <c r="AQ31" s="25"/>
      <c r="AR31" s="25"/>
      <c r="AS31" s="25"/>
      <c r="AT31" s="25"/>
      <c r="AU31" s="25"/>
      <c r="AW31" s="25"/>
      <c r="AX31" s="25"/>
      <c r="AY31" s="25"/>
      <c r="AZ31" s="25"/>
      <c r="BA31" s="25"/>
      <c r="BB31" s="25"/>
      <c r="BF31" s="25"/>
      <c r="BG31" s="25"/>
      <c r="BH31" s="25"/>
      <c r="BI31" s="25"/>
      <c r="BJ31" s="25"/>
      <c r="BK31" s="25"/>
      <c r="BM31" s="25"/>
      <c r="BN31" s="25"/>
      <c r="BO31" s="25"/>
      <c r="BP31" s="25"/>
      <c r="BQ31" s="25"/>
      <c r="BR31" s="25"/>
      <c r="BU31" s="25"/>
      <c r="BV31" s="25"/>
      <c r="BW31" s="25"/>
      <c r="BX31" s="25"/>
      <c r="BY31" s="25"/>
      <c r="BZ31" s="25"/>
      <c r="CB31" s="25"/>
      <c r="CC31" s="25"/>
      <c r="CD31" s="25"/>
      <c r="CE31" s="25"/>
      <c r="CF31" s="25"/>
      <c r="CG31" s="25"/>
    </row>
    <row r="32" spans="1:89" ht="14" customHeight="1">
      <c r="A32" s="86" t="str">
        <f>IF(Poor!A32=0,"",Poor!A32)</f>
        <v>Maize: kg produced</v>
      </c>
      <c r="B32" s="218">
        <f>IF([1]Summ!C1067="",0,[1]Summ!C1067)</f>
        <v>0</v>
      </c>
      <c r="C32" s="218">
        <f>IF([1]Summ!D1067="",0,[1]Summ!D1067)</f>
        <v>0</v>
      </c>
      <c r="D32" s="38">
        <f t="shared" si="17"/>
        <v>0</v>
      </c>
      <c r="E32" s="75">
        <f>Poor!E32</f>
        <v>1</v>
      </c>
      <c r="F32" s="75">
        <f>Poor!F32</f>
        <v>1.02</v>
      </c>
      <c r="G32" s="22">
        <f t="shared" si="25"/>
        <v>1.1199999999999999</v>
      </c>
      <c r="H32" s="24">
        <f t="shared" si="18"/>
        <v>1.02</v>
      </c>
      <c r="I32" s="39">
        <f t="shared" si="19"/>
        <v>0</v>
      </c>
      <c r="J32" s="38">
        <f t="shared" si="20"/>
        <v>0</v>
      </c>
      <c r="K32" s="40">
        <f t="shared" si="21"/>
        <v>0</v>
      </c>
      <c r="L32" s="22">
        <f t="shared" si="22"/>
        <v>0</v>
      </c>
      <c r="M32" s="24">
        <f t="shared" si="23"/>
        <v>0</v>
      </c>
      <c r="N32" s="2"/>
      <c r="O32" s="2"/>
      <c r="P32" s="2"/>
      <c r="Q32" s="56"/>
      <c r="R32" s="68"/>
      <c r="S32" s="68"/>
      <c r="T32" s="68"/>
      <c r="U32" s="56"/>
      <c r="V32" s="56"/>
      <c r="W32" s="116"/>
      <c r="X32" s="119">
        <f>X9</f>
        <v>1</v>
      </c>
      <c r="Y32" s="111"/>
      <c r="Z32" s="123">
        <f>Z9</f>
        <v>0</v>
      </c>
      <c r="AA32" s="148">
        <f t="shared" si="30"/>
        <v>0</v>
      </c>
      <c r="AB32" s="123">
        <f>AB9</f>
        <v>0</v>
      </c>
      <c r="AC32" s="148">
        <f t="shared" si="31"/>
        <v>0</v>
      </c>
      <c r="AD32" s="123">
        <f>AD9</f>
        <v>0</v>
      </c>
      <c r="AE32" s="148">
        <f t="shared" si="32"/>
        <v>0</v>
      </c>
      <c r="AF32" s="123">
        <f t="shared" si="24"/>
        <v>1</v>
      </c>
      <c r="AG32" s="148">
        <f t="shared" si="26"/>
        <v>0</v>
      </c>
      <c r="AH32" s="124">
        <f t="shared" si="27"/>
        <v>1</v>
      </c>
      <c r="AI32" s="113">
        <f t="shared" si="27"/>
        <v>0</v>
      </c>
      <c r="AJ32" s="149">
        <f t="shared" si="28"/>
        <v>0</v>
      </c>
      <c r="AK32" s="148">
        <f t="shared" si="29"/>
        <v>0</v>
      </c>
      <c r="AP32" s="25"/>
      <c r="AQ32" s="25"/>
      <c r="AR32" s="25"/>
      <c r="AS32" s="25"/>
      <c r="AT32" s="25"/>
      <c r="AU32" s="25"/>
      <c r="AW32" s="25"/>
      <c r="AX32" s="25"/>
      <c r="AY32" s="25"/>
      <c r="AZ32" s="25"/>
      <c r="BA32" s="25"/>
      <c r="BB32" s="25"/>
      <c r="BF32" s="25"/>
      <c r="BG32" s="25"/>
      <c r="BH32" s="25"/>
      <c r="BI32" s="25"/>
      <c r="BJ32" s="25"/>
      <c r="BK32" s="25"/>
      <c r="BM32" s="25"/>
      <c r="BN32" s="25"/>
      <c r="BO32" s="25"/>
      <c r="BP32" s="25"/>
      <c r="BQ32" s="25"/>
      <c r="BR32" s="25"/>
      <c r="BU32" s="25"/>
      <c r="BV32" s="25"/>
      <c r="BW32" s="25"/>
      <c r="BX32" s="25"/>
      <c r="BY32" s="25"/>
      <c r="BZ32" s="25"/>
      <c r="CB32" s="25"/>
      <c r="CC32" s="25"/>
      <c r="CD32" s="25"/>
      <c r="CE32" s="25"/>
      <c r="CF32" s="25"/>
      <c r="CG32" s="25"/>
    </row>
    <row r="33" spans="1:85" ht="14" customHeight="1">
      <c r="A33" s="86" t="str">
        <f>IF(Poor!A33=0,"",Poor!A33)</f>
        <v>Beans: kg produced</v>
      </c>
      <c r="B33" s="218">
        <f>IF([1]Summ!C1068="",0,[1]Summ!C1068)</f>
        <v>0</v>
      </c>
      <c r="C33" s="218">
        <f>IF([1]Summ!D1068="",0,[1]Summ!D1068)</f>
        <v>0</v>
      </c>
      <c r="D33" s="38">
        <f t="shared" si="17"/>
        <v>0</v>
      </c>
      <c r="E33" s="75">
        <f>Poor!E33</f>
        <v>1</v>
      </c>
      <c r="F33" s="75">
        <f>Poor!F33</f>
        <v>1.1299999999999999</v>
      </c>
      <c r="G33" s="22">
        <f t="shared" si="25"/>
        <v>1.1199999999999999</v>
      </c>
      <c r="H33" s="24">
        <f t="shared" si="18"/>
        <v>1.1299999999999999</v>
      </c>
      <c r="I33" s="39">
        <f t="shared" si="19"/>
        <v>0</v>
      </c>
      <c r="J33" s="38">
        <f t="shared" si="20"/>
        <v>0</v>
      </c>
      <c r="K33" s="40">
        <f t="shared" si="21"/>
        <v>0</v>
      </c>
      <c r="L33" s="22">
        <f t="shared" si="22"/>
        <v>0</v>
      </c>
      <c r="M33" s="24">
        <f t="shared" si="23"/>
        <v>0</v>
      </c>
      <c r="N33" s="2"/>
      <c r="O33" s="2"/>
      <c r="P33" s="2"/>
      <c r="Q33" s="59"/>
      <c r="R33" s="225"/>
      <c r="S33" s="225"/>
      <c r="T33" s="225"/>
      <c r="U33" s="56"/>
      <c r="V33" s="56"/>
      <c r="W33" s="116"/>
      <c r="X33" s="119">
        <f>X11</f>
        <v>1</v>
      </c>
      <c r="Y33" s="111"/>
      <c r="Z33" s="123">
        <f>Z11</f>
        <v>0</v>
      </c>
      <c r="AA33" s="148">
        <f t="shared" si="30"/>
        <v>0</v>
      </c>
      <c r="AB33" s="123">
        <f>AB11</f>
        <v>0</v>
      </c>
      <c r="AC33" s="148">
        <f t="shared" si="31"/>
        <v>0</v>
      </c>
      <c r="AD33" s="123">
        <f>AD11</f>
        <v>0</v>
      </c>
      <c r="AE33" s="148">
        <f t="shared" si="32"/>
        <v>0</v>
      </c>
      <c r="AF33" s="123">
        <f t="shared" si="24"/>
        <v>1</v>
      </c>
      <c r="AG33" s="148">
        <f t="shared" si="26"/>
        <v>0</v>
      </c>
      <c r="AH33" s="124">
        <f t="shared" si="27"/>
        <v>1</v>
      </c>
      <c r="AI33" s="113">
        <f t="shared" si="27"/>
        <v>0</v>
      </c>
      <c r="AJ33" s="149">
        <f t="shared" si="28"/>
        <v>0</v>
      </c>
      <c r="AK33" s="148">
        <f t="shared" si="29"/>
        <v>0</v>
      </c>
      <c r="AP33" s="25"/>
      <c r="AQ33" s="25"/>
      <c r="AR33" s="25"/>
      <c r="AS33" s="25"/>
      <c r="AT33" s="25"/>
      <c r="AU33" s="25"/>
      <c r="AW33" s="25"/>
      <c r="AX33" s="25"/>
      <c r="AY33" s="25"/>
      <c r="AZ33" s="25"/>
      <c r="BA33" s="25"/>
      <c r="BB33" s="25"/>
      <c r="BF33" s="25"/>
      <c r="BG33" s="25"/>
      <c r="BH33" s="25"/>
      <c r="BI33" s="25"/>
      <c r="BJ33" s="25"/>
      <c r="BK33" s="25"/>
      <c r="BM33" s="25"/>
      <c r="BN33" s="25"/>
      <c r="BO33" s="25"/>
      <c r="BP33" s="25"/>
      <c r="BQ33" s="25"/>
      <c r="BR33" s="25"/>
      <c r="BU33" s="25"/>
      <c r="BV33" s="25"/>
      <c r="BW33" s="25"/>
      <c r="BX33" s="25"/>
      <c r="BY33" s="25"/>
      <c r="BZ33" s="25"/>
      <c r="CB33" s="25"/>
      <c r="CC33" s="25"/>
      <c r="CD33" s="25"/>
      <c r="CE33" s="25"/>
      <c r="CF33" s="25"/>
      <c r="CG33" s="25"/>
    </row>
    <row r="34" spans="1:85" ht="14" customHeight="1">
      <c r="A34" s="86" t="str">
        <f>IF(Poor!A34=0,"",Poor!A34)</f>
        <v>Water melon: no. local meas</v>
      </c>
      <c r="B34" s="218">
        <f>IF([1]Summ!C1069="",0,[1]Summ!C1069)</f>
        <v>0</v>
      </c>
      <c r="C34" s="218">
        <f>IF([1]Summ!D1069="",0,[1]Summ!D1069)</f>
        <v>0</v>
      </c>
      <c r="D34" s="38">
        <f t="shared" si="17"/>
        <v>0</v>
      </c>
      <c r="E34" s="75">
        <f>Poor!E34</f>
        <v>1</v>
      </c>
      <c r="F34" s="75">
        <f>Poor!F34</f>
        <v>1.22</v>
      </c>
      <c r="G34" s="22">
        <f t="shared" si="25"/>
        <v>1.1199999999999999</v>
      </c>
      <c r="H34" s="24">
        <f t="shared" si="18"/>
        <v>1.22</v>
      </c>
      <c r="I34" s="39">
        <f t="shared" si="19"/>
        <v>0</v>
      </c>
      <c r="J34" s="38">
        <f t="shared" si="20"/>
        <v>0</v>
      </c>
      <c r="K34" s="40">
        <f t="shared" si="21"/>
        <v>0</v>
      </c>
      <c r="L34" s="22">
        <f t="shared" si="22"/>
        <v>0</v>
      </c>
      <c r="M34" s="24">
        <f t="shared" si="23"/>
        <v>0</v>
      </c>
      <c r="N34" s="2"/>
      <c r="O34" s="2"/>
      <c r="P34" s="177"/>
      <c r="Q34" s="59"/>
      <c r="R34" s="225"/>
      <c r="S34" s="225"/>
      <c r="T34" s="225"/>
      <c r="U34" s="56"/>
      <c r="V34" s="56"/>
      <c r="W34" s="116"/>
      <c r="X34" s="119">
        <v>1</v>
      </c>
      <c r="Y34" s="111"/>
      <c r="Z34" s="157">
        <f>Poor!Z34</f>
        <v>0.25</v>
      </c>
      <c r="AA34" s="148">
        <f t="shared" si="30"/>
        <v>0</v>
      </c>
      <c r="AB34" s="157">
        <f>Poor!AB34</f>
        <v>0</v>
      </c>
      <c r="AC34" s="148">
        <f t="shared" si="31"/>
        <v>0</v>
      </c>
      <c r="AD34" s="157">
        <f>Poor!AD34</f>
        <v>0.5</v>
      </c>
      <c r="AE34" s="148">
        <f t="shared" si="32"/>
        <v>0</v>
      </c>
      <c r="AF34" s="123">
        <f t="shared" si="24"/>
        <v>0.25</v>
      </c>
      <c r="AG34" s="148">
        <f t="shared" si="26"/>
        <v>0</v>
      </c>
      <c r="AH34" s="124">
        <f t="shared" si="27"/>
        <v>1</v>
      </c>
      <c r="AI34" s="113">
        <f t="shared" si="27"/>
        <v>0</v>
      </c>
      <c r="AJ34" s="149">
        <f t="shared" si="28"/>
        <v>0</v>
      </c>
      <c r="AK34" s="148">
        <f t="shared" si="29"/>
        <v>0</v>
      </c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5" ht="14" customHeight="1">
      <c r="A35" s="86" t="str">
        <f>IF(Poor!A35=0,"",Poor!A35)</f>
        <v>WILD FOODS -- see worksheet Data 3</v>
      </c>
      <c r="B35" s="218">
        <f>IF([1]Summ!C1070="",0,[1]Summ!C1070)</f>
        <v>0</v>
      </c>
      <c r="C35" s="218">
        <f>IF([1]Summ!D1070="",0,[1]Summ!D1070)</f>
        <v>750</v>
      </c>
      <c r="D35" s="38">
        <f t="shared" si="17"/>
        <v>750</v>
      </c>
      <c r="E35" s="75">
        <f>Poor!E35</f>
        <v>0.8</v>
      </c>
      <c r="F35" s="75">
        <f>Poor!F35</f>
        <v>1</v>
      </c>
      <c r="G35" s="22">
        <f t="shared" si="25"/>
        <v>1.1199999999999999</v>
      </c>
      <c r="H35" s="24">
        <f t="shared" si="18"/>
        <v>0.8</v>
      </c>
      <c r="I35" s="39">
        <f t="shared" si="19"/>
        <v>600</v>
      </c>
      <c r="J35" s="38">
        <f t="shared" si="20"/>
        <v>-14.960353567095311</v>
      </c>
      <c r="K35" s="40">
        <f t="shared" si="21"/>
        <v>0</v>
      </c>
      <c r="L35" s="22">
        <f t="shared" si="22"/>
        <v>0</v>
      </c>
      <c r="M35" s="24">
        <f t="shared" si="23"/>
        <v>-5.7275360211066217E-4</v>
      </c>
      <c r="N35" s="2"/>
      <c r="O35" s="2"/>
      <c r="P35" s="177"/>
      <c r="Q35" s="2"/>
      <c r="R35" s="227"/>
      <c r="S35" s="227"/>
      <c r="T35" s="227"/>
      <c r="U35" s="56"/>
      <c r="V35" s="56"/>
      <c r="W35" s="116"/>
      <c r="X35" s="119"/>
      <c r="Y35" s="111"/>
      <c r="Z35" s="157">
        <f>Poor!Z35</f>
        <v>0.25</v>
      </c>
      <c r="AA35" s="148">
        <f t="shared" si="30"/>
        <v>-3.7400883917738277</v>
      </c>
      <c r="AB35" s="157">
        <f>Poor!AB35</f>
        <v>0.25</v>
      </c>
      <c r="AC35" s="148">
        <f t="shared" si="31"/>
        <v>-3.7400883917738277</v>
      </c>
      <c r="AD35" s="157">
        <f>Poor!AD35</f>
        <v>0.25</v>
      </c>
      <c r="AE35" s="148">
        <f t="shared" si="32"/>
        <v>-3.7400883917738277</v>
      </c>
      <c r="AF35" s="123">
        <f t="shared" si="24"/>
        <v>0.25</v>
      </c>
      <c r="AG35" s="148">
        <f t="shared" si="26"/>
        <v>-3.7400883917738277</v>
      </c>
      <c r="AH35" s="124">
        <f t="shared" si="27"/>
        <v>1</v>
      </c>
      <c r="AI35" s="113">
        <f t="shared" si="27"/>
        <v>-14.960353567095311</v>
      </c>
      <c r="AJ35" s="149">
        <f t="shared" si="28"/>
        <v>-7.4801767835476554</v>
      </c>
      <c r="AK35" s="148">
        <f t="shared" si="29"/>
        <v>-7.4801767835476554</v>
      </c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5" ht="14" customHeight="1">
      <c r="A36" s="86" t="str">
        <f>IF(Poor!A36=0,"",Poor!A36)</f>
        <v>Agricultural cash income -- see Data2</v>
      </c>
      <c r="B36" s="218">
        <f>IF([1]Summ!C1071="",0,[1]Summ!C1071)</f>
        <v>700</v>
      </c>
      <c r="C36" s="218">
        <f>IF([1]Summ!D1071="",0,[1]Summ!D1071)</f>
        <v>0</v>
      </c>
      <c r="D36" s="38">
        <f t="shared" si="17"/>
        <v>700</v>
      </c>
      <c r="E36" s="75">
        <f>Poor!E36</f>
        <v>0.87</v>
      </c>
      <c r="F36" s="75">
        <f>Poor!F36</f>
        <v>1.1100000000000001</v>
      </c>
      <c r="G36" s="22">
        <f t="shared" si="25"/>
        <v>1.1199999999999999</v>
      </c>
      <c r="H36" s="24">
        <f t="shared" si="18"/>
        <v>0.96570000000000011</v>
      </c>
      <c r="I36" s="39">
        <f t="shared" si="19"/>
        <v>675.99000000000012</v>
      </c>
      <c r="J36" s="38">
        <f t="shared" si="20"/>
        <v>675.99000000000012</v>
      </c>
      <c r="K36" s="40">
        <f t="shared" si="21"/>
        <v>2.6799334633326264E-2</v>
      </c>
      <c r="L36" s="22">
        <f t="shared" si="22"/>
        <v>2.5880117455403175E-2</v>
      </c>
      <c r="M36" s="24">
        <f t="shared" si="23"/>
        <v>2.5880117455403178E-2</v>
      </c>
      <c r="N36" s="2"/>
      <c r="O36" s="2"/>
      <c r="P36" s="2"/>
      <c r="Q36" s="59"/>
      <c r="R36" s="225"/>
      <c r="S36" s="225"/>
      <c r="T36" s="225"/>
      <c r="U36" s="56"/>
      <c r="V36" s="56"/>
      <c r="W36" s="118"/>
      <c r="X36" s="119"/>
      <c r="Y36" s="111"/>
      <c r="Z36" s="157">
        <f>Poor!Z36</f>
        <v>0.25</v>
      </c>
      <c r="AA36" s="148">
        <f t="shared" si="30"/>
        <v>168.99750000000003</v>
      </c>
      <c r="AB36" s="157">
        <f>Poor!AB36</f>
        <v>0.25</v>
      </c>
      <c r="AC36" s="148">
        <f t="shared" si="31"/>
        <v>168.99750000000003</v>
      </c>
      <c r="AD36" s="157">
        <f>Poor!AD36</f>
        <v>0.25</v>
      </c>
      <c r="AE36" s="148">
        <f t="shared" si="32"/>
        <v>168.99750000000003</v>
      </c>
      <c r="AF36" s="123">
        <f t="shared" si="24"/>
        <v>0.25</v>
      </c>
      <c r="AG36" s="148">
        <f t="shared" si="26"/>
        <v>168.99750000000003</v>
      </c>
      <c r="AH36" s="124">
        <f t="shared" si="27"/>
        <v>1</v>
      </c>
      <c r="AI36" s="113">
        <f t="shared" si="27"/>
        <v>675.99000000000012</v>
      </c>
      <c r="AJ36" s="149">
        <f t="shared" si="28"/>
        <v>337.99500000000006</v>
      </c>
      <c r="AK36" s="148">
        <f t="shared" si="29"/>
        <v>337.99500000000006</v>
      </c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5" ht="14" customHeight="1">
      <c r="A37" s="74" t="str">
        <f>IF(Poor!A37=0,"",Poor!A37)</f>
        <v>Construction cash income -- see Data2</v>
      </c>
      <c r="B37" s="218">
        <f>IF([1]Summ!C1072="",0,[1]Summ!C1072)</f>
        <v>880</v>
      </c>
      <c r="C37" s="218">
        <f>IF([1]Summ!D1072="",0,[1]Summ!D1072)</f>
        <v>0</v>
      </c>
      <c r="D37" s="38">
        <f t="shared" si="17"/>
        <v>880</v>
      </c>
      <c r="E37" s="75">
        <f>Poor!E37</f>
        <v>1</v>
      </c>
      <c r="F37" s="75">
        <f>Poor!F37</f>
        <v>1.1000000000000001</v>
      </c>
      <c r="G37" s="22">
        <f t="shared" si="25"/>
        <v>1.1199999999999999</v>
      </c>
      <c r="H37" s="24">
        <f t="shared" si="18"/>
        <v>1.1000000000000001</v>
      </c>
      <c r="I37" s="39">
        <f t="shared" si="19"/>
        <v>968.00000000000011</v>
      </c>
      <c r="J37" s="38">
        <f t="shared" si="20"/>
        <v>968.00000000000011</v>
      </c>
      <c r="K37" s="40">
        <f t="shared" si="21"/>
        <v>3.3690592110467307E-2</v>
      </c>
      <c r="L37" s="22">
        <f t="shared" si="22"/>
        <v>3.7059651321514044E-2</v>
      </c>
      <c r="M37" s="24">
        <f t="shared" si="23"/>
        <v>3.7059651321514037E-2</v>
      </c>
      <c r="N37" s="2"/>
      <c r="O37" s="2"/>
      <c r="P37" s="2"/>
      <c r="Q37" s="56" t="s">
        <v>141</v>
      </c>
      <c r="R37" s="240">
        <f>IF(R24&gt;R$23,R24-R$23,0)</f>
        <v>0</v>
      </c>
      <c r="S37" s="240">
        <f t="shared" ref="S37:T40" si="33">IF(S24&gt;S$23,S24-S$23,0)</f>
        <v>0</v>
      </c>
      <c r="T37" s="240">
        <f t="shared" si="33"/>
        <v>0</v>
      </c>
      <c r="U37" s="56"/>
      <c r="V37" s="56"/>
      <c r="W37" s="111"/>
      <c r="X37" s="119"/>
      <c r="Y37" s="111"/>
      <c r="Z37" s="157">
        <f>Poor!Z37</f>
        <v>0.25</v>
      </c>
      <c r="AA37" s="148">
        <f t="shared" si="30"/>
        <v>242.00000000000003</v>
      </c>
      <c r="AB37" s="157">
        <f>Poor!AB37</f>
        <v>0.25</v>
      </c>
      <c r="AC37" s="148">
        <f t="shared" si="31"/>
        <v>242.00000000000003</v>
      </c>
      <c r="AD37" s="157">
        <f>Poor!AD37</f>
        <v>0.25</v>
      </c>
      <c r="AE37" s="148">
        <f t="shared" si="32"/>
        <v>242.00000000000003</v>
      </c>
      <c r="AF37" s="123">
        <f t="shared" si="24"/>
        <v>0.25</v>
      </c>
      <c r="AG37" s="148">
        <f t="shared" si="26"/>
        <v>242.00000000000003</v>
      </c>
      <c r="AH37" s="124">
        <f t="shared" si="27"/>
        <v>1</v>
      </c>
      <c r="AI37" s="113">
        <f t="shared" si="27"/>
        <v>968.00000000000011</v>
      </c>
      <c r="AJ37" s="149">
        <f t="shared" si="28"/>
        <v>484.00000000000006</v>
      </c>
      <c r="AK37" s="148">
        <f t="shared" si="29"/>
        <v>484.00000000000006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5" ht="14" customHeight="1">
      <c r="A38" s="74" t="str">
        <f>IF(Poor!A38=0,"",Poor!A38)</f>
        <v>Domestic work cash income -- see Data2</v>
      </c>
      <c r="B38" s="218">
        <f>IF([1]Summ!C1073="",0,[1]Summ!C1073)</f>
        <v>6000</v>
      </c>
      <c r="C38" s="218">
        <f>IF([1]Summ!D1073="",0,[1]Summ!D1073)</f>
        <v>0</v>
      </c>
      <c r="D38" s="38">
        <f t="shared" si="17"/>
        <v>6000</v>
      </c>
      <c r="E38" s="75">
        <f>Poor!E38</f>
        <v>1</v>
      </c>
      <c r="F38" s="75">
        <f>Poor!F38</f>
        <v>1.1000000000000001</v>
      </c>
      <c r="G38" s="22">
        <f t="shared" si="25"/>
        <v>1.1199999999999999</v>
      </c>
      <c r="H38" s="24">
        <f t="shared" si="18"/>
        <v>1.1000000000000001</v>
      </c>
      <c r="I38" s="39">
        <f t="shared" si="19"/>
        <v>6600.0000000000009</v>
      </c>
      <c r="J38" s="38">
        <f t="shared" si="20"/>
        <v>6600.0000000000009</v>
      </c>
      <c r="K38" s="40">
        <f t="shared" si="21"/>
        <v>0.22970858257136798</v>
      </c>
      <c r="L38" s="22">
        <f t="shared" si="22"/>
        <v>0.2526794408285048</v>
      </c>
      <c r="M38" s="24">
        <f t="shared" si="23"/>
        <v>0.2526794408285048</v>
      </c>
      <c r="N38" s="2"/>
      <c r="O38" s="2"/>
      <c r="P38" s="2"/>
      <c r="Q38" s="59" t="s">
        <v>142</v>
      </c>
      <c r="R38" s="240">
        <f>IF(R25&gt;R$23,R25-R$23,0)</f>
        <v>4570.6345997110366</v>
      </c>
      <c r="S38" s="240">
        <f t="shared" si="33"/>
        <v>4722.2116519422925</v>
      </c>
      <c r="T38" s="240">
        <f t="shared" si="33"/>
        <v>4754.0058273701434</v>
      </c>
      <c r="U38" s="56"/>
      <c r="V38" s="56"/>
      <c r="W38" s="111"/>
      <c r="X38" s="119"/>
      <c r="Y38" s="111"/>
      <c r="Z38" s="157">
        <f>Poor!Z38</f>
        <v>0.25</v>
      </c>
      <c r="AA38" s="148">
        <f t="shared" si="30"/>
        <v>1650.0000000000002</v>
      </c>
      <c r="AB38" s="157">
        <f>Poor!AB38</f>
        <v>0.25</v>
      </c>
      <c r="AC38" s="148">
        <f t="shared" si="31"/>
        <v>1650.0000000000002</v>
      </c>
      <c r="AD38" s="157">
        <f>Poor!AD38</f>
        <v>0.25</v>
      </c>
      <c r="AE38" s="148">
        <f t="shared" si="32"/>
        <v>1650.0000000000002</v>
      </c>
      <c r="AF38" s="123">
        <f t="shared" si="24"/>
        <v>0.25</v>
      </c>
      <c r="AG38" s="148">
        <f t="shared" si="26"/>
        <v>1650.0000000000002</v>
      </c>
      <c r="AH38" s="124">
        <f t="shared" si="27"/>
        <v>1</v>
      </c>
      <c r="AI38" s="113">
        <f t="shared" si="27"/>
        <v>6600.0000000000009</v>
      </c>
      <c r="AJ38" s="149">
        <f t="shared" si="28"/>
        <v>3300.0000000000005</v>
      </c>
      <c r="AK38" s="148">
        <f t="shared" si="29"/>
        <v>3300.0000000000005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5" ht="14" customHeight="1">
      <c r="A39" s="74" t="str">
        <f>IF(Poor!A39=0,"",Poor!A39)</f>
        <v>Labour migration(formal employment): no. people per HH</v>
      </c>
      <c r="B39" s="218">
        <f>IF([1]Summ!C1074="",0,[1]Summ!C1074)</f>
        <v>0</v>
      </c>
      <c r="C39" s="218">
        <f>IF([1]Summ!D1074="",0,[1]Summ!D1074)</f>
        <v>0</v>
      </c>
      <c r="D39" s="38">
        <f t="shared" si="17"/>
        <v>0</v>
      </c>
      <c r="E39" s="75">
        <f>Poor!E39</f>
        <v>1</v>
      </c>
      <c r="F39" s="75">
        <f>Poor!F39</f>
        <v>1.07</v>
      </c>
      <c r="G39" s="22">
        <f t="shared" si="25"/>
        <v>1.1199999999999999</v>
      </c>
      <c r="H39" s="24">
        <f t="shared" si="18"/>
        <v>1.07</v>
      </c>
      <c r="I39" s="39">
        <f t="shared" si="19"/>
        <v>0</v>
      </c>
      <c r="J39" s="38">
        <f t="shared" si="20"/>
        <v>0</v>
      </c>
      <c r="K39" s="40">
        <f t="shared" si="21"/>
        <v>0</v>
      </c>
      <c r="L39" s="22">
        <f t="shared" si="22"/>
        <v>0</v>
      </c>
      <c r="M39" s="24">
        <f t="shared" si="23"/>
        <v>0</v>
      </c>
      <c r="N39" s="2"/>
      <c r="O39" s="2"/>
      <c r="P39" s="2"/>
      <c r="Q39" s="56" t="s">
        <v>143</v>
      </c>
      <c r="R39" s="240">
        <f>IF(R26&gt;R$23,R26-R$23,0)</f>
        <v>28205.974959790798</v>
      </c>
      <c r="S39" s="240">
        <f t="shared" si="33"/>
        <v>27819.091651942297</v>
      </c>
      <c r="T39" s="240">
        <f t="shared" si="33"/>
        <v>27850.885827370148</v>
      </c>
      <c r="U39" s="56"/>
      <c r="V39" s="56"/>
      <c r="W39" s="111"/>
      <c r="X39" s="119"/>
      <c r="Y39" s="111"/>
      <c r="Z39" s="157">
        <f>Poor!Z39</f>
        <v>0.25</v>
      </c>
      <c r="AA39" s="148">
        <f t="shared" si="30"/>
        <v>0</v>
      </c>
      <c r="AB39" s="157">
        <f>Poor!AB39</f>
        <v>0.25</v>
      </c>
      <c r="AC39" s="148">
        <f t="shared" si="31"/>
        <v>0</v>
      </c>
      <c r="AD39" s="157">
        <f>Poor!AD39</f>
        <v>0.25</v>
      </c>
      <c r="AE39" s="148">
        <f t="shared" si="32"/>
        <v>0</v>
      </c>
      <c r="AF39" s="123">
        <f t="shared" si="24"/>
        <v>0.25</v>
      </c>
      <c r="AG39" s="148">
        <f t="shared" si="26"/>
        <v>0</v>
      </c>
      <c r="AH39" s="124">
        <f t="shared" si="27"/>
        <v>1</v>
      </c>
      <c r="AI39" s="113">
        <f t="shared" si="27"/>
        <v>0</v>
      </c>
      <c r="AJ39" s="149">
        <f t="shared" si="28"/>
        <v>0</v>
      </c>
      <c r="AK39" s="148">
        <f t="shared" si="2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5" ht="14" customHeight="1">
      <c r="A40" s="74" t="str">
        <f>IF(Poor!A40=0,"",Poor!A40)</f>
        <v>Formal Employment (conservancies, etc.)</v>
      </c>
      <c r="B40" s="218">
        <f>IF([1]Summ!C1075="",0,[1]Summ!C1075)</f>
        <v>0</v>
      </c>
      <c r="C40" s="218">
        <f>IF([1]Summ!D1075="",0,[1]Summ!D1075)</f>
        <v>0</v>
      </c>
      <c r="D40" s="38">
        <f t="shared" si="17"/>
        <v>0</v>
      </c>
      <c r="E40" s="75">
        <f>Poor!E40</f>
        <v>1</v>
      </c>
      <c r="F40" s="75">
        <f>Poor!F40</f>
        <v>1.07</v>
      </c>
      <c r="G40" s="22">
        <f t="shared" si="25"/>
        <v>1.1199999999999999</v>
      </c>
      <c r="H40" s="24">
        <f t="shared" si="18"/>
        <v>1.07</v>
      </c>
      <c r="I40" s="39">
        <f t="shared" si="19"/>
        <v>0</v>
      </c>
      <c r="J40" s="38">
        <f t="shared" si="20"/>
        <v>0</v>
      </c>
      <c r="K40" s="40">
        <f t="shared" si="21"/>
        <v>0</v>
      </c>
      <c r="L40" s="22">
        <f t="shared" si="22"/>
        <v>0</v>
      </c>
      <c r="M40" s="24">
        <f t="shared" si="23"/>
        <v>0</v>
      </c>
      <c r="N40" s="2"/>
      <c r="O40" s="2"/>
      <c r="P40" s="2"/>
      <c r="Q40" s="59" t="s">
        <v>144</v>
      </c>
      <c r="R40" s="240">
        <f>IF(R27&gt;R$23,R27-R$23,0)</f>
        <v>29245.302931218754</v>
      </c>
      <c r="S40" s="240">
        <f t="shared" si="33"/>
        <v>28834.741651942299</v>
      </c>
      <c r="T40" s="240">
        <f t="shared" si="33"/>
        <v>28866.535827370149</v>
      </c>
      <c r="U40" s="56"/>
      <c r="V40" s="56"/>
      <c r="W40" s="111"/>
      <c r="X40" s="119"/>
      <c r="Y40" s="111"/>
      <c r="Z40" s="157">
        <f>Poor!Z40</f>
        <v>0.25</v>
      </c>
      <c r="AA40" s="148">
        <f t="shared" si="30"/>
        <v>0</v>
      </c>
      <c r="AB40" s="157">
        <f>Poor!AB40</f>
        <v>0.25</v>
      </c>
      <c r="AC40" s="148">
        <f t="shared" si="31"/>
        <v>0</v>
      </c>
      <c r="AD40" s="157">
        <f>Poor!AD40</f>
        <v>0.25</v>
      </c>
      <c r="AE40" s="148">
        <f t="shared" si="32"/>
        <v>0</v>
      </c>
      <c r="AF40" s="123">
        <f t="shared" si="24"/>
        <v>0.25</v>
      </c>
      <c r="AG40" s="148">
        <f t="shared" si="26"/>
        <v>0</v>
      </c>
      <c r="AH40" s="124">
        <f t="shared" si="27"/>
        <v>1</v>
      </c>
      <c r="AI40" s="113">
        <f t="shared" si="27"/>
        <v>0</v>
      </c>
      <c r="AJ40" s="149">
        <f t="shared" si="28"/>
        <v>0</v>
      </c>
      <c r="AK40" s="148">
        <f t="shared" si="2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5" ht="14" customHeight="1">
      <c r="A41" s="74" t="str">
        <f>IF(Poor!A41=0,"",Poor!A41)</f>
        <v>Self-employment -- see Data2</v>
      </c>
      <c r="B41" s="218">
        <f>IF([1]Summ!C1076="",0,[1]Summ!C1076)</f>
        <v>2292</v>
      </c>
      <c r="C41" s="218">
        <f>IF([1]Summ!D1076="",0,[1]Summ!D1076)</f>
        <v>458.40000000000009</v>
      </c>
      <c r="D41" s="38">
        <f t="shared" si="17"/>
        <v>2750.4</v>
      </c>
      <c r="E41" s="75">
        <f>Poor!E41</f>
        <v>1</v>
      </c>
      <c r="F41" s="75">
        <f>Poor!F41</f>
        <v>1.1000000000000001</v>
      </c>
      <c r="G41" s="22">
        <f t="shared" si="25"/>
        <v>1.1199999999999999</v>
      </c>
      <c r="H41" s="24">
        <f t="shared" si="18"/>
        <v>1.1000000000000001</v>
      </c>
      <c r="I41" s="39">
        <f t="shared" si="19"/>
        <v>3025.4400000000005</v>
      </c>
      <c r="J41" s="38">
        <f t="shared" si="20"/>
        <v>2508.6273188622135</v>
      </c>
      <c r="K41" s="40">
        <f t="shared" si="21"/>
        <v>8.7748678542262565E-2</v>
      </c>
      <c r="L41" s="22">
        <f t="shared" si="22"/>
        <v>9.652354639648883E-2</v>
      </c>
      <c r="M41" s="24">
        <f t="shared" si="23"/>
        <v>9.6042204269275039E-2</v>
      </c>
      <c r="N41" s="2"/>
      <c r="O41" s="2"/>
      <c r="P41" s="2"/>
      <c r="Q41" s="2"/>
      <c r="R41" s="221"/>
      <c r="S41" s="2"/>
      <c r="T41" s="2"/>
      <c r="U41" s="56"/>
      <c r="V41" s="56"/>
      <c r="W41" s="111"/>
      <c r="X41" s="119"/>
      <c r="Y41" s="111"/>
      <c r="Z41" s="157">
        <f>Poor!Z41</f>
        <v>0.25</v>
      </c>
      <c r="AA41" s="148">
        <f t="shared" si="30"/>
        <v>627.15682971555339</v>
      </c>
      <c r="AB41" s="157">
        <f>Poor!AB41</f>
        <v>0.25</v>
      </c>
      <c r="AC41" s="148">
        <f t="shared" si="31"/>
        <v>627.15682971555339</v>
      </c>
      <c r="AD41" s="157">
        <f>Poor!AD41</f>
        <v>0.25</v>
      </c>
      <c r="AE41" s="148">
        <f t="shared" si="32"/>
        <v>627.15682971555339</v>
      </c>
      <c r="AF41" s="123">
        <f t="shared" si="24"/>
        <v>0.25</v>
      </c>
      <c r="AG41" s="148">
        <f t="shared" si="26"/>
        <v>627.15682971555339</v>
      </c>
      <c r="AH41" s="124">
        <f t="shared" si="27"/>
        <v>1</v>
      </c>
      <c r="AI41" s="113">
        <f t="shared" si="27"/>
        <v>2508.6273188622135</v>
      </c>
      <c r="AJ41" s="149">
        <f t="shared" si="28"/>
        <v>1254.3136594311068</v>
      </c>
      <c r="AK41" s="148">
        <f t="shared" si="29"/>
        <v>1254.3136594311068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5" ht="14" customHeight="1">
      <c r="A42" s="74" t="str">
        <f>IF(Poor!A42=0,"",Poor!A42)</f>
        <v>Small business -- see Data2</v>
      </c>
      <c r="B42" s="218">
        <f>IF([1]Summ!C1077="",0,[1]Summ!C1077)</f>
        <v>0</v>
      </c>
      <c r="C42" s="218">
        <f>IF([1]Summ!D1077="",0,[1]Summ!D1077)</f>
        <v>0</v>
      </c>
      <c r="D42" s="38">
        <f t="shared" si="17"/>
        <v>0</v>
      </c>
      <c r="E42" s="75">
        <f>Poor!E42</f>
        <v>1</v>
      </c>
      <c r="F42" s="75">
        <f>Poor!F42</f>
        <v>1.05</v>
      </c>
      <c r="G42" s="22">
        <f t="shared" si="25"/>
        <v>1.1199999999999999</v>
      </c>
      <c r="H42" s="24">
        <f t="shared" si="18"/>
        <v>1.05</v>
      </c>
      <c r="I42" s="39">
        <f t="shared" si="19"/>
        <v>0</v>
      </c>
      <c r="J42" s="38">
        <f t="shared" si="20"/>
        <v>0</v>
      </c>
      <c r="K42" s="40">
        <f t="shared" si="21"/>
        <v>0</v>
      </c>
      <c r="L42" s="22">
        <f t="shared" si="22"/>
        <v>0</v>
      </c>
      <c r="M42" s="24">
        <f t="shared" si="23"/>
        <v>0</v>
      </c>
      <c r="N42" s="2"/>
      <c r="O42" s="2"/>
      <c r="P42" s="2"/>
      <c r="Q42" s="2"/>
      <c r="R42" s="222"/>
      <c r="S42" s="2"/>
      <c r="T42" s="2"/>
      <c r="U42" s="56"/>
      <c r="V42" s="56"/>
      <c r="W42" s="111"/>
      <c r="X42" s="119"/>
      <c r="Y42" s="111"/>
      <c r="Z42" s="157">
        <f>Poor!Z42</f>
        <v>0.25</v>
      </c>
      <c r="AA42" s="148">
        <f t="shared" si="30"/>
        <v>0</v>
      </c>
      <c r="AB42" s="157">
        <f>Poor!AB42</f>
        <v>0.25</v>
      </c>
      <c r="AC42" s="148">
        <f t="shared" si="31"/>
        <v>0</v>
      </c>
      <c r="AD42" s="157">
        <f>Poor!AD42</f>
        <v>0.25</v>
      </c>
      <c r="AE42" s="148">
        <f t="shared" si="32"/>
        <v>0</v>
      </c>
      <c r="AF42" s="123">
        <f t="shared" si="24"/>
        <v>0.25</v>
      </c>
      <c r="AG42" s="148">
        <f t="shared" si="26"/>
        <v>0</v>
      </c>
      <c r="AH42" s="124">
        <f t="shared" si="27"/>
        <v>1</v>
      </c>
      <c r="AI42" s="113">
        <f t="shared" si="27"/>
        <v>0</v>
      </c>
      <c r="AJ42" s="149">
        <f t="shared" si="28"/>
        <v>0</v>
      </c>
      <c r="AK42" s="148">
        <f t="shared" si="2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5" ht="14" customHeight="1">
      <c r="A43" s="74" t="str">
        <f>IF(Poor!A43=0,"",Poor!A43)</f>
        <v>Social development -- see Data2</v>
      </c>
      <c r="B43" s="218">
        <f>IF([1]Summ!C1078="",0,[1]Summ!C1078)</f>
        <v>16248.051470588236</v>
      </c>
      <c r="C43" s="218">
        <f>IF([1]Summ!D1078="",0,[1]Summ!D1078)</f>
        <v>0</v>
      </c>
      <c r="D43" s="38">
        <f t="shared" si="17"/>
        <v>16248.051470588236</v>
      </c>
      <c r="E43" s="75">
        <f>Poor!E43</f>
        <v>1</v>
      </c>
      <c r="F43" s="75">
        <f>Poor!F43</f>
        <v>1.1100000000000001</v>
      </c>
      <c r="G43" s="22">
        <f t="shared" si="25"/>
        <v>1.1199999999999999</v>
      </c>
      <c r="H43" s="24">
        <f t="shared" si="18"/>
        <v>1.1100000000000001</v>
      </c>
      <c r="I43" s="39">
        <f t="shared" si="19"/>
        <v>18035.337132352943</v>
      </c>
      <c r="J43" s="38">
        <f t="shared" si="20"/>
        <v>18035.337132352943</v>
      </c>
      <c r="K43" s="40">
        <f t="shared" si="21"/>
        <v>0.6220528121425758</v>
      </c>
      <c r="L43" s="22">
        <f t="shared" si="22"/>
        <v>0.69047862147825922</v>
      </c>
      <c r="M43" s="24">
        <f t="shared" si="23"/>
        <v>0.69047862147825922</v>
      </c>
      <c r="N43" s="2"/>
      <c r="O43" s="2"/>
      <c r="P43" s="2"/>
      <c r="Q43" s="2"/>
      <c r="R43" s="2"/>
      <c r="S43" s="2"/>
      <c r="T43" s="2"/>
      <c r="U43" s="56"/>
      <c r="V43" s="56"/>
      <c r="W43" s="111"/>
      <c r="X43" s="119"/>
      <c r="Y43" s="111"/>
      <c r="Z43" s="157">
        <f>Poor!Z43</f>
        <v>0.25</v>
      </c>
      <c r="AA43" s="148">
        <f t="shared" si="30"/>
        <v>4508.8342830882357</v>
      </c>
      <c r="AB43" s="157">
        <f>Poor!AB43</f>
        <v>0.25</v>
      </c>
      <c r="AC43" s="148">
        <f t="shared" si="31"/>
        <v>4508.8342830882357</v>
      </c>
      <c r="AD43" s="157">
        <f>Poor!AD43</f>
        <v>0.25</v>
      </c>
      <c r="AE43" s="148">
        <f t="shared" si="32"/>
        <v>4508.8342830882357</v>
      </c>
      <c r="AF43" s="123">
        <f t="shared" si="24"/>
        <v>0.25</v>
      </c>
      <c r="AG43" s="148">
        <f t="shared" si="26"/>
        <v>4508.8342830882357</v>
      </c>
      <c r="AH43" s="124">
        <f t="shared" si="27"/>
        <v>1</v>
      </c>
      <c r="AI43" s="113">
        <f t="shared" si="27"/>
        <v>18035.337132352943</v>
      </c>
      <c r="AJ43" s="149">
        <f t="shared" si="28"/>
        <v>9017.6685661764714</v>
      </c>
      <c r="AK43" s="148">
        <f t="shared" si="29"/>
        <v>9017.6685661764714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5" ht="14" customHeight="1">
      <c r="A44" s="74" t="str">
        <f>IF(Poor!A44=0,"",Poor!A44)</f>
        <v>Public works -- see Data2</v>
      </c>
      <c r="B44" s="218">
        <f>IF([1]Summ!C1079="",0,[1]Summ!C1079)</f>
        <v>0</v>
      </c>
      <c r="C44" s="218">
        <f>IF([1]Summ!D1079="",0,[1]Summ!D1079)</f>
        <v>0</v>
      </c>
      <c r="D44" s="38">
        <f t="shared" si="17"/>
        <v>0</v>
      </c>
      <c r="E44" s="75">
        <f>Poor!E44</f>
        <v>1</v>
      </c>
      <c r="F44" s="75">
        <f>Poor!F44</f>
        <v>1.07</v>
      </c>
      <c r="G44" s="22">
        <f t="shared" si="25"/>
        <v>1.1199999999999999</v>
      </c>
      <c r="H44" s="24">
        <f t="shared" si="18"/>
        <v>1.07</v>
      </c>
      <c r="I44" s="39">
        <f t="shared" si="19"/>
        <v>0</v>
      </c>
      <c r="J44" s="38">
        <f t="shared" si="20"/>
        <v>0</v>
      </c>
      <c r="K44" s="40">
        <f t="shared" si="21"/>
        <v>0</v>
      </c>
      <c r="L44" s="22">
        <f t="shared" si="22"/>
        <v>0</v>
      </c>
      <c r="M44" s="24">
        <f t="shared" si="23"/>
        <v>0</v>
      </c>
      <c r="N44" s="2"/>
      <c r="O44" s="2"/>
      <c r="P44" s="2"/>
      <c r="Q44" s="2"/>
      <c r="R44" s="222"/>
      <c r="S44" s="68"/>
      <c r="T44" s="2"/>
      <c r="U44" s="56"/>
      <c r="V44" s="56"/>
      <c r="W44" s="111"/>
      <c r="X44" s="119"/>
      <c r="Y44" s="111"/>
      <c r="Z44" s="157">
        <f>Poor!Z44</f>
        <v>0.25</v>
      </c>
      <c r="AA44" s="148">
        <f t="shared" si="30"/>
        <v>0</v>
      </c>
      <c r="AB44" s="157">
        <f>Poor!AB44</f>
        <v>0.25</v>
      </c>
      <c r="AC44" s="148">
        <f t="shared" si="31"/>
        <v>0</v>
      </c>
      <c r="AD44" s="157">
        <f>Poor!AD44</f>
        <v>0.25</v>
      </c>
      <c r="AE44" s="148">
        <f t="shared" si="32"/>
        <v>0</v>
      </c>
      <c r="AF44" s="123">
        <f t="shared" si="24"/>
        <v>0.25</v>
      </c>
      <c r="AG44" s="148">
        <f t="shared" si="26"/>
        <v>0</v>
      </c>
      <c r="AH44" s="124">
        <f t="shared" si="27"/>
        <v>1</v>
      </c>
      <c r="AI44" s="113">
        <f t="shared" si="27"/>
        <v>0</v>
      </c>
      <c r="AJ44" s="149">
        <f t="shared" si="28"/>
        <v>0</v>
      </c>
      <c r="AK44" s="148">
        <f t="shared" si="2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5" ht="14" customHeight="1">
      <c r="A45" s="74" t="str">
        <f>IF(Poor!A45=0,"",Poor!A45)</f>
        <v>Remittances: no. times per year</v>
      </c>
      <c r="B45" s="218">
        <f>IF([1]Summ!C1080="",0,[1]Summ!C1080)</f>
        <v>0</v>
      </c>
      <c r="C45" s="218">
        <f>IF([1]Summ!D1080="",0,[1]Summ!D1080)</f>
        <v>0</v>
      </c>
      <c r="D45" s="38">
        <f t="shared" si="17"/>
        <v>0</v>
      </c>
      <c r="E45" s="75">
        <f>Poor!E45</f>
        <v>1</v>
      </c>
      <c r="F45" s="75">
        <f>Poor!F45</f>
        <v>1.05</v>
      </c>
      <c r="G45" s="22">
        <f t="shared" si="25"/>
        <v>1.1199999999999999</v>
      </c>
      <c r="H45" s="24">
        <f t="shared" si="18"/>
        <v>1.05</v>
      </c>
      <c r="I45" s="39">
        <f t="shared" si="19"/>
        <v>0</v>
      </c>
      <c r="J45" s="38">
        <f t="shared" si="20"/>
        <v>0</v>
      </c>
      <c r="K45" s="40">
        <f t="shared" si="21"/>
        <v>0</v>
      </c>
      <c r="L45" s="22">
        <f t="shared" si="22"/>
        <v>0</v>
      </c>
      <c r="M45" s="24">
        <f t="shared" si="23"/>
        <v>0</v>
      </c>
      <c r="N45" s="2"/>
      <c r="O45" s="2"/>
      <c r="P45" s="2"/>
      <c r="Q45" s="2"/>
      <c r="R45" s="222"/>
      <c r="S45" s="68"/>
      <c r="T45" s="2"/>
      <c r="U45" s="56"/>
      <c r="V45" s="56"/>
      <c r="W45" s="111"/>
      <c r="X45" s="119"/>
      <c r="Y45" s="111"/>
      <c r="Z45" s="157">
        <f>Poor!Z45</f>
        <v>0.25</v>
      </c>
      <c r="AA45" s="148">
        <f t="shared" si="30"/>
        <v>0</v>
      </c>
      <c r="AB45" s="157">
        <f>Poor!AB45</f>
        <v>0.25</v>
      </c>
      <c r="AC45" s="148">
        <f t="shared" si="31"/>
        <v>0</v>
      </c>
      <c r="AD45" s="157">
        <f>Poor!AD45</f>
        <v>0.25</v>
      </c>
      <c r="AE45" s="148">
        <f t="shared" si="32"/>
        <v>0</v>
      </c>
      <c r="AF45" s="123">
        <f t="shared" si="24"/>
        <v>0.25</v>
      </c>
      <c r="AG45" s="148">
        <f t="shared" si="26"/>
        <v>0</v>
      </c>
      <c r="AH45" s="124">
        <f t="shared" si="27"/>
        <v>1</v>
      </c>
      <c r="AI45" s="113">
        <f t="shared" si="27"/>
        <v>0</v>
      </c>
      <c r="AJ45" s="149">
        <f t="shared" si="28"/>
        <v>0</v>
      </c>
      <c r="AK45" s="148">
        <f t="shared" si="2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5" ht="14" customHeight="1">
      <c r="A46" s="74" t="str">
        <f>IF(Poor!A46=0,"",Poor!A46)</f>
        <v/>
      </c>
      <c r="B46" s="218">
        <f>IF([1]Summ!C1081="",0,[1]Summ!C1081)</f>
        <v>0</v>
      </c>
      <c r="C46" s="218">
        <f>IF([1]Summ!D1081="",0,[1]Summ!D1081)</f>
        <v>0</v>
      </c>
      <c r="D46" s="38">
        <f t="shared" si="17"/>
        <v>0</v>
      </c>
      <c r="E46" s="75">
        <f>Poor!E46</f>
        <v>1</v>
      </c>
      <c r="F46" s="75">
        <f>Poor!F46</f>
        <v>1</v>
      </c>
      <c r="G46" s="22">
        <f t="shared" si="25"/>
        <v>1.1199999999999999</v>
      </c>
      <c r="H46" s="24">
        <f t="shared" si="18"/>
        <v>1</v>
      </c>
      <c r="I46" s="39">
        <f t="shared" si="19"/>
        <v>0</v>
      </c>
      <c r="J46" s="38">
        <f t="shared" si="20"/>
        <v>0</v>
      </c>
      <c r="K46" s="40">
        <f t="shared" si="21"/>
        <v>0</v>
      </c>
      <c r="L46" s="22">
        <f t="shared" si="22"/>
        <v>0</v>
      </c>
      <c r="M46" s="24">
        <f t="shared" si="23"/>
        <v>0</v>
      </c>
      <c r="N46" s="2"/>
      <c r="O46" s="2"/>
      <c r="P46" s="2"/>
      <c r="Q46" s="2"/>
      <c r="R46" s="222"/>
      <c r="S46" s="2"/>
      <c r="T46" s="2"/>
      <c r="U46" s="56"/>
      <c r="V46" s="56"/>
      <c r="W46" s="111"/>
      <c r="X46" s="119"/>
      <c r="Y46" s="111"/>
      <c r="Z46" s="157">
        <f>Poor!Z46</f>
        <v>0.25</v>
      </c>
      <c r="AA46" s="148">
        <f t="shared" si="30"/>
        <v>0</v>
      </c>
      <c r="AB46" s="157">
        <f>Poor!AB46</f>
        <v>0.25</v>
      </c>
      <c r="AC46" s="148">
        <f t="shared" si="31"/>
        <v>0</v>
      </c>
      <c r="AD46" s="157">
        <f>Poor!AD46</f>
        <v>0.25</v>
      </c>
      <c r="AE46" s="148">
        <f t="shared" si="32"/>
        <v>0</v>
      </c>
      <c r="AF46" s="123">
        <f t="shared" si="24"/>
        <v>0.25</v>
      </c>
      <c r="AG46" s="148">
        <f t="shared" si="26"/>
        <v>0</v>
      </c>
      <c r="AH46" s="124">
        <f t="shared" ref="AH46:AI51" si="34">SUM(Z46,AB46,AD46,AF46)</f>
        <v>1</v>
      </c>
      <c r="AI46" s="113">
        <f t="shared" si="34"/>
        <v>0</v>
      </c>
      <c r="AJ46" s="149">
        <f t="shared" si="28"/>
        <v>0</v>
      </c>
      <c r="AK46" s="148">
        <f t="shared" si="2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5" ht="14" customHeight="1">
      <c r="A47" s="74" t="str">
        <f>IF(Poor!A47=0,"",Poor!A47)</f>
        <v/>
      </c>
      <c r="B47" s="218">
        <f>IF([1]Summ!C1082="",0,[1]Summ!C1082)</f>
        <v>0</v>
      </c>
      <c r="C47" s="218">
        <f>IF([1]Summ!D1082="",0,[1]Summ!D1082)</f>
        <v>0</v>
      </c>
      <c r="D47" s="38">
        <f t="shared" si="17"/>
        <v>0</v>
      </c>
      <c r="E47" s="75">
        <f>Poor!E47</f>
        <v>1</v>
      </c>
      <c r="F47" s="75">
        <f>Poor!F47</f>
        <v>1</v>
      </c>
      <c r="G47" s="22">
        <f t="shared" si="25"/>
        <v>1.1199999999999999</v>
      </c>
      <c r="H47" s="24">
        <f t="shared" si="18"/>
        <v>1</v>
      </c>
      <c r="I47" s="39">
        <f t="shared" si="19"/>
        <v>0</v>
      </c>
      <c r="J47" s="38">
        <f t="shared" si="20"/>
        <v>0</v>
      </c>
      <c r="K47" s="40">
        <f t="shared" si="21"/>
        <v>0</v>
      </c>
      <c r="L47" s="22">
        <f t="shared" si="22"/>
        <v>0</v>
      </c>
      <c r="M47" s="24">
        <f t="shared" si="23"/>
        <v>0</v>
      </c>
      <c r="N47" s="2"/>
      <c r="O47" s="2"/>
      <c r="P47" s="2"/>
      <c r="Q47" s="2"/>
      <c r="R47" s="22"/>
      <c r="S47" s="2"/>
      <c r="T47" s="2"/>
      <c r="U47" s="56"/>
      <c r="V47" s="56"/>
      <c r="W47" s="111"/>
      <c r="X47" s="119"/>
      <c r="Y47" s="111"/>
      <c r="Z47" s="157">
        <f>Poor!Z47</f>
        <v>0.25</v>
      </c>
      <c r="AA47" s="148">
        <f t="shared" si="30"/>
        <v>0</v>
      </c>
      <c r="AB47" s="157">
        <f>Poor!AB47</f>
        <v>0.25</v>
      </c>
      <c r="AC47" s="148">
        <f t="shared" si="31"/>
        <v>0</v>
      </c>
      <c r="AD47" s="157">
        <f>Poor!AD47</f>
        <v>0.25</v>
      </c>
      <c r="AE47" s="148">
        <f t="shared" si="32"/>
        <v>0</v>
      </c>
      <c r="AF47" s="123">
        <f t="shared" si="24"/>
        <v>0.25</v>
      </c>
      <c r="AG47" s="148">
        <f t="shared" si="26"/>
        <v>0</v>
      </c>
      <c r="AH47" s="124">
        <f t="shared" si="34"/>
        <v>1</v>
      </c>
      <c r="AI47" s="113">
        <f t="shared" si="34"/>
        <v>0</v>
      </c>
      <c r="AJ47" s="149">
        <f t="shared" si="28"/>
        <v>0</v>
      </c>
      <c r="AK47" s="148">
        <f t="shared" si="2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5" ht="14" customHeight="1">
      <c r="A48" s="74" t="str">
        <f>IF(Poor!A48=0,"",Poor!A48)</f>
        <v/>
      </c>
      <c r="B48" s="218">
        <f>IF([1]Summ!C1083="",0,[1]Summ!C1083)</f>
        <v>0</v>
      </c>
      <c r="C48" s="218">
        <f>IF([1]Summ!D1083="",0,[1]Summ!D1083)</f>
        <v>0</v>
      </c>
      <c r="D48" s="38">
        <f t="shared" si="17"/>
        <v>0</v>
      </c>
      <c r="E48" s="75">
        <f>Poor!E48</f>
        <v>1</v>
      </c>
      <c r="F48" s="75">
        <f>Poor!F48</f>
        <v>1</v>
      </c>
      <c r="G48" s="22">
        <f t="shared" si="25"/>
        <v>1.1199999999999999</v>
      </c>
      <c r="H48" s="24">
        <f t="shared" si="18"/>
        <v>1</v>
      </c>
      <c r="I48" s="39">
        <f t="shared" si="19"/>
        <v>0</v>
      </c>
      <c r="J48" s="38">
        <f t="shared" si="20"/>
        <v>0</v>
      </c>
      <c r="K48" s="40">
        <f t="shared" si="21"/>
        <v>0</v>
      </c>
      <c r="L48" s="22">
        <f t="shared" si="22"/>
        <v>0</v>
      </c>
      <c r="M48" s="24">
        <f t="shared" si="23"/>
        <v>0</v>
      </c>
      <c r="N48" s="2"/>
      <c r="O48" s="2"/>
      <c r="P48" s="2"/>
      <c r="Q48" s="2"/>
      <c r="R48" s="177"/>
      <c r="S48" s="68"/>
      <c r="T48" s="2"/>
      <c r="U48" s="56"/>
      <c r="V48" s="56"/>
      <c r="W48" s="111"/>
      <c r="X48" s="119"/>
      <c r="Y48" s="111"/>
      <c r="Z48" s="157">
        <f>Poor!Z48</f>
        <v>0.25</v>
      </c>
      <c r="AA48" s="148">
        <f t="shared" si="30"/>
        <v>0</v>
      </c>
      <c r="AB48" s="157">
        <f>Poor!AB48</f>
        <v>0.25</v>
      </c>
      <c r="AC48" s="148">
        <f t="shared" si="31"/>
        <v>0</v>
      </c>
      <c r="AD48" s="157">
        <f>Poor!AD48</f>
        <v>0.25</v>
      </c>
      <c r="AE48" s="148">
        <f t="shared" si="32"/>
        <v>0</v>
      </c>
      <c r="AF48" s="123">
        <f t="shared" si="24"/>
        <v>0.25</v>
      </c>
      <c r="AG48" s="148">
        <f t="shared" si="26"/>
        <v>0</v>
      </c>
      <c r="AH48" s="124">
        <f t="shared" si="34"/>
        <v>1</v>
      </c>
      <c r="AI48" s="113">
        <f t="shared" si="34"/>
        <v>0</v>
      </c>
      <c r="AJ48" s="149">
        <f t="shared" si="28"/>
        <v>0</v>
      </c>
      <c r="AK48" s="148">
        <f t="shared" si="2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218">
        <f>IF([1]Summ!C1084="",0,[1]Summ!C1084)</f>
        <v>0</v>
      </c>
      <c r="C49" s="218">
        <f>IF([1]Summ!D1084="",0,[1]Summ!D1084)</f>
        <v>0</v>
      </c>
      <c r="D49" s="38">
        <f t="shared" si="17"/>
        <v>0</v>
      </c>
      <c r="E49" s="75">
        <f>Poor!E49</f>
        <v>1</v>
      </c>
      <c r="F49" s="75">
        <f>Poor!F49</f>
        <v>1</v>
      </c>
      <c r="G49" s="22">
        <f t="shared" si="25"/>
        <v>1.1199999999999999</v>
      </c>
      <c r="H49" s="24">
        <f t="shared" si="18"/>
        <v>1</v>
      </c>
      <c r="I49" s="39">
        <f t="shared" si="19"/>
        <v>0</v>
      </c>
      <c r="J49" s="38">
        <f t="shared" si="20"/>
        <v>0</v>
      </c>
      <c r="K49" s="40">
        <f t="shared" si="21"/>
        <v>0</v>
      </c>
      <c r="L49" s="22">
        <f t="shared" si="22"/>
        <v>0</v>
      </c>
      <c r="M49" s="24">
        <f t="shared" si="23"/>
        <v>0</v>
      </c>
      <c r="N49" s="2"/>
      <c r="O49" s="2"/>
      <c r="P49" s="2"/>
      <c r="Q49" s="2"/>
      <c r="R49" s="224"/>
      <c r="S49" s="2"/>
      <c r="T49" s="2"/>
      <c r="U49" s="56"/>
      <c r="V49" s="56"/>
      <c r="W49" s="111"/>
      <c r="X49" s="119"/>
      <c r="Y49" s="111"/>
      <c r="Z49" s="157">
        <f>Poor!Z49</f>
        <v>0.25</v>
      </c>
      <c r="AA49" s="148">
        <f t="shared" si="30"/>
        <v>0</v>
      </c>
      <c r="AB49" s="157">
        <f>Poor!AB49</f>
        <v>0.25</v>
      </c>
      <c r="AC49" s="148">
        <f t="shared" si="31"/>
        <v>0</v>
      </c>
      <c r="AD49" s="157">
        <f>Poor!AD49</f>
        <v>0.25</v>
      </c>
      <c r="AE49" s="148">
        <f t="shared" si="32"/>
        <v>0</v>
      </c>
      <c r="AF49" s="123">
        <f t="shared" si="24"/>
        <v>0.25</v>
      </c>
      <c r="AG49" s="148">
        <f t="shared" si="26"/>
        <v>0</v>
      </c>
      <c r="AH49" s="124">
        <f t="shared" si="34"/>
        <v>1</v>
      </c>
      <c r="AI49" s="113">
        <f t="shared" si="34"/>
        <v>0</v>
      </c>
      <c r="AJ49" s="149">
        <f t="shared" si="28"/>
        <v>0</v>
      </c>
      <c r="AK49" s="148">
        <f t="shared" si="2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218">
        <f>IF([1]Summ!C1085="",0,[1]Summ!C1085)</f>
        <v>0</v>
      </c>
      <c r="C50" s="218">
        <f>IF([1]Summ!D1085="",0,[1]Summ!D1085)</f>
        <v>0</v>
      </c>
      <c r="D50" s="38">
        <f t="shared" si="17"/>
        <v>0</v>
      </c>
      <c r="E50" s="75">
        <f>Poor!E50</f>
        <v>1</v>
      </c>
      <c r="F50" s="75">
        <f>Poor!F50</f>
        <v>1</v>
      </c>
      <c r="G50" s="22">
        <f t="shared" si="25"/>
        <v>1.1199999999999999</v>
      </c>
      <c r="H50" s="24">
        <f t="shared" si="18"/>
        <v>1</v>
      </c>
      <c r="I50" s="39">
        <f t="shared" si="19"/>
        <v>0</v>
      </c>
      <c r="J50" s="38">
        <f t="shared" si="20"/>
        <v>0</v>
      </c>
      <c r="K50" s="40">
        <f t="shared" si="21"/>
        <v>0</v>
      </c>
      <c r="L50" s="22">
        <f t="shared" si="22"/>
        <v>0</v>
      </c>
      <c r="M50" s="24">
        <f t="shared" si="23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1"/>
      <c r="X50" s="119"/>
      <c r="Y50" s="111"/>
      <c r="Z50" s="157">
        <f>Poor!Z50</f>
        <v>0.25</v>
      </c>
      <c r="AA50" s="148">
        <f t="shared" si="30"/>
        <v>0</v>
      </c>
      <c r="AB50" s="157">
        <f>Poor!AB50</f>
        <v>0.25</v>
      </c>
      <c r="AC50" s="148">
        <f t="shared" si="31"/>
        <v>0</v>
      </c>
      <c r="AD50" s="157">
        <f>Poor!AD50</f>
        <v>0.25</v>
      </c>
      <c r="AE50" s="148">
        <f t="shared" si="32"/>
        <v>0</v>
      </c>
      <c r="AF50" s="123">
        <f t="shared" si="24"/>
        <v>0.25</v>
      </c>
      <c r="AG50" s="148">
        <f t="shared" si="26"/>
        <v>0</v>
      </c>
      <c r="AH50" s="124">
        <f t="shared" si="34"/>
        <v>1</v>
      </c>
      <c r="AI50" s="113">
        <f t="shared" si="34"/>
        <v>0</v>
      </c>
      <c r="AJ50" s="149">
        <f t="shared" si="28"/>
        <v>0</v>
      </c>
      <c r="AK50" s="148">
        <f t="shared" si="2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218">
        <f>IF([1]Summ!C1086="",0,[1]Summ!C1086)</f>
        <v>0</v>
      </c>
      <c r="C51" s="218">
        <f>IF([1]Summ!D1086="",0,[1]Summ!D1086)</f>
        <v>0</v>
      </c>
      <c r="D51" s="38">
        <f t="shared" si="17"/>
        <v>0</v>
      </c>
      <c r="E51" s="75">
        <f>Poor!E51</f>
        <v>1</v>
      </c>
      <c r="F51" s="75">
        <f>Poor!F51</f>
        <v>1</v>
      </c>
      <c r="G51" s="22">
        <f t="shared" si="25"/>
        <v>1.1199999999999999</v>
      </c>
      <c r="H51" s="24">
        <f t="shared" si="18"/>
        <v>1</v>
      </c>
      <c r="I51" s="39">
        <f t="shared" si="19"/>
        <v>0</v>
      </c>
      <c r="J51" s="38">
        <f t="shared" si="20"/>
        <v>0</v>
      </c>
      <c r="K51" s="40">
        <f t="shared" si="21"/>
        <v>0</v>
      </c>
      <c r="L51" s="22">
        <f t="shared" si="22"/>
        <v>0</v>
      </c>
      <c r="M51" s="24">
        <f t="shared" si="23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1"/>
      <c r="X51" s="119"/>
      <c r="Y51" s="111"/>
      <c r="Z51" s="157">
        <f>Poor!Z51</f>
        <v>0.25</v>
      </c>
      <c r="AA51" s="150">
        <f t="shared" si="30"/>
        <v>0</v>
      </c>
      <c r="AB51" s="157">
        <f>Poor!AB51</f>
        <v>0.25</v>
      </c>
      <c r="AC51" s="150">
        <f t="shared" si="31"/>
        <v>0</v>
      </c>
      <c r="AD51" s="157">
        <f>Poor!AD51</f>
        <v>0.25</v>
      </c>
      <c r="AE51" s="150">
        <f t="shared" si="32"/>
        <v>0</v>
      </c>
      <c r="AF51" s="151">
        <f t="shared" si="24"/>
        <v>0.25</v>
      </c>
      <c r="AG51" s="150">
        <f t="shared" si="26"/>
        <v>0</v>
      </c>
      <c r="AH51" s="124">
        <f t="shared" si="34"/>
        <v>1</v>
      </c>
      <c r="AI51" s="113">
        <f t="shared" si="34"/>
        <v>0</v>
      </c>
      <c r="AJ51" s="152">
        <f t="shared" si="28"/>
        <v>0</v>
      </c>
      <c r="AK51" s="150">
        <f t="shared" si="2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39" t="s">
        <v>32</v>
      </c>
      <c r="B52" s="39">
        <f>SUM(B29:B51)</f>
        <v>26120.051470588238</v>
      </c>
      <c r="C52" s="39">
        <f>SUM(C29:C51)</f>
        <v>1208.4000000000001</v>
      </c>
      <c r="D52" s="42">
        <f>SUM(D29:D51)</f>
        <v>27328.451470588236</v>
      </c>
      <c r="E52" s="32"/>
      <c r="F52" s="32"/>
      <c r="G52" s="32"/>
      <c r="H52" s="31"/>
      <c r="I52" s="39">
        <f>SUM(I29:I51)</f>
        <v>29904.767132352943</v>
      </c>
      <c r="J52" s="39">
        <f>SUM(J29:J51)</f>
        <v>28772.994097648061</v>
      </c>
      <c r="K52" s="40">
        <f>SUM(K29:K51)</f>
        <v>0.99999999999999989</v>
      </c>
      <c r="L52" s="22">
        <f>SUM(L29:L51)</f>
        <v>1.1026213774801701</v>
      </c>
      <c r="M52" s="24">
        <f>SUM(M29:M51)</f>
        <v>1.1015672817508455</v>
      </c>
      <c r="N52" s="2"/>
      <c r="O52" s="2"/>
      <c r="P52" s="2"/>
      <c r="Q52" s="2"/>
      <c r="R52" s="2"/>
      <c r="S52" s="2"/>
      <c r="T52" s="2"/>
      <c r="U52" s="56"/>
      <c r="V52" s="56"/>
      <c r="W52" s="111"/>
      <c r="X52" s="153"/>
      <c r="Y52" s="111"/>
      <c r="Z52" s="138"/>
      <c r="AA52" s="154">
        <f>SUM(AA29:AA51)</f>
        <v>7193.2485244120153</v>
      </c>
      <c r="AB52" s="138"/>
      <c r="AC52" s="154">
        <f>SUM(AC29:AC51)</f>
        <v>7193.2485244120153</v>
      </c>
      <c r="AD52" s="138"/>
      <c r="AE52" s="154">
        <f>SUM(AE29:AE51)</f>
        <v>7193.2485244120153</v>
      </c>
      <c r="AF52" s="138"/>
      <c r="AG52" s="154">
        <f>SUM(AG29:AG51)</f>
        <v>7193.2485244120153</v>
      </c>
      <c r="AH52" s="138"/>
      <c r="AI52" s="154">
        <f>SUM(AI29:AI51)</f>
        <v>28772.994097648061</v>
      </c>
      <c r="AJ52" s="154">
        <f>SUM(AJ29:AJ51)</f>
        <v>14386.497048824031</v>
      </c>
      <c r="AK52" s="154">
        <f>SUM(AK29:AK51)</f>
        <v>14386.497048824031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3.5" customHeight="1">
      <c r="A53" s="78"/>
      <c r="B53" s="78"/>
      <c r="C53" s="78"/>
      <c r="D53" s="44"/>
      <c r="E53" s="14"/>
      <c r="F53" s="14"/>
      <c r="G53" s="14"/>
      <c r="H53" s="44"/>
      <c r="I53" s="14"/>
      <c r="J53" s="44"/>
      <c r="K53" s="45"/>
      <c r="L53" s="11"/>
      <c r="M53" s="10"/>
      <c r="N53" s="2"/>
      <c r="O53" s="2"/>
      <c r="P53" s="2"/>
      <c r="Q53" s="2"/>
      <c r="R53" s="2"/>
      <c r="S53" s="2"/>
      <c r="T53" s="2"/>
      <c r="U53" s="56"/>
      <c r="V53" s="56"/>
      <c r="W53" s="111"/>
      <c r="X53" s="119"/>
      <c r="Y53" s="111"/>
      <c r="Z53" s="144"/>
      <c r="AA53" s="155"/>
      <c r="AB53" s="144"/>
      <c r="AC53" s="155"/>
      <c r="AD53" s="144"/>
      <c r="AE53" s="155"/>
      <c r="AF53" s="144"/>
      <c r="AG53" s="155"/>
      <c r="AH53" s="144"/>
      <c r="AI53" s="155"/>
      <c r="AJ53" s="144"/>
      <c r="AK53" s="145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5.75" customHeight="1">
      <c r="A54" s="73" t="s">
        <v>54</v>
      </c>
      <c r="B54" s="39"/>
      <c r="C54" s="39"/>
      <c r="D54" s="38"/>
      <c r="E54" s="32"/>
      <c r="F54" s="32"/>
      <c r="G54" s="32"/>
      <c r="H54" s="31"/>
      <c r="I54" s="47"/>
      <c r="J54" s="48"/>
      <c r="K54" s="34" t="s">
        <v>34</v>
      </c>
      <c r="L54" s="2"/>
      <c r="M54" s="31"/>
      <c r="N54" s="2"/>
      <c r="O54" s="2"/>
      <c r="P54" s="2"/>
      <c r="Q54" s="2"/>
      <c r="R54" s="2"/>
      <c r="S54" s="2"/>
      <c r="T54" s="2"/>
      <c r="U54" s="56"/>
      <c r="V54" s="56"/>
      <c r="W54" s="111"/>
      <c r="X54" s="119"/>
      <c r="Y54" s="111"/>
      <c r="Z54" s="146"/>
      <c r="AA54" s="148"/>
      <c r="AB54" s="146"/>
      <c r="AC54" s="148"/>
      <c r="AD54" s="146"/>
      <c r="AE54" s="148"/>
      <c r="AF54" s="146"/>
      <c r="AG54" s="148"/>
      <c r="AH54" s="146"/>
      <c r="AI54" s="148"/>
      <c r="AJ54" s="146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9"/>
      <c r="B55" s="80" t="s">
        <v>7</v>
      </c>
      <c r="C55" s="39"/>
      <c r="D55" s="50"/>
      <c r="E55" s="19" t="s">
        <v>10</v>
      </c>
      <c r="F55" s="2" t="s">
        <v>28</v>
      </c>
      <c r="G55" s="2"/>
      <c r="H55" s="16" t="s">
        <v>12</v>
      </c>
      <c r="I55" s="19" t="s">
        <v>13</v>
      </c>
      <c r="J55" s="16" t="s">
        <v>14</v>
      </c>
      <c r="K55" s="37" t="s">
        <v>7</v>
      </c>
      <c r="L55" s="19" t="s">
        <v>15</v>
      </c>
      <c r="M55" s="16" t="s">
        <v>14</v>
      </c>
      <c r="N55" s="2"/>
      <c r="O55" s="2"/>
      <c r="P55" s="2"/>
      <c r="Q55" s="2"/>
      <c r="R55" s="2"/>
      <c r="S55" s="2"/>
      <c r="T55" s="2"/>
      <c r="U55" s="56"/>
      <c r="V55" s="56"/>
      <c r="W55" s="113"/>
      <c r="X55" s="119"/>
      <c r="Y55" s="111"/>
      <c r="Z55" s="146"/>
      <c r="AA55" s="148"/>
      <c r="AB55" s="146"/>
      <c r="AC55" s="148"/>
      <c r="AD55" s="146"/>
      <c r="AE55" s="148"/>
      <c r="AF55" s="146"/>
      <c r="AG55" s="148"/>
      <c r="AH55" s="146"/>
      <c r="AI55" s="148"/>
      <c r="AJ55" s="146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39" t="s">
        <v>30</v>
      </c>
      <c r="B56" s="80" t="s">
        <v>35</v>
      </c>
      <c r="C56" s="39"/>
      <c r="D56" s="38"/>
      <c r="E56" s="19" t="s">
        <v>18</v>
      </c>
      <c r="F56" s="2" t="s">
        <v>31</v>
      </c>
      <c r="G56" s="2"/>
      <c r="H56" s="16" t="s">
        <v>18</v>
      </c>
      <c r="I56" s="19" t="s">
        <v>35</v>
      </c>
      <c r="J56" s="16" t="s">
        <v>35</v>
      </c>
      <c r="K56" s="37" t="s">
        <v>35</v>
      </c>
      <c r="L56" s="19" t="s">
        <v>19</v>
      </c>
      <c r="M56" s="16" t="s">
        <v>35</v>
      </c>
      <c r="N56" s="2"/>
      <c r="O56" s="2"/>
      <c r="P56" s="2"/>
      <c r="Q56" s="2"/>
      <c r="R56" s="2"/>
      <c r="S56" s="2"/>
      <c r="T56" s="2"/>
      <c r="U56" s="56"/>
      <c r="V56" s="56"/>
      <c r="W56" s="111"/>
      <c r="X56" s="119"/>
      <c r="Y56" s="111"/>
      <c r="Z56" s="146"/>
      <c r="AA56" s="148"/>
      <c r="AB56" s="146"/>
      <c r="AC56" s="148"/>
      <c r="AD56" s="146"/>
      <c r="AE56" s="148"/>
      <c r="AF56" s="146"/>
      <c r="AG56" s="148"/>
      <c r="AH56" s="146"/>
      <c r="AI56" s="148"/>
      <c r="AJ56" s="146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111" t="s">
        <v>131</v>
      </c>
      <c r="B57" s="105">
        <f>SUM([1]Summ!C1031)</f>
        <v>15324.027716993891</v>
      </c>
      <c r="C57" s="39"/>
      <c r="D57" s="38"/>
      <c r="E57" s="75">
        <f>Poor!E57</f>
        <v>1</v>
      </c>
      <c r="F57" s="75">
        <f>Poor!F57</f>
        <v>1.1399999999999999</v>
      </c>
      <c r="G57" s="22"/>
      <c r="H57" s="24">
        <f>(E57*F57)</f>
        <v>1.1399999999999999</v>
      </c>
      <c r="I57" s="39">
        <f>I106*I$70</f>
        <v>17469.391597373033</v>
      </c>
      <c r="J57" s="51">
        <f>J106*I$70</f>
        <v>17469.391597373033</v>
      </c>
      <c r="K57" s="40">
        <f>B57/B$63</f>
        <v>0.58667678102583709</v>
      </c>
      <c r="L57" s="22">
        <f>(L106*G$29*F$9/F$7)/B$112</f>
        <v>0.66881153036945418</v>
      </c>
      <c r="M57" s="24">
        <f>J57/B$63</f>
        <v>0.66881153036945418</v>
      </c>
      <c r="N57" s="2"/>
      <c r="O57" s="2"/>
      <c r="P57" s="2"/>
      <c r="Q57" s="2"/>
      <c r="R57" s="2"/>
      <c r="S57" s="2"/>
      <c r="T57" s="2"/>
      <c r="U57" s="56"/>
      <c r="V57" s="56"/>
      <c r="W57" s="111"/>
      <c r="X57" s="119"/>
      <c r="Y57" s="111"/>
      <c r="Z57" s="157">
        <f>Poor!Z57</f>
        <v>0.25</v>
      </c>
      <c r="AA57" s="148">
        <f>$J57*Z57</f>
        <v>4367.3478993432582</v>
      </c>
      <c r="AB57" s="157">
        <f>Poor!AB57</f>
        <v>0.25</v>
      </c>
      <c r="AC57" s="148">
        <f>$J57*AB57</f>
        <v>4367.3478993432582</v>
      </c>
      <c r="AD57" s="157">
        <f>Poor!AD57</f>
        <v>0.25</v>
      </c>
      <c r="AE57" s="148">
        <f>$J57*AD57</f>
        <v>4367.3478993432582</v>
      </c>
      <c r="AF57" s="157">
        <f>Poor!AF57</f>
        <v>0.25</v>
      </c>
      <c r="AG57" s="148">
        <f>$J57*AF57</f>
        <v>4367.3478993432582</v>
      </c>
      <c r="AH57" s="156">
        <f>SUM(Z57,AB57,AD57,AF57)</f>
        <v>1</v>
      </c>
      <c r="AI57" s="148">
        <f>SUM(AA57,AC57,AE57,AG57)</f>
        <v>17469.391597373033</v>
      </c>
      <c r="AJ57" s="149">
        <f>(AA57+AC57)</f>
        <v>8734.6957986865164</v>
      </c>
      <c r="AK57" s="148">
        <f>(AE57+AG57)</f>
        <v>8734.6957986865164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111" t="s">
        <v>132</v>
      </c>
      <c r="B58" s="105">
        <f>SUM([1]Summ!C1032)</f>
        <v>11684</v>
      </c>
      <c r="C58" s="39"/>
      <c r="D58" s="38"/>
      <c r="E58" s="75">
        <f>Poor!E58</f>
        <v>1</v>
      </c>
      <c r="F58" s="75">
        <f>Poor!F58</f>
        <v>1.1100000000000001</v>
      </c>
      <c r="G58" s="22"/>
      <c r="H58" s="24">
        <f t="shared" ref="H58:H59" si="35">(E58*F58)</f>
        <v>1.1100000000000001</v>
      </c>
      <c r="I58" s="39">
        <f t="shared" ref="I58:I59" si="36">I107*I$70</f>
        <v>0</v>
      </c>
      <c r="J58" s="51">
        <f t="shared" ref="J58:J59" si="37">J107*I$70</f>
        <v>0</v>
      </c>
      <c r="K58" s="40">
        <f t="shared" ref="K58:K59" si="38">B58/B$63</f>
        <v>0.44731917979397723</v>
      </c>
      <c r="L58" s="22">
        <f t="shared" ref="L58:L59" si="39">(L107*G$29*F$9/F$7)/B$112</f>
        <v>0</v>
      </c>
      <c r="M58" s="24">
        <f t="shared" ref="M58:M59" si="40">J58/B$63</f>
        <v>0</v>
      </c>
      <c r="N58" s="2"/>
      <c r="O58" s="2"/>
      <c r="P58" s="2"/>
      <c r="Q58" s="2"/>
      <c r="R58" s="2"/>
      <c r="S58" s="2"/>
      <c r="T58" s="2"/>
      <c r="U58" s="56"/>
      <c r="V58" s="56"/>
      <c r="W58" s="111"/>
      <c r="X58" s="119"/>
      <c r="Y58" s="111"/>
      <c r="Z58" s="157"/>
      <c r="AA58" s="148"/>
      <c r="AB58" s="157"/>
      <c r="AC58" s="148"/>
      <c r="AD58" s="157"/>
      <c r="AE58" s="148"/>
      <c r="AF58" s="157"/>
      <c r="AG58" s="148"/>
      <c r="AH58" s="156"/>
      <c r="AI58" s="148"/>
      <c r="AJ58" s="149"/>
      <c r="AK58" s="148"/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111" t="s">
        <v>133</v>
      </c>
      <c r="B59" s="105">
        <f>SUM([1]Summ!C1033)</f>
        <v>20808</v>
      </c>
      <c r="C59" s="39"/>
      <c r="D59" s="38"/>
      <c r="E59" s="75">
        <f>Poor!E59</f>
        <v>1</v>
      </c>
      <c r="F59" s="75">
        <f>Poor!F59</f>
        <v>1.1100000000000001</v>
      </c>
      <c r="G59" s="22"/>
      <c r="H59" s="24">
        <f t="shared" si="35"/>
        <v>1.1100000000000001</v>
      </c>
      <c r="I59" s="39">
        <f t="shared" si="36"/>
        <v>0</v>
      </c>
      <c r="J59" s="51">
        <f t="shared" si="37"/>
        <v>0</v>
      </c>
      <c r="K59" s="40">
        <f t="shared" si="38"/>
        <v>0.7966293643575042</v>
      </c>
      <c r="L59" s="22">
        <f t="shared" si="39"/>
        <v>0</v>
      </c>
      <c r="M59" s="24">
        <f t="shared" si="40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1"/>
      <c r="X59" s="119"/>
      <c r="Y59" s="111"/>
      <c r="Z59" s="157"/>
      <c r="AA59" s="148"/>
      <c r="AB59" s="157"/>
      <c r="AC59" s="148"/>
      <c r="AD59" s="157"/>
      <c r="AE59" s="148"/>
      <c r="AF59" s="157"/>
      <c r="AG59" s="148"/>
      <c r="AH59" s="156"/>
      <c r="AI59" s="148"/>
      <c r="AJ59" s="149"/>
      <c r="AK59" s="148"/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3.5" customHeight="1">
      <c r="A60" s="111" t="s">
        <v>134</v>
      </c>
      <c r="B60" s="105">
        <f>SUM([1]Summ!C1034)</f>
        <v>915</v>
      </c>
      <c r="C60" s="39"/>
      <c r="D60" s="38"/>
      <c r="E60" s="75">
        <f>Poor!E60</f>
        <v>1</v>
      </c>
      <c r="F60" s="75">
        <f>Poor!F60</f>
        <v>1.1100000000000001</v>
      </c>
      <c r="G60" s="22"/>
      <c r="H60" s="24">
        <f>(E60*F60)</f>
        <v>1.1100000000000001</v>
      </c>
      <c r="I60" s="39">
        <f>I109*I$70</f>
        <v>0</v>
      </c>
      <c r="J60" s="51">
        <f>J109*I$70</f>
        <v>1015.65</v>
      </c>
      <c r="K60" s="40">
        <f>B60/B$63</f>
        <v>3.5030558842133616E-2</v>
      </c>
      <c r="L60" s="22">
        <f>(L109*G$29*F$9/F$7)/B$112</f>
        <v>3.6766870763335631E-2</v>
      </c>
      <c r="M60" s="24">
        <f>J60/B$63</f>
        <v>3.8883920314768318E-2</v>
      </c>
      <c r="O60" s="2"/>
      <c r="P60" s="2"/>
      <c r="Q60" s="2"/>
      <c r="R60" s="2"/>
      <c r="S60" s="2"/>
      <c r="T60" s="2"/>
      <c r="U60" s="56"/>
      <c r="V60" s="56"/>
      <c r="W60" s="111"/>
      <c r="X60" s="119"/>
      <c r="Y60" s="111"/>
      <c r="Z60" s="157">
        <f>Poor!Z60</f>
        <v>0.09</v>
      </c>
      <c r="AA60" s="148">
        <f>$H$60*$B$60*Z60</f>
        <v>91.408500000000004</v>
      </c>
      <c r="AB60" s="157">
        <f>Poor!AB60</f>
        <v>0.09</v>
      </c>
      <c r="AC60" s="148">
        <f>$H$60*$B$60*AB60</f>
        <v>91.408500000000004</v>
      </c>
      <c r="AD60" s="157">
        <f>Poor!AD60</f>
        <v>0.23</v>
      </c>
      <c r="AE60" s="148">
        <f>$H$60*$B$60*AD60</f>
        <v>233.59950000000003</v>
      </c>
      <c r="AF60" s="157">
        <f>Poor!AF60</f>
        <v>0.59</v>
      </c>
      <c r="AG60" s="148">
        <f>$H$60*$B$60*AF60</f>
        <v>599.23350000000005</v>
      </c>
      <c r="AH60" s="156">
        <f>SUM(Z60,AB60,AD60,AF60)</f>
        <v>1</v>
      </c>
      <c r="AI60" s="148">
        <f>SUM(AA60,AC60,AE60,AG60)</f>
        <v>1015.6500000000001</v>
      </c>
      <c r="AJ60" s="149">
        <f>(AA60+AC60)</f>
        <v>182.81700000000001</v>
      </c>
      <c r="AK60" s="148">
        <f>(AE60+AG60)</f>
        <v>832.83300000000008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1" t="s">
        <v>135</v>
      </c>
      <c r="B61" s="81">
        <f>B110*B70</f>
        <v>4800.0000000000018</v>
      </c>
      <c r="C61" s="39"/>
      <c r="D61" s="38"/>
      <c r="E61" s="32"/>
      <c r="F61" s="32"/>
      <c r="G61" s="32"/>
      <c r="H61" s="31"/>
      <c r="I61" s="39">
        <f>I110*I$70</f>
        <v>12435.375534979912</v>
      </c>
      <c r="J61" s="51">
        <f>J110*I$70</f>
        <v>5440.9250467869333</v>
      </c>
      <c r="K61" s="40">
        <f>B61/B$63</f>
        <v>0.18376686605709447</v>
      </c>
      <c r="L61" s="22">
        <f>(L110*G$29*F$9/F$7)/B$112</f>
        <v>0.19287538761094103</v>
      </c>
      <c r="M61" s="24">
        <f>J61/B$63</f>
        <v>0.20830453006241342</v>
      </c>
      <c r="O61" s="2"/>
      <c r="P61" s="2"/>
      <c r="Q61" s="2"/>
      <c r="R61" s="2"/>
      <c r="S61" s="2"/>
      <c r="T61" s="2"/>
      <c r="U61" s="56"/>
      <c r="V61" s="56"/>
      <c r="W61" s="111"/>
      <c r="X61" s="119"/>
      <c r="Y61" s="111"/>
      <c r="Z61" s="157"/>
      <c r="AA61" s="148">
        <f>AA22*$I$70/4</f>
        <v>642.34410511121735</v>
      </c>
      <c r="AB61" s="157"/>
      <c r="AC61" s="148">
        <f>AC22*$I$70/4</f>
        <v>1540.9242461562055</v>
      </c>
      <c r="AD61" s="157"/>
      <c r="AE61" s="148">
        <f>AE22*$I$70/4</f>
        <v>1336.3648028165223</v>
      </c>
      <c r="AF61" s="157"/>
      <c r="AG61" s="148">
        <f>AG22*$I$70/4</f>
        <v>1302.4821035929165</v>
      </c>
      <c r="AH61" s="156"/>
      <c r="AI61" s="148">
        <f>SUM(AA61,AC61,AE61,AG61)</f>
        <v>4822.1152576768618</v>
      </c>
      <c r="AJ61" s="149">
        <f>(AA61+AC61)</f>
        <v>2183.268351267423</v>
      </c>
      <c r="AK61" s="148">
        <f>(AE61+AG61)</f>
        <v>2638.8469064094388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1" t="s">
        <v>55</v>
      </c>
      <c r="B62" s="81">
        <f>B111*B70</f>
        <v>5081.023753594347</v>
      </c>
      <c r="C62" s="39"/>
      <c r="D62" s="38"/>
      <c r="E62" s="32"/>
      <c r="F62" s="32"/>
      <c r="G62" s="32"/>
      <c r="H62" s="31"/>
      <c r="I62" s="47"/>
      <c r="J62" s="51">
        <f>J111*I$70</f>
        <v>4847.0274534880964</v>
      </c>
      <c r="K62" s="40">
        <f>B62/B$63</f>
        <v>0.19452579407493487</v>
      </c>
      <c r="L62" s="22">
        <f>(L111*G$29*F$9/F$7)/B$112</f>
        <v>0.20416758873643917</v>
      </c>
      <c r="M62" s="24">
        <f>J62/B$63</f>
        <v>0.18556730100420965</v>
      </c>
      <c r="O62" s="2"/>
      <c r="P62" s="2"/>
      <c r="Q62" s="2"/>
      <c r="R62" s="2"/>
      <c r="S62" s="2"/>
      <c r="T62" s="2"/>
      <c r="U62" s="56"/>
      <c r="V62" s="56"/>
      <c r="W62" s="111"/>
      <c r="X62" s="158"/>
      <c r="Y62" s="162" t="s">
        <v>104</v>
      </c>
      <c r="Z62" s="159"/>
      <c r="AA62" s="150">
        <f>AA66-AA61</f>
        <v>2183.5565199575399</v>
      </c>
      <c r="AB62" s="159"/>
      <c r="AC62" s="150">
        <f>AA62+AC52-SUM(AC57,AC61)</f>
        <v>3468.5328988700921</v>
      </c>
      <c r="AD62" s="159"/>
      <c r="AE62" s="150">
        <f>AC62+AE52-SUM(AE57,AE61)</f>
        <v>4958.0687211223267</v>
      </c>
      <c r="AF62" s="159"/>
      <c r="AG62" s="150">
        <f>IF(SUM(AG6:AG21)+((AG52-AG57-$J$62)*4/I$70)&lt;1,0,AG52-AG57-$J$62-(1-SUM(AG6:AG21))*I$70/4)</f>
        <v>0</v>
      </c>
      <c r="AH62" s="135"/>
      <c r="AI62" s="150">
        <f>AI63-SUM(AI57,AI61)</f>
        <v>6481.4872425981666</v>
      </c>
      <c r="AJ62" s="152">
        <f>AJ63-SUM(AJ57,AJ61)</f>
        <v>3468.5328988700912</v>
      </c>
      <c r="AK62" s="150">
        <f>AJ62+AK63-SUM(AK57,AK61)</f>
        <v>6481.4872425981666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 thickBot="1">
      <c r="A63" s="1" t="s">
        <v>32</v>
      </c>
      <c r="B63" s="81">
        <f>B52</f>
        <v>26120.051470588238</v>
      </c>
      <c r="C63" s="39"/>
      <c r="D63" s="38"/>
      <c r="E63" s="32"/>
      <c r="F63" s="32"/>
      <c r="G63" s="32"/>
      <c r="H63" s="31"/>
      <c r="I63" s="39">
        <f>I112*I$70</f>
        <v>29904.767132352947</v>
      </c>
      <c r="J63" s="51">
        <f>J112*I$70</f>
        <v>28772.994097648061</v>
      </c>
      <c r="K63" s="40">
        <f>SUM(K57:K62)</f>
        <v>2.2439485441514813</v>
      </c>
      <c r="L63" s="22">
        <f>SUM(L57:L62)</f>
        <v>1.1026213774801701</v>
      </c>
      <c r="M63" s="24">
        <f>SUM(M57:M62)</f>
        <v>1.1015672817508455</v>
      </c>
      <c r="O63" s="2"/>
      <c r="P63" s="2"/>
      <c r="Q63" s="2"/>
      <c r="R63" s="2"/>
      <c r="S63" s="2"/>
      <c r="T63" s="2"/>
      <c r="U63" s="56"/>
      <c r="V63" s="56"/>
      <c r="W63" s="111"/>
      <c r="X63" s="191"/>
      <c r="Y63" s="191"/>
      <c r="Z63" s="138"/>
      <c r="AA63" s="155">
        <f>AA52</f>
        <v>7193.2485244120153</v>
      </c>
      <c r="AB63" s="138"/>
      <c r="AC63" s="154">
        <f>AC52</f>
        <v>7193.2485244120153</v>
      </c>
      <c r="AD63" s="138"/>
      <c r="AE63" s="154">
        <f>AE52</f>
        <v>7193.2485244120153</v>
      </c>
      <c r="AF63" s="138"/>
      <c r="AG63" s="154">
        <f>AG52</f>
        <v>7193.2485244120153</v>
      </c>
      <c r="AH63" s="138"/>
      <c r="AI63" s="154">
        <f>SUM(AA63,AC63,AE63,AG63)</f>
        <v>28772.994097648061</v>
      </c>
      <c r="AJ63" s="155">
        <f>SUM(AA63,AC63)</f>
        <v>14386.497048824031</v>
      </c>
      <c r="AK63" s="155">
        <f>SUM(AE63,AG63)</f>
        <v>14386.497048824031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 thickBot="1">
      <c r="A64" s="100" t="s">
        <v>36</v>
      </c>
      <c r="B64" s="81"/>
      <c r="C64" s="39"/>
      <c r="D64" s="38"/>
      <c r="E64" s="32"/>
      <c r="F64" s="32"/>
      <c r="G64" s="32"/>
      <c r="H64" s="31"/>
      <c r="I64" s="39">
        <f>I113*I$70</f>
        <v>1015.6499999999991</v>
      </c>
      <c r="J64" s="101">
        <f>J113*I$70</f>
        <v>0</v>
      </c>
      <c r="K64" s="40"/>
      <c r="L64" s="22">
        <f>-(L113*G$29*F$9/F$7)/B$112</f>
        <v>-2.1170495514326463E-3</v>
      </c>
      <c r="M64" s="24">
        <f>-J64/B$63</f>
        <v>0</v>
      </c>
      <c r="O64" s="2"/>
      <c r="P64" s="2"/>
      <c r="Q64" s="2"/>
      <c r="R64" s="2"/>
      <c r="S64" s="2"/>
      <c r="T64" s="2"/>
      <c r="U64" s="56"/>
      <c r="V64" s="56"/>
      <c r="W64" s="111"/>
      <c r="X64" s="111"/>
      <c r="Y64" s="162" t="s">
        <v>102</v>
      </c>
      <c r="Z64" s="160"/>
      <c r="AA64" s="112">
        <f>AA23*$I$70/4</f>
        <v>0</v>
      </c>
      <c r="AB64" s="113"/>
      <c r="AC64" s="112">
        <f>AC23*$I$70/4</f>
        <v>0</v>
      </c>
      <c r="AD64" s="113"/>
      <c r="AE64" s="112">
        <f>AE23*$I$70/4</f>
        <v>0</v>
      </c>
      <c r="AF64" s="113"/>
      <c r="AG64" s="112">
        <f>AG23*$I$70/4</f>
        <v>0</v>
      </c>
      <c r="AH64" s="111"/>
      <c r="AI64" s="155">
        <f>SUM(AA64,AC64,AE64,AG64)</f>
        <v>0</v>
      </c>
      <c r="AJ64" s="154">
        <f>SUM(AA64,AC64)</f>
        <v>0</v>
      </c>
      <c r="AK64" s="161">
        <f>SUM(AE64,AG64)</f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82" t="s">
        <v>37</v>
      </c>
      <c r="B65" s="39"/>
      <c r="C65" s="39"/>
      <c r="D65" s="38"/>
      <c r="E65" s="32"/>
      <c r="F65" s="32"/>
      <c r="G65" s="32"/>
      <c r="H65" s="31"/>
      <c r="I65" s="47"/>
      <c r="J65" s="48"/>
      <c r="K65" s="32"/>
      <c r="L65" s="32"/>
      <c r="M65" s="48"/>
      <c r="N65" s="2"/>
      <c r="O65" s="2"/>
      <c r="P65" s="2"/>
      <c r="Q65" s="2"/>
      <c r="R65" s="2"/>
      <c r="S65" s="2"/>
      <c r="T65" s="2"/>
      <c r="U65" s="56"/>
      <c r="V65" s="56"/>
      <c r="W65" s="111"/>
      <c r="X65" s="111"/>
      <c r="Y65" s="162" t="s">
        <v>103</v>
      </c>
      <c r="Z65" s="111"/>
      <c r="AA65" s="113">
        <f>IF(SUM(AG6:AG21)+((AG52-AG57-$J$62)*4/I$70)&lt;1,0,AG52-AG57-$J$62-(1-SUM(AG6:AG21))*I$70/4)</f>
        <v>0</v>
      </c>
      <c r="AB65" s="113"/>
      <c r="AC65" s="113">
        <f>IF(AA62&lt;0,0,AA62)</f>
        <v>2183.5565199575399</v>
      </c>
      <c r="AD65" s="113"/>
      <c r="AE65" s="113">
        <f>AC62</f>
        <v>3468.5328988700921</v>
      </c>
      <c r="AF65" s="113"/>
      <c r="AG65" s="113">
        <f>AE62</f>
        <v>4958.0687211223267</v>
      </c>
      <c r="AH65" s="111"/>
      <c r="AI65" s="147"/>
      <c r="AJ65" s="111"/>
      <c r="AK65" s="147"/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4" customHeight="1">
      <c r="A66" s="39" t="s">
        <v>38</v>
      </c>
      <c r="B66" s="236" t="str">
        <f>[1]Summ!C1037</f>
        <v>maize</v>
      </c>
      <c r="C66" s="39"/>
      <c r="D66" s="38"/>
      <c r="E66" s="32"/>
      <c r="F66" s="32"/>
      <c r="G66" s="32"/>
      <c r="H66" s="31"/>
      <c r="I66" s="47"/>
      <c r="J66" s="48"/>
      <c r="K66" s="32"/>
      <c r="L66" s="32"/>
      <c r="M66" s="48"/>
      <c r="N66" s="32"/>
      <c r="O66" s="2"/>
      <c r="P66" s="2"/>
      <c r="Q66" s="2"/>
      <c r="R66" s="2"/>
      <c r="S66" s="2"/>
      <c r="T66" s="2"/>
      <c r="U66" s="56"/>
      <c r="V66" s="56"/>
      <c r="W66" s="111"/>
      <c r="X66" s="111"/>
      <c r="Y66" s="162" t="s">
        <v>63</v>
      </c>
      <c r="Z66" s="111"/>
      <c r="AA66" s="113">
        <f>AA52-AA57+IF(SUM(AG6:AG21)+((AG52-AG57-$J$62)*4/I$70)&lt;1,0,AG52-AG57-$J$62-(1-SUM(AG6:AG21))*I$70/4)</f>
        <v>2825.9006250687571</v>
      </c>
      <c r="AB66" s="113"/>
      <c r="AC66" s="113">
        <f>AA66-AA61+AC52-AC57</f>
        <v>5009.4571450262974</v>
      </c>
      <c r="AD66" s="113"/>
      <c r="AE66" s="113">
        <f>AC66-AC61+AE52-AE57</f>
        <v>6294.4335239388492</v>
      </c>
      <c r="AF66" s="113"/>
      <c r="AG66" s="113">
        <f>AE66-AE61+AG52-AG57</f>
        <v>7783.9693461910829</v>
      </c>
      <c r="AH66" s="111"/>
      <c r="AI66" s="147"/>
      <c r="AJ66" s="111"/>
      <c r="AK66" s="147"/>
      <c r="AS66" s="25"/>
      <c r="AT66" s="25"/>
      <c r="AU66" s="25"/>
      <c r="AV66" s="25"/>
      <c r="AW66" s="25"/>
      <c r="AX66" s="25"/>
      <c r="AZ66" s="25"/>
      <c r="BA66" s="25"/>
      <c r="BB66" s="25"/>
      <c r="BC66" s="25"/>
      <c r="BD66" s="25"/>
      <c r="BE66" s="25"/>
      <c r="BI66" s="25"/>
      <c r="BJ66" s="25"/>
      <c r="BK66" s="25"/>
      <c r="BL66" s="25"/>
      <c r="BM66" s="25"/>
      <c r="BN66" s="25"/>
      <c r="BP66" s="25"/>
      <c r="BQ66" s="25"/>
      <c r="BR66" s="25"/>
      <c r="BS66" s="25"/>
      <c r="BT66" s="25"/>
      <c r="BU66" s="25"/>
      <c r="BX66" s="25"/>
      <c r="BY66" s="25"/>
      <c r="BZ66" s="25"/>
      <c r="CA66" s="25"/>
      <c r="CB66" s="25"/>
      <c r="CC66" s="25"/>
      <c r="CE66" s="25"/>
      <c r="CF66" s="25"/>
      <c r="CG66" s="25"/>
      <c r="CH66" s="25"/>
      <c r="CI66" s="25"/>
      <c r="CJ66" s="25"/>
    </row>
    <row r="67" spans="1:88" ht="14" customHeight="1">
      <c r="A67" s="39" t="s">
        <v>39</v>
      </c>
      <c r="B67" s="106">
        <f>[1]Summ!C1038</f>
        <v>0.58061985920496251</v>
      </c>
      <c r="C67" s="39"/>
      <c r="D67" s="38"/>
      <c r="E67" s="32"/>
      <c r="F67" s="32"/>
      <c r="G67" s="32"/>
      <c r="H67" s="31"/>
      <c r="I67" s="47"/>
      <c r="J67" s="48"/>
      <c r="K67" s="32"/>
      <c r="L67" s="32"/>
      <c r="M67" s="48"/>
      <c r="N67" s="32"/>
      <c r="O67" s="2"/>
      <c r="P67" s="2"/>
      <c r="Q67" s="2"/>
      <c r="R67" s="2"/>
      <c r="S67" s="2"/>
      <c r="T67" s="2"/>
      <c r="U67" s="56"/>
      <c r="V67" s="56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47"/>
      <c r="AJ67" s="111"/>
      <c r="AK67" s="147"/>
      <c r="AS67" s="25"/>
      <c r="AT67" s="25"/>
      <c r="AU67" s="25"/>
      <c r="AV67" s="25"/>
      <c r="AW67" s="25"/>
      <c r="AX67" s="25"/>
      <c r="AZ67" s="25"/>
      <c r="BA67" s="25"/>
      <c r="BB67" s="25"/>
      <c r="BC67" s="25"/>
      <c r="BD67" s="25"/>
      <c r="BE67" s="25"/>
      <c r="BI67" s="25"/>
      <c r="BJ67" s="25"/>
      <c r="BK67" s="25"/>
      <c r="BL67" s="25"/>
      <c r="BM67" s="25"/>
      <c r="BN67" s="25"/>
      <c r="BP67" s="25"/>
      <c r="BQ67" s="25"/>
      <c r="BR67" s="25"/>
      <c r="BS67" s="25"/>
      <c r="BT67" s="25"/>
      <c r="BU67" s="25"/>
      <c r="BX67" s="25"/>
      <c r="BY67" s="25"/>
      <c r="BZ67" s="25"/>
      <c r="CA67" s="25"/>
      <c r="CB67" s="25"/>
      <c r="CC67" s="25"/>
      <c r="CE67" s="25"/>
      <c r="CF67" s="25"/>
      <c r="CG67" s="25"/>
      <c r="CH67" s="25"/>
      <c r="CI67" s="25"/>
      <c r="CJ67" s="25"/>
    </row>
    <row r="68" spans="1:88" ht="14" customHeight="1">
      <c r="A68" s="39" t="s">
        <v>40</v>
      </c>
      <c r="B68" s="236">
        <f>[1]Summ!C1039</f>
        <v>6</v>
      </c>
      <c r="C68" s="39"/>
      <c r="D68" s="38"/>
      <c r="E68" s="32"/>
      <c r="F68" s="32"/>
      <c r="G68" s="32"/>
      <c r="H68" s="31"/>
      <c r="I68" s="47"/>
      <c r="J68" s="48"/>
      <c r="K68" s="32"/>
      <c r="L68" s="32"/>
      <c r="M68" s="48"/>
      <c r="N68" s="32"/>
      <c r="O68" s="2"/>
      <c r="P68" s="2"/>
      <c r="Q68" s="2"/>
      <c r="R68" s="2"/>
      <c r="S68" s="2"/>
      <c r="T68" s="2"/>
      <c r="U68" s="56"/>
      <c r="V68" s="56"/>
      <c r="W68" s="111"/>
      <c r="X68" s="111"/>
      <c r="Y68" s="111"/>
      <c r="Z68" s="144" t="s">
        <v>64</v>
      </c>
      <c r="AA68" s="160"/>
      <c r="AB68" s="160"/>
      <c r="AC68" s="160"/>
      <c r="AD68" s="160"/>
      <c r="AE68" s="160"/>
      <c r="AF68" s="160"/>
      <c r="AG68" s="145"/>
      <c r="AH68" s="115" t="s">
        <v>65</v>
      </c>
      <c r="AI68" s="147"/>
      <c r="AJ68" s="111"/>
      <c r="AK68" s="147"/>
      <c r="AS68" s="25"/>
      <c r="AT68" s="25"/>
      <c r="AU68" s="25"/>
      <c r="AV68" s="25"/>
      <c r="AW68" s="25"/>
      <c r="AX68" s="25"/>
      <c r="AZ68" s="25"/>
      <c r="BA68" s="25"/>
      <c r="BB68" s="25"/>
      <c r="BC68" s="25"/>
      <c r="BD68" s="25"/>
      <c r="BE68" s="25"/>
      <c r="BI68" s="25"/>
      <c r="BJ68" s="25"/>
      <c r="BK68" s="25"/>
      <c r="BL68" s="25"/>
      <c r="BM68" s="25"/>
      <c r="BN68" s="25"/>
      <c r="BP68" s="25"/>
      <c r="BQ68" s="25"/>
      <c r="BR68" s="25"/>
      <c r="BS68" s="25"/>
      <c r="BT68" s="25"/>
      <c r="BU68" s="25"/>
      <c r="BX68" s="25"/>
      <c r="BY68" s="25"/>
      <c r="BZ68" s="25"/>
      <c r="CA68" s="25"/>
      <c r="CB68" s="25"/>
      <c r="CC68" s="25"/>
      <c r="CE68" s="25"/>
      <c r="CF68" s="25"/>
      <c r="CG68" s="25"/>
      <c r="CH68" s="25"/>
      <c r="CI68" s="25"/>
      <c r="CJ68" s="25"/>
    </row>
    <row r="69" spans="1:88" ht="14" customHeight="1">
      <c r="A69" s="39" t="s">
        <v>41</v>
      </c>
      <c r="B69" s="106">
        <f>[1]Summ!C1040</f>
        <v>5</v>
      </c>
      <c r="C69" s="39"/>
      <c r="D69" s="38"/>
      <c r="E69" s="32"/>
      <c r="F69" s="32"/>
      <c r="G69" s="32"/>
      <c r="H69" s="31"/>
      <c r="I69" s="47"/>
      <c r="J69" s="48"/>
      <c r="K69" s="32"/>
      <c r="L69" s="32"/>
      <c r="M69" s="48"/>
      <c r="N69" s="32"/>
      <c r="O69" s="2"/>
      <c r="P69" s="2"/>
      <c r="Q69" s="2"/>
      <c r="R69" s="2"/>
      <c r="S69" s="2"/>
      <c r="T69" s="2"/>
      <c r="U69" s="56"/>
      <c r="V69" s="56"/>
      <c r="X69" s="111"/>
      <c r="Y69" s="162" t="s">
        <v>66</v>
      </c>
      <c r="Z69" s="163">
        <f>IF($AH$69=0,0,AA69/$AH$69)</f>
        <v>1</v>
      </c>
      <c r="AA69" s="195">
        <f>Poor!AA69</f>
        <v>5.6</v>
      </c>
      <c r="AB69" s="163">
        <f>IF($AH$69=0,0,AC69/$AH$69)</f>
        <v>1</v>
      </c>
      <c r="AC69" s="195">
        <f>Poor!AC69</f>
        <v>5.6</v>
      </c>
      <c r="AD69" s="163">
        <f>IF($AH$69=0,0,AE69/$AH$69)</f>
        <v>1</v>
      </c>
      <c r="AE69" s="195">
        <f>Poor!AE69</f>
        <v>5.6</v>
      </c>
      <c r="AF69" s="163">
        <f>IF($AH$69=0,0,AG69/$AH$69)</f>
        <v>1</v>
      </c>
      <c r="AG69" s="195">
        <f>Poor!AG69</f>
        <v>5.6</v>
      </c>
      <c r="AH69" s="165">
        <f>IF(PRODUCT(AA69,AC69,AE69,AG69)=0,0,SUM(AA69,AC69,AE69,AG69)/4)</f>
        <v>5.6</v>
      </c>
      <c r="AI69" s="147"/>
      <c r="AJ69" s="111"/>
      <c r="AK69" s="147"/>
      <c r="AS69" s="25"/>
      <c r="AT69" s="25"/>
      <c r="AU69" s="25"/>
      <c r="AV69" s="25"/>
      <c r="AW69" s="25"/>
      <c r="AX69" s="25"/>
      <c r="AZ69" s="25"/>
      <c r="BA69" s="25"/>
      <c r="BB69" s="25"/>
      <c r="BC69" s="25"/>
      <c r="BD69" s="25"/>
      <c r="BE69" s="25"/>
      <c r="BI69" s="25"/>
      <c r="BJ69" s="25"/>
      <c r="BK69" s="25"/>
      <c r="BL69" s="25"/>
      <c r="BM69" s="25"/>
      <c r="BN69" s="25"/>
      <c r="BP69" s="25"/>
      <c r="BQ69" s="25"/>
      <c r="BR69" s="25"/>
      <c r="BS69" s="25"/>
      <c r="BT69" s="25"/>
      <c r="BU69" s="25"/>
      <c r="BX69" s="25"/>
      <c r="BY69" s="25"/>
      <c r="BZ69" s="25"/>
      <c r="CA69" s="25"/>
      <c r="CB69" s="25"/>
      <c r="CC69" s="25"/>
      <c r="CE69" s="25"/>
      <c r="CF69" s="25"/>
      <c r="CG69" s="25"/>
      <c r="CH69" s="25"/>
      <c r="CI69" s="25"/>
      <c r="CJ69" s="25"/>
    </row>
    <row r="70" spans="1:88" ht="14" customHeight="1">
      <c r="A70" s="39" t="s">
        <v>42</v>
      </c>
      <c r="B70" s="39">
        <f>365*B67*B68*B69</f>
        <v>6357.7874582943405</v>
      </c>
      <c r="C70" s="39"/>
      <c r="D70" s="38"/>
      <c r="E70" s="32"/>
      <c r="F70" s="32"/>
      <c r="G70" s="32"/>
      <c r="H70" s="24">
        <f>G$29*F$9/F$7</f>
        <v>1.1199999999999999</v>
      </c>
      <c r="I70" s="39">
        <f xml:space="preserve"> B70*H70</f>
        <v>7120.7219532896606</v>
      </c>
      <c r="J70" s="48"/>
      <c r="K70" s="32"/>
      <c r="L70" s="32"/>
      <c r="M70" s="48"/>
      <c r="N70" s="32"/>
      <c r="O70" s="2"/>
      <c r="P70" s="2"/>
      <c r="Q70" s="2"/>
      <c r="R70" s="2"/>
      <c r="S70" s="2"/>
      <c r="T70" s="2"/>
      <c r="U70" s="56"/>
      <c r="V70" s="56"/>
      <c r="X70" s="111"/>
      <c r="Y70" s="162" t="s">
        <v>130</v>
      </c>
      <c r="Z70" s="111"/>
      <c r="AA70" s="166">
        <f>$I$70*Z69/4</f>
        <v>1780.1804883224152</v>
      </c>
      <c r="AB70" s="113"/>
      <c r="AC70" s="166">
        <f>$I$70*AB69/4</f>
        <v>1780.1804883224152</v>
      </c>
      <c r="AD70" s="113"/>
      <c r="AE70" s="166">
        <f>$I$70*AD69/4</f>
        <v>1780.1804883224152</v>
      </c>
      <c r="AF70" s="113"/>
      <c r="AG70" s="166">
        <f>$I$70*AF69/4</f>
        <v>1780.1804883224152</v>
      </c>
      <c r="AH70" s="166">
        <f>SUM(AA70,AC70,AE70,AG70)</f>
        <v>7120.7219532896606</v>
      </c>
      <c r="AI70" s="147"/>
      <c r="AJ70" s="111"/>
      <c r="AK70" s="147"/>
      <c r="AS70" s="25"/>
      <c r="AT70" s="25"/>
      <c r="AU70" s="25"/>
      <c r="AV70" s="25"/>
      <c r="AW70" s="25"/>
      <c r="AX70" s="25"/>
      <c r="AZ70" s="25"/>
      <c r="BA70" s="25"/>
      <c r="BB70" s="25"/>
      <c r="BC70" s="25"/>
      <c r="BD70" s="25"/>
      <c r="BE70" s="25"/>
      <c r="BI70" s="25"/>
      <c r="BJ70" s="25"/>
      <c r="BK70" s="25"/>
      <c r="BL70" s="25"/>
      <c r="BM70" s="25"/>
      <c r="BN70" s="25"/>
      <c r="BP70" s="25"/>
      <c r="BQ70" s="25"/>
      <c r="BR70" s="25"/>
      <c r="BS70" s="25"/>
      <c r="BT70" s="25"/>
      <c r="BU70" s="25"/>
      <c r="BX70" s="25"/>
      <c r="BY70" s="25"/>
      <c r="BZ70" s="25"/>
      <c r="CA70" s="25"/>
      <c r="CB70" s="25"/>
      <c r="CC70" s="25"/>
      <c r="CE70" s="25"/>
      <c r="CF70" s="25"/>
      <c r="CG70" s="25"/>
      <c r="CH70" s="25"/>
      <c r="CI70" s="25"/>
      <c r="CJ70" s="25"/>
    </row>
    <row r="71" spans="1:88" ht="14" customHeight="1" thickBot="1">
      <c r="A71" s="46" t="s">
        <v>136</v>
      </c>
      <c r="B71" s="240">
        <f>B57+((1-D21)*B70)</f>
        <v>19302.743580654889</v>
      </c>
      <c r="C71" s="46"/>
      <c r="D71" s="241"/>
      <c r="E71" s="64"/>
      <c r="F71" s="64"/>
      <c r="G71" s="64"/>
      <c r="H71" s="242">
        <f>IF(B71=0,0,I71/B71)</f>
        <v>1.1358775644021415</v>
      </c>
      <c r="I71" s="240">
        <f>(B57*H57)+((1-(D21*H21))*I70)</f>
        <v>21925.553364673349</v>
      </c>
      <c r="J71" s="48"/>
      <c r="K71" s="32"/>
      <c r="L71" s="32"/>
      <c r="M71" s="48"/>
      <c r="N71" s="32"/>
      <c r="O71" s="2"/>
      <c r="P71" s="2"/>
      <c r="Q71" s="2"/>
      <c r="R71" s="2"/>
      <c r="S71" s="2"/>
      <c r="T71" s="2"/>
      <c r="U71" s="56"/>
      <c r="V71" s="56"/>
      <c r="X71" s="111"/>
      <c r="Y71" s="162"/>
      <c r="Z71" s="111"/>
      <c r="AA71" s="111"/>
      <c r="AB71" s="111"/>
      <c r="AC71" s="111"/>
      <c r="AD71" s="111"/>
      <c r="AE71" s="111"/>
      <c r="AF71" s="111"/>
      <c r="AG71" s="111"/>
      <c r="AH71" s="111"/>
      <c r="AI71" s="147"/>
      <c r="AJ71" s="111"/>
      <c r="AK71" s="147"/>
      <c r="AS71" s="25"/>
      <c r="AT71" s="25"/>
      <c r="AU71" s="25"/>
      <c r="AV71" s="25"/>
      <c r="AW71" s="25"/>
      <c r="AX71" s="25"/>
      <c r="AZ71" s="25"/>
      <c r="BA71" s="25"/>
      <c r="BB71" s="25"/>
      <c r="BC71" s="25"/>
      <c r="BD71" s="25"/>
      <c r="BE71" s="25"/>
      <c r="BI71" s="25"/>
      <c r="BJ71" s="25"/>
      <c r="BK71" s="25"/>
      <c r="BL71" s="25"/>
      <c r="BM71" s="25"/>
      <c r="BN71" s="25"/>
      <c r="BP71" s="25"/>
      <c r="BQ71" s="25"/>
      <c r="BR71" s="25"/>
      <c r="BS71" s="25"/>
      <c r="BT71" s="25"/>
      <c r="BU71" s="25"/>
      <c r="BX71" s="25"/>
      <c r="BY71" s="25"/>
      <c r="BZ71" s="25"/>
      <c r="CA71" s="25"/>
      <c r="CB71" s="25"/>
      <c r="CC71" s="25"/>
      <c r="CE71" s="25"/>
      <c r="CF71" s="25"/>
      <c r="CG71" s="25"/>
      <c r="CH71" s="25"/>
      <c r="CI71" s="25"/>
      <c r="CJ71" s="25"/>
    </row>
    <row r="72" spans="1:88" ht="14" customHeight="1" thickBot="1">
      <c r="A72" s="39" t="s">
        <v>43</v>
      </c>
      <c r="B72" s="39"/>
      <c r="C72" s="39"/>
      <c r="D72" s="38"/>
      <c r="E72" s="32"/>
      <c r="F72" s="32"/>
      <c r="G72" s="32"/>
      <c r="H72" s="31"/>
      <c r="I72" s="47"/>
      <c r="J72" s="48"/>
      <c r="K72" s="32"/>
      <c r="L72" s="32"/>
      <c r="M72" s="48"/>
      <c r="N72" s="32"/>
      <c r="O72" s="2"/>
      <c r="P72" s="2"/>
      <c r="Q72" s="2"/>
      <c r="R72" s="2"/>
      <c r="S72" s="2"/>
      <c r="T72" s="2"/>
      <c r="U72" s="56"/>
      <c r="V72" s="56"/>
      <c r="X72" s="111"/>
      <c r="Y72" s="162"/>
      <c r="Z72" s="111"/>
      <c r="AA72" s="114"/>
      <c r="AB72" s="111"/>
      <c r="AC72" s="114"/>
      <c r="AD72" s="111"/>
      <c r="AE72" s="114"/>
      <c r="AF72" s="111"/>
      <c r="AG72" s="114"/>
      <c r="AH72" s="111"/>
      <c r="AI72" s="192"/>
      <c r="AJ72" s="193"/>
      <c r="AK72" s="194"/>
      <c r="AS72" s="25"/>
      <c r="AT72" s="25"/>
      <c r="AU72" s="25"/>
      <c r="AV72" s="25"/>
      <c r="AW72" s="25"/>
      <c r="AX72" s="25"/>
      <c r="AZ72" s="25"/>
      <c r="BA72" s="25"/>
      <c r="BB72" s="25"/>
      <c r="BC72" s="25"/>
      <c r="BD72" s="25"/>
      <c r="BE72" s="25"/>
      <c r="BI72" s="25"/>
      <c r="BJ72" s="25"/>
      <c r="BK72" s="25"/>
      <c r="BL72" s="25"/>
      <c r="BM72" s="25"/>
      <c r="BN72" s="25"/>
      <c r="BP72" s="25"/>
      <c r="BQ72" s="25"/>
      <c r="BR72" s="25"/>
      <c r="BS72" s="25"/>
      <c r="BT72" s="25"/>
      <c r="BU72" s="25"/>
      <c r="BX72" s="25"/>
      <c r="BY72" s="25"/>
      <c r="BZ72" s="25"/>
      <c r="CA72" s="25"/>
      <c r="CB72" s="25"/>
      <c r="CC72" s="25"/>
      <c r="CE72" s="25"/>
      <c r="CF72" s="25"/>
      <c r="CG72" s="25"/>
      <c r="CH72" s="25"/>
      <c r="CI72" s="25"/>
      <c r="CJ72" s="25"/>
    </row>
    <row r="73" spans="1:88" ht="14" customHeight="1">
      <c r="A73" s="107"/>
      <c r="B73" s="108"/>
      <c r="C73" s="39"/>
      <c r="D73" s="38"/>
      <c r="E73" s="32"/>
      <c r="F73" s="32"/>
      <c r="G73" s="32"/>
      <c r="H73" s="31"/>
      <c r="I73" s="47"/>
      <c r="J73" s="48"/>
      <c r="K73" s="32"/>
      <c r="L73" s="32"/>
      <c r="M73" s="48"/>
      <c r="N73" s="32"/>
      <c r="O73" s="2"/>
      <c r="P73" s="2"/>
      <c r="Q73" s="2"/>
      <c r="R73" s="2"/>
      <c r="S73" s="2"/>
      <c r="T73" s="2"/>
      <c r="U73" s="2"/>
      <c r="V73" s="2"/>
      <c r="W73" s="2"/>
      <c r="X73" s="2"/>
      <c r="Y73" s="56"/>
      <c r="Z73" s="56"/>
      <c r="AA73" s="41"/>
      <c r="AB73" s="56"/>
      <c r="AC73" s="41"/>
      <c r="AD73" s="56"/>
      <c r="AE73" s="41"/>
      <c r="AF73" s="56"/>
      <c r="AG73" s="41"/>
      <c r="AH73" s="67"/>
      <c r="AI73" s="67"/>
      <c r="AJ73" s="67"/>
      <c r="AS73" s="25"/>
      <c r="AT73" s="25"/>
      <c r="AU73" s="25"/>
      <c r="AV73" s="25"/>
      <c r="AW73" s="25"/>
      <c r="AX73" s="25"/>
      <c r="AZ73" s="25"/>
      <c r="BA73" s="25"/>
      <c r="BB73" s="25"/>
      <c r="BC73" s="25"/>
      <c r="BD73" s="25"/>
      <c r="BE73" s="25"/>
      <c r="BI73" s="25"/>
      <c r="BJ73" s="25"/>
      <c r="BK73" s="25"/>
      <c r="BL73" s="25"/>
      <c r="BM73" s="25"/>
      <c r="BN73" s="25"/>
      <c r="BP73" s="25"/>
      <c r="BQ73" s="25"/>
      <c r="BR73" s="25"/>
      <c r="BS73" s="25"/>
      <c r="BT73" s="25"/>
      <c r="BU73" s="25"/>
      <c r="BX73" s="25"/>
      <c r="BY73" s="25"/>
      <c r="BZ73" s="25"/>
      <c r="CA73" s="25"/>
      <c r="CB73" s="25"/>
      <c r="CC73" s="25"/>
      <c r="CE73" s="25"/>
      <c r="CF73" s="25"/>
      <c r="CG73" s="25"/>
      <c r="CH73" s="25"/>
      <c r="CI73" s="25"/>
      <c r="CJ73" s="25"/>
    </row>
    <row r="74" spans="1:88" ht="14" customHeight="1">
      <c r="A74" s="39" t="s">
        <v>123</v>
      </c>
      <c r="B74" s="75">
        <f>[1]Summ!$H$892</f>
        <v>0</v>
      </c>
      <c r="C74" s="14"/>
      <c r="D74" s="12"/>
      <c r="E74" s="14"/>
      <c r="F74" s="14"/>
      <c r="G74" s="14"/>
      <c r="H74" s="12"/>
      <c r="I74" s="14"/>
      <c r="J74" s="12"/>
      <c r="K74" s="14"/>
      <c r="L74" s="14"/>
      <c r="M74" s="10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59"/>
      <c r="Z74" s="56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S74" s="25"/>
      <c r="AT74" s="25"/>
      <c r="AU74" s="25"/>
      <c r="AV74" s="25"/>
      <c r="AW74" s="25"/>
      <c r="AX74" s="25"/>
      <c r="AZ74" s="25"/>
      <c r="BA74" s="25"/>
      <c r="BB74" s="25"/>
      <c r="BC74" s="25"/>
      <c r="BD74" s="25"/>
      <c r="BE74" s="25"/>
      <c r="BI74" s="25"/>
      <c r="BJ74" s="25"/>
      <c r="BK74" s="25"/>
      <c r="BL74" s="25"/>
      <c r="BM74" s="25"/>
      <c r="BN74" s="25"/>
      <c r="BP74" s="25"/>
      <c r="BQ74" s="25"/>
      <c r="BR74" s="25"/>
      <c r="BS74" s="25"/>
      <c r="BT74" s="25"/>
      <c r="BU74" s="25"/>
      <c r="BX74" s="25"/>
      <c r="BY74" s="25"/>
      <c r="BZ74" s="25"/>
      <c r="CA74" s="25"/>
      <c r="CB74" s="25"/>
      <c r="CC74" s="25"/>
      <c r="CE74" s="25"/>
      <c r="CF74" s="25"/>
      <c r="CG74" s="25"/>
      <c r="CH74" s="25"/>
      <c r="CI74" s="25"/>
      <c r="CJ74" s="25"/>
    </row>
    <row r="75" spans="1:88" ht="15.75" customHeight="1">
      <c r="A75" s="73" t="str">
        <f>A26</f>
        <v>Income : Very Poor HHs</v>
      </c>
      <c r="B75" s="2"/>
      <c r="C75" s="2"/>
      <c r="D75" s="31"/>
      <c r="E75" s="2"/>
      <c r="F75" s="2"/>
      <c r="G75" s="2"/>
      <c r="H75" s="17"/>
      <c r="I75" s="2"/>
      <c r="J75" s="33"/>
      <c r="M75" s="57"/>
      <c r="N75" s="58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S75" s="25"/>
      <c r="AT75" s="25"/>
      <c r="AU75" s="25"/>
      <c r="AV75" s="25"/>
      <c r="AW75" s="25"/>
      <c r="AX75" s="25"/>
      <c r="AZ75" s="25"/>
      <c r="BA75" s="25"/>
      <c r="BB75" s="25"/>
      <c r="BC75" s="25"/>
      <c r="BD75" s="25"/>
      <c r="BE75" s="25"/>
      <c r="BI75" s="25"/>
      <c r="BJ75" s="25"/>
      <c r="BK75" s="25"/>
      <c r="BL75" s="25"/>
      <c r="BM75" s="25"/>
      <c r="BN75" s="25"/>
      <c r="BP75" s="25"/>
      <c r="BQ75" s="25"/>
      <c r="BR75" s="25"/>
      <c r="BS75" s="25"/>
      <c r="BT75" s="25"/>
      <c r="BU75" s="25"/>
      <c r="BX75" s="25"/>
      <c r="BY75" s="25"/>
      <c r="BZ75" s="25"/>
      <c r="CA75" s="25"/>
      <c r="CB75" s="25"/>
      <c r="CC75" s="25"/>
      <c r="CE75" s="25"/>
      <c r="CF75" s="25"/>
      <c r="CG75" s="25"/>
      <c r="CH75" s="25"/>
      <c r="CI75" s="25"/>
      <c r="CJ75" s="25"/>
    </row>
    <row r="76" spans="1:88" ht="14" customHeight="1">
      <c r="A76" s="2"/>
      <c r="B76" s="19" t="s">
        <v>7</v>
      </c>
      <c r="C76" s="19" t="s">
        <v>8</v>
      </c>
      <c r="D76" s="16" t="s">
        <v>9</v>
      </c>
      <c r="H76" s="16" t="s">
        <v>12</v>
      </c>
      <c r="I76" s="19" t="s">
        <v>13</v>
      </c>
      <c r="J76" s="16" t="s">
        <v>14</v>
      </c>
      <c r="K76" s="19" t="s">
        <v>7</v>
      </c>
      <c r="L76" s="19" t="s">
        <v>15</v>
      </c>
      <c r="M76" s="57" t="str">
        <f t="shared" ref="M76:M101" si="41">(J76)</f>
        <v>Curr.</v>
      </c>
      <c r="N76" s="58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S76" s="25"/>
      <c r="AT76" s="25"/>
      <c r="AU76" s="25"/>
      <c r="AV76" s="25"/>
      <c r="AW76" s="25"/>
      <c r="AX76" s="25"/>
      <c r="AZ76" s="25"/>
      <c r="BA76" s="25"/>
      <c r="BB76" s="25"/>
      <c r="BC76" s="25"/>
      <c r="BD76" s="25"/>
      <c r="BE76" s="25"/>
      <c r="BI76" s="25"/>
      <c r="BJ76" s="25"/>
      <c r="BK76" s="25"/>
      <c r="BL76" s="25"/>
      <c r="BM76" s="25"/>
      <c r="BN76" s="25"/>
      <c r="BP76" s="25"/>
      <c r="BQ76" s="25"/>
      <c r="BR76" s="25"/>
      <c r="BS76" s="25"/>
      <c r="BT76" s="25"/>
      <c r="BU76" s="25"/>
      <c r="BX76" s="25"/>
      <c r="BY76" s="25"/>
      <c r="BZ76" s="25"/>
      <c r="CA76" s="25"/>
      <c r="CB76" s="25"/>
      <c r="CC76" s="25"/>
      <c r="CE76" s="25"/>
      <c r="CF76" s="25"/>
      <c r="CG76" s="25"/>
      <c r="CH76" s="25"/>
      <c r="CI76" s="25"/>
      <c r="CJ76" s="25"/>
    </row>
    <row r="77" spans="1:88" ht="14" customHeight="1">
      <c r="A77" s="2" t="s">
        <v>44</v>
      </c>
      <c r="B77" s="19" t="s">
        <v>16</v>
      </c>
      <c r="C77" s="19" t="s">
        <v>17</v>
      </c>
      <c r="D77" s="16" t="s">
        <v>16</v>
      </c>
      <c r="H77" s="16" t="s">
        <v>18</v>
      </c>
      <c r="I77" s="19" t="s">
        <v>16</v>
      </c>
      <c r="J77" s="16" t="s">
        <v>16</v>
      </c>
      <c r="K77" s="19" t="s">
        <v>16</v>
      </c>
      <c r="L77" s="19" t="s">
        <v>19</v>
      </c>
      <c r="M77" s="57" t="str">
        <f t="shared" si="41"/>
        <v>Access</v>
      </c>
      <c r="N77" s="58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S77" s="25"/>
      <c r="AT77" s="25"/>
      <c r="AU77" s="25"/>
      <c r="AV77" s="25"/>
      <c r="AW77" s="25"/>
      <c r="AX77" s="25"/>
      <c r="AZ77" s="25"/>
      <c r="BA77" s="25"/>
      <c r="BB77" s="25"/>
      <c r="BC77" s="25"/>
      <c r="BD77" s="25"/>
      <c r="BE77" s="25"/>
      <c r="BI77" s="25"/>
      <c r="BJ77" s="25"/>
      <c r="BK77" s="25"/>
      <c r="BL77" s="25"/>
      <c r="BM77" s="25"/>
      <c r="BN77" s="25"/>
      <c r="BP77" s="25"/>
      <c r="BQ77" s="25"/>
      <c r="BR77" s="25"/>
      <c r="BS77" s="25"/>
      <c r="BT77" s="25"/>
      <c r="BU77" s="25"/>
      <c r="BX77" s="25"/>
      <c r="BY77" s="25"/>
      <c r="BZ77" s="25"/>
      <c r="CA77" s="25"/>
      <c r="CB77" s="25"/>
      <c r="CC77" s="25"/>
      <c r="CE77" s="25"/>
      <c r="CF77" s="25"/>
      <c r="CG77" s="25"/>
      <c r="CH77" s="25"/>
      <c r="CI77" s="25"/>
      <c r="CJ77" s="25"/>
    </row>
    <row r="78" spans="1:88" ht="14" customHeight="1">
      <c r="A78" s="2" t="str">
        <f t="shared" ref="A78:A100" si="42">IF(A29="","",A29)</f>
        <v>Cattle sales - local: no. sold</v>
      </c>
      <c r="B78" s="75">
        <f t="shared" ref="B78:C100" si="43">(B29/$B$70)</f>
        <v>0</v>
      </c>
      <c r="C78" s="75">
        <f t="shared" si="43"/>
        <v>0</v>
      </c>
      <c r="D78" s="24">
        <f t="shared" ref="D78:D100" si="44">(B78+C78)</f>
        <v>0</v>
      </c>
      <c r="H78" s="24">
        <f t="shared" ref="H78:H100" si="45">(E29*F29/G29*F$7/F$9)</f>
        <v>0.99107142857142871</v>
      </c>
      <c r="I78" s="22">
        <f t="shared" ref="I78:I100" si="46">(D78*H78)</f>
        <v>0</v>
      </c>
      <c r="J78" s="24">
        <f t="shared" ref="J78:J86" si="47">IF(I$24&lt;=1+I$113,I78,L78+J$25*(I78-L78))</f>
        <v>0</v>
      </c>
      <c r="K78" s="22">
        <f t="shared" ref="K78:K100" si="48">(B78)</f>
        <v>0</v>
      </c>
      <c r="L78" s="22">
        <f t="shared" ref="L78:L100" si="49">(K78*H78)</f>
        <v>0</v>
      </c>
      <c r="M78" s="233">
        <f t="shared" si="41"/>
        <v>0</v>
      </c>
      <c r="N78" s="235">
        <v>5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S78" s="25"/>
      <c r="AT78" s="25"/>
      <c r="AU78" s="25"/>
      <c r="AV78" s="25"/>
      <c r="AW78" s="25"/>
      <c r="AX78" s="25"/>
      <c r="AZ78" s="25"/>
      <c r="BA78" s="25"/>
      <c r="BB78" s="25"/>
      <c r="BC78" s="25"/>
      <c r="BD78" s="25"/>
      <c r="BE78" s="25"/>
      <c r="BI78" s="25"/>
      <c r="BJ78" s="25"/>
      <c r="BK78" s="25"/>
      <c r="BL78" s="25"/>
      <c r="BM78" s="25"/>
      <c r="BN78" s="25"/>
      <c r="BP78" s="25"/>
      <c r="BQ78" s="25"/>
      <c r="BR78" s="25"/>
      <c r="BS78" s="25"/>
      <c r="BT78" s="25"/>
      <c r="BU78" s="25"/>
      <c r="BX78" s="25"/>
      <c r="BY78" s="25"/>
      <c r="BZ78" s="25"/>
      <c r="CA78" s="25"/>
      <c r="CB78" s="25"/>
      <c r="CC78" s="25"/>
      <c r="CE78" s="25"/>
      <c r="CF78" s="25"/>
      <c r="CG78" s="25"/>
      <c r="CH78" s="25"/>
      <c r="CI78" s="25"/>
      <c r="CJ78" s="25"/>
    </row>
    <row r="79" spans="1:88" ht="14" customHeight="1">
      <c r="A79" s="2" t="str">
        <f t="shared" si="42"/>
        <v>Goat sales - local: no. sold</v>
      </c>
      <c r="B79" s="75">
        <f t="shared" si="43"/>
        <v>0</v>
      </c>
      <c r="C79" s="75">
        <f t="shared" si="43"/>
        <v>0</v>
      </c>
      <c r="D79" s="24">
        <f t="shared" si="44"/>
        <v>0</v>
      </c>
      <c r="H79" s="24">
        <f t="shared" si="45"/>
        <v>0.97321428571428581</v>
      </c>
      <c r="I79" s="22">
        <f t="shared" si="46"/>
        <v>0</v>
      </c>
      <c r="J79" s="24">
        <f t="shared" si="47"/>
        <v>0</v>
      </c>
      <c r="K79" s="22">
        <f t="shared" si="48"/>
        <v>0</v>
      </c>
      <c r="L79" s="22">
        <f t="shared" si="49"/>
        <v>0</v>
      </c>
      <c r="M79" s="233">
        <f t="shared" si="41"/>
        <v>0</v>
      </c>
      <c r="N79" s="235">
        <v>5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2" t="str">
        <f t="shared" si="42"/>
        <v>Chicken sales: no. sold</v>
      </c>
      <c r="B80" s="75">
        <f t="shared" si="43"/>
        <v>0</v>
      </c>
      <c r="C80" s="75">
        <f t="shared" si="43"/>
        <v>0</v>
      </c>
      <c r="D80" s="24">
        <f t="shared" si="44"/>
        <v>0</v>
      </c>
      <c r="H80" s="24">
        <f t="shared" si="45"/>
        <v>0.97321428571428581</v>
      </c>
      <c r="I80" s="22">
        <f t="shared" si="46"/>
        <v>0</v>
      </c>
      <c r="J80" s="24">
        <f t="shared" si="47"/>
        <v>0</v>
      </c>
      <c r="K80" s="22">
        <f t="shared" si="48"/>
        <v>0</v>
      </c>
      <c r="L80" s="22">
        <f t="shared" si="49"/>
        <v>0</v>
      </c>
      <c r="M80" s="233">
        <f t="shared" si="41"/>
        <v>0</v>
      </c>
      <c r="N80" s="235">
        <v>5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2" t="str">
        <f t="shared" si="42"/>
        <v>Maize: kg produced</v>
      </c>
      <c r="B81" s="75">
        <f t="shared" si="43"/>
        <v>0</v>
      </c>
      <c r="C81" s="75">
        <f t="shared" si="43"/>
        <v>0</v>
      </c>
      <c r="D81" s="24">
        <f t="shared" si="44"/>
        <v>0</v>
      </c>
      <c r="H81" s="24">
        <f t="shared" si="45"/>
        <v>0.91071428571428581</v>
      </c>
      <c r="I81" s="22">
        <f t="shared" si="46"/>
        <v>0</v>
      </c>
      <c r="J81" s="24">
        <f t="shared" si="47"/>
        <v>0</v>
      </c>
      <c r="K81" s="22">
        <f t="shared" si="48"/>
        <v>0</v>
      </c>
      <c r="L81" s="22">
        <f t="shared" si="49"/>
        <v>0</v>
      </c>
      <c r="M81" s="234">
        <f t="shared" si="41"/>
        <v>0</v>
      </c>
      <c r="N81" s="235">
        <v>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2" t="str">
        <f t="shared" si="42"/>
        <v>Beans: kg produced</v>
      </c>
      <c r="B82" s="75">
        <f t="shared" si="43"/>
        <v>0</v>
      </c>
      <c r="C82" s="75">
        <f t="shared" si="43"/>
        <v>0</v>
      </c>
      <c r="D82" s="24">
        <f t="shared" si="44"/>
        <v>0</v>
      </c>
      <c r="H82" s="24">
        <f t="shared" si="45"/>
        <v>1.0089285714285714</v>
      </c>
      <c r="I82" s="22">
        <f t="shared" si="46"/>
        <v>0</v>
      </c>
      <c r="J82" s="24">
        <f t="shared" si="47"/>
        <v>0</v>
      </c>
      <c r="K82" s="22">
        <f t="shared" si="48"/>
        <v>0</v>
      </c>
      <c r="L82" s="22">
        <f t="shared" si="49"/>
        <v>0</v>
      </c>
      <c r="M82" s="234">
        <f t="shared" si="41"/>
        <v>0</v>
      </c>
      <c r="N82" s="235">
        <v>2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2" t="str">
        <f t="shared" si="42"/>
        <v>Water melon: no. local meas</v>
      </c>
      <c r="B83" s="75">
        <f t="shared" si="43"/>
        <v>0</v>
      </c>
      <c r="C83" s="75">
        <f t="shared" si="43"/>
        <v>0</v>
      </c>
      <c r="D83" s="24">
        <f t="shared" si="44"/>
        <v>0</v>
      </c>
      <c r="H83" s="24">
        <f t="shared" si="45"/>
        <v>1.0892857142857144</v>
      </c>
      <c r="I83" s="22">
        <f t="shared" si="46"/>
        <v>0</v>
      </c>
      <c r="J83" s="24">
        <f t="shared" si="47"/>
        <v>0</v>
      </c>
      <c r="K83" s="22">
        <f t="shared" si="48"/>
        <v>0</v>
      </c>
      <c r="L83" s="22">
        <f t="shared" si="49"/>
        <v>0</v>
      </c>
      <c r="M83" s="234">
        <f t="shared" si="41"/>
        <v>0</v>
      </c>
      <c r="N83" s="235">
        <v>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>
      <c r="A84" s="2" t="str">
        <f t="shared" si="42"/>
        <v>WILD FOODS -- see worksheet Data 3</v>
      </c>
      <c r="B84" s="75">
        <f t="shared" si="43"/>
        <v>0</v>
      </c>
      <c r="C84" s="75">
        <f t="shared" si="43"/>
        <v>0.11796556662515564</v>
      </c>
      <c r="D84" s="24">
        <f t="shared" si="44"/>
        <v>0.11796556662515564</v>
      </c>
      <c r="H84" s="24">
        <f t="shared" si="45"/>
        <v>0.71428571428571441</v>
      </c>
      <c r="I84" s="22">
        <f t="shared" si="46"/>
        <v>8.4261119017968331E-2</v>
      </c>
      <c r="J84" s="24">
        <f t="shared" si="47"/>
        <v>-2.1009602207798417E-3</v>
      </c>
      <c r="K84" s="22">
        <f t="shared" si="48"/>
        <v>0</v>
      </c>
      <c r="L84" s="22">
        <f t="shared" si="49"/>
        <v>0</v>
      </c>
      <c r="M84" s="234">
        <f t="shared" si="41"/>
        <v>-2.1009602207798417E-3</v>
      </c>
      <c r="N84" s="235">
        <v>6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>
      <c r="A85" s="2" t="str">
        <f t="shared" si="42"/>
        <v>Agricultural cash income -- see Data2</v>
      </c>
      <c r="B85" s="75">
        <f t="shared" si="43"/>
        <v>0.11010119551681194</v>
      </c>
      <c r="C85" s="75">
        <f t="shared" si="43"/>
        <v>0</v>
      </c>
      <c r="D85" s="24">
        <f t="shared" si="44"/>
        <v>0.11010119551681194</v>
      </c>
      <c r="H85" s="24">
        <f t="shared" si="45"/>
        <v>0.862232142857143</v>
      </c>
      <c r="I85" s="22">
        <f t="shared" si="46"/>
        <v>9.4932789741594026E-2</v>
      </c>
      <c r="J85" s="24">
        <f t="shared" si="47"/>
        <v>9.4932789741594026E-2</v>
      </c>
      <c r="K85" s="22">
        <f t="shared" si="48"/>
        <v>0.11010119551681194</v>
      </c>
      <c r="L85" s="22">
        <f t="shared" si="49"/>
        <v>9.4932789741594026E-2</v>
      </c>
      <c r="M85" s="234">
        <f t="shared" si="41"/>
        <v>9.4932789741594026E-2</v>
      </c>
      <c r="N85" s="235">
        <v>7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2" t="str">
        <f t="shared" si="42"/>
        <v>Construction cash income -- see Data2</v>
      </c>
      <c r="B86" s="75">
        <f t="shared" si="43"/>
        <v>0.1384129315068493</v>
      </c>
      <c r="C86" s="75">
        <f t="shared" si="43"/>
        <v>0</v>
      </c>
      <c r="D86" s="24">
        <f t="shared" si="44"/>
        <v>0.1384129315068493</v>
      </c>
      <c r="H86" s="24">
        <f t="shared" si="45"/>
        <v>0.98214285714285743</v>
      </c>
      <c r="I86" s="22">
        <f t="shared" si="46"/>
        <v>0.13594127201565559</v>
      </c>
      <c r="J86" s="24">
        <f t="shared" si="47"/>
        <v>0.13594127201565559</v>
      </c>
      <c r="K86" s="22">
        <f t="shared" si="48"/>
        <v>0.1384129315068493</v>
      </c>
      <c r="L86" s="22">
        <f t="shared" si="49"/>
        <v>0.13594127201565559</v>
      </c>
      <c r="M86" s="234">
        <f t="shared" si="41"/>
        <v>0.13594127201565559</v>
      </c>
      <c r="N86" s="235">
        <v>7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2" t="str">
        <f t="shared" si="42"/>
        <v>Domestic work cash income -- see Data2</v>
      </c>
      <c r="B87" s="75">
        <f t="shared" si="43"/>
        <v>0.94372453300124515</v>
      </c>
      <c r="C87" s="75">
        <f t="shared" si="43"/>
        <v>0</v>
      </c>
      <c r="D87" s="24">
        <f t="shared" si="44"/>
        <v>0.94372453300124515</v>
      </c>
      <c r="H87" s="24">
        <f t="shared" si="45"/>
        <v>0.98214285714285743</v>
      </c>
      <c r="I87" s="22">
        <f t="shared" si="46"/>
        <v>0.92687230919765173</v>
      </c>
      <c r="J87" s="24">
        <f>IF(I$24&lt;=1+I113,I87,L87+J$25*(I87-L87))</f>
        <v>0.92687230919765173</v>
      </c>
      <c r="K87" s="22">
        <f t="shared" si="48"/>
        <v>0.94372453300124515</v>
      </c>
      <c r="L87" s="22">
        <f t="shared" si="49"/>
        <v>0.92687230919765173</v>
      </c>
      <c r="M87" s="234">
        <f t="shared" si="41"/>
        <v>0.92687230919765173</v>
      </c>
      <c r="N87" s="235">
        <v>7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4" customHeight="1">
      <c r="A88" s="2" t="str">
        <f t="shared" si="42"/>
        <v>Labour migration(formal employment): no. people per HH</v>
      </c>
      <c r="B88" s="75">
        <f t="shared" si="43"/>
        <v>0</v>
      </c>
      <c r="C88" s="75">
        <f t="shared" si="43"/>
        <v>0</v>
      </c>
      <c r="D88" s="24">
        <f t="shared" si="44"/>
        <v>0</v>
      </c>
      <c r="H88" s="24">
        <f t="shared" si="45"/>
        <v>0.95535714285714302</v>
      </c>
      <c r="I88" s="22">
        <f t="shared" si="46"/>
        <v>0</v>
      </c>
      <c r="J88" s="24">
        <f>IF(I$24&lt;=1+I113,I88,L88+J$25*(I88-L88))</f>
        <v>0</v>
      </c>
      <c r="K88" s="22">
        <f t="shared" si="48"/>
        <v>0</v>
      </c>
      <c r="L88" s="22">
        <f t="shared" si="49"/>
        <v>0</v>
      </c>
      <c r="M88" s="233">
        <f t="shared" si="41"/>
        <v>0</v>
      </c>
      <c r="N88" s="235">
        <v>8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 t="str">
        <f t="shared" si="42"/>
        <v>Formal Employment (conservancies, etc.)</v>
      </c>
      <c r="B89" s="75">
        <f t="shared" si="43"/>
        <v>0</v>
      </c>
      <c r="C89" s="75">
        <f t="shared" si="43"/>
        <v>0</v>
      </c>
      <c r="D89" s="24">
        <f t="shared" si="44"/>
        <v>0</v>
      </c>
      <c r="H89" s="24">
        <f t="shared" si="45"/>
        <v>0.95535714285714302</v>
      </c>
      <c r="I89" s="22">
        <f t="shared" si="46"/>
        <v>0</v>
      </c>
      <c r="J89" s="24">
        <f>IF(I$24&lt;=1+I113,I89,L89+J$25*(I89-L89))</f>
        <v>0</v>
      </c>
      <c r="K89" s="22">
        <f t="shared" si="48"/>
        <v>0</v>
      </c>
      <c r="L89" s="22">
        <f t="shared" si="49"/>
        <v>0</v>
      </c>
      <c r="M89" s="234">
        <f t="shared" si="41"/>
        <v>0</v>
      </c>
      <c r="N89" s="235">
        <v>8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tr">
        <f t="shared" si="42"/>
        <v>Self-employment -- see Data2</v>
      </c>
      <c r="B90" s="75">
        <f t="shared" si="43"/>
        <v>0.36050277160647565</v>
      </c>
      <c r="C90" s="75">
        <f t="shared" si="43"/>
        <v>7.2100554321295141E-2</v>
      </c>
      <c r="D90" s="24">
        <f t="shared" si="44"/>
        <v>0.43260332592777079</v>
      </c>
      <c r="H90" s="24">
        <f t="shared" si="45"/>
        <v>0.98214285714285743</v>
      </c>
      <c r="I90" s="22">
        <f t="shared" si="46"/>
        <v>0.42487826653620359</v>
      </c>
      <c r="J90" s="24">
        <f>IF(I$24&lt;=1+I113,I90,L90+J$25*(I90-L90))</f>
        <v>0.3522995751439596</v>
      </c>
      <c r="K90" s="22">
        <f t="shared" si="48"/>
        <v>0.36050277160647565</v>
      </c>
      <c r="L90" s="22">
        <f t="shared" si="49"/>
        <v>0.354065222113503</v>
      </c>
      <c r="M90" s="234">
        <f t="shared" si="41"/>
        <v>0.3522995751439596</v>
      </c>
      <c r="N90" s="235">
        <v>10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si="42"/>
        <v>Small business -- see Data2</v>
      </c>
      <c r="B91" s="75">
        <f t="shared" si="43"/>
        <v>0</v>
      </c>
      <c r="C91" s="75">
        <f t="shared" si="43"/>
        <v>0</v>
      </c>
      <c r="D91" s="24">
        <f t="shared" si="44"/>
        <v>0</v>
      </c>
      <c r="H91" s="24">
        <f t="shared" si="45"/>
        <v>0.93750000000000022</v>
      </c>
      <c r="I91" s="22">
        <f t="shared" si="46"/>
        <v>0</v>
      </c>
      <c r="J91" s="24">
        <f>IF(I$24&lt;=1+I113,I91,L91+J$25*(I91-L91))</f>
        <v>0</v>
      </c>
      <c r="K91" s="22">
        <f t="shared" si="48"/>
        <v>0</v>
      </c>
      <c r="L91" s="22">
        <f t="shared" si="49"/>
        <v>0</v>
      </c>
      <c r="M91" s="234">
        <f t="shared" si="41"/>
        <v>0</v>
      </c>
      <c r="N91" s="235">
        <v>11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2"/>
        <v>Social development -- see Data2</v>
      </c>
      <c r="B92" s="75">
        <f t="shared" si="43"/>
        <v>2.5556141310435132</v>
      </c>
      <c r="C92" s="75">
        <f t="shared" si="43"/>
        <v>0</v>
      </c>
      <c r="D92" s="24">
        <f t="shared" si="44"/>
        <v>2.5556141310435132</v>
      </c>
      <c r="H92" s="24">
        <f t="shared" si="45"/>
        <v>0.99107142857142871</v>
      </c>
      <c r="I92" s="22">
        <f t="shared" si="46"/>
        <v>2.5327961477306249</v>
      </c>
      <c r="J92" s="24">
        <f>IF(I$24&lt;=1+I113,I92,L92+J$25*(I92-L92))</f>
        <v>2.5327961477306249</v>
      </c>
      <c r="K92" s="22">
        <f t="shared" si="48"/>
        <v>2.5556141310435132</v>
      </c>
      <c r="L92" s="22">
        <f t="shared" si="49"/>
        <v>2.5327961477306249</v>
      </c>
      <c r="M92" s="234">
        <f t="shared" si="41"/>
        <v>2.5327961477306249</v>
      </c>
      <c r="N92" s="235">
        <v>14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2"/>
        <v>Public works -- see Data2</v>
      </c>
      <c r="B93" s="75">
        <f t="shared" si="43"/>
        <v>0</v>
      </c>
      <c r="C93" s="75">
        <f t="shared" si="43"/>
        <v>0</v>
      </c>
      <c r="D93" s="24">
        <f t="shared" si="44"/>
        <v>0</v>
      </c>
      <c r="H93" s="24">
        <f t="shared" si="45"/>
        <v>0.95535714285714302</v>
      </c>
      <c r="I93" s="22">
        <f t="shared" si="46"/>
        <v>0</v>
      </c>
      <c r="J93" s="24">
        <f>IF(I$24&lt;=1+I114,I93,L93+J$25*(I93-L93))</f>
        <v>0</v>
      </c>
      <c r="K93" s="22">
        <f t="shared" si="48"/>
        <v>0</v>
      </c>
      <c r="L93" s="22">
        <f t="shared" si="49"/>
        <v>0</v>
      </c>
      <c r="M93" s="234">
        <f>(J93)</f>
        <v>0</v>
      </c>
      <c r="N93" s="235">
        <v>9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2"/>
        <v>Remittances: no. times per year</v>
      </c>
      <c r="B94" s="75">
        <f t="shared" si="43"/>
        <v>0</v>
      </c>
      <c r="C94" s="75">
        <f t="shared" si="43"/>
        <v>0</v>
      </c>
      <c r="D94" s="24">
        <f t="shared" si="44"/>
        <v>0</v>
      </c>
      <c r="H94" s="24">
        <f t="shared" si="45"/>
        <v>0.93750000000000022</v>
      </c>
      <c r="I94" s="22">
        <f t="shared" si="46"/>
        <v>0</v>
      </c>
      <c r="J94" s="24">
        <f>IF(I$24&lt;=1+I115,I94,L94+J$25*(I94-L94))</f>
        <v>0</v>
      </c>
      <c r="K94" s="22">
        <f t="shared" si="48"/>
        <v>0</v>
      </c>
      <c r="L94" s="22">
        <f t="shared" si="49"/>
        <v>0</v>
      </c>
      <c r="M94" s="234">
        <f t="shared" si="41"/>
        <v>0</v>
      </c>
      <c r="N94" s="235">
        <v>15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2"/>
        <v/>
      </c>
      <c r="B95" s="75">
        <f t="shared" si="43"/>
        <v>0</v>
      </c>
      <c r="C95" s="75">
        <f t="shared" si="43"/>
        <v>0</v>
      </c>
      <c r="D95" s="24">
        <f t="shared" si="44"/>
        <v>0</v>
      </c>
      <c r="H95" s="24">
        <f t="shared" si="45"/>
        <v>0.8928571428571429</v>
      </c>
      <c r="I95" s="22">
        <f t="shared" si="46"/>
        <v>0</v>
      </c>
      <c r="J95" s="24">
        <f>IF(I$24&lt;=1+I116,I95,L95+J$25*(I95-L95))</f>
        <v>0</v>
      </c>
      <c r="K95" s="22">
        <f t="shared" si="48"/>
        <v>0</v>
      </c>
      <c r="L95" s="22">
        <f t="shared" si="49"/>
        <v>0</v>
      </c>
      <c r="M95" s="234">
        <f t="shared" si="41"/>
        <v>0</v>
      </c>
      <c r="N95" s="235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2"/>
        <v/>
      </c>
      <c r="B96" s="75">
        <f t="shared" si="43"/>
        <v>0</v>
      </c>
      <c r="C96" s="75">
        <f t="shared" si="43"/>
        <v>0</v>
      </c>
      <c r="D96" s="24">
        <f t="shared" si="44"/>
        <v>0</v>
      </c>
      <c r="H96" s="24">
        <f t="shared" si="45"/>
        <v>0.8928571428571429</v>
      </c>
      <c r="I96" s="22">
        <f t="shared" si="46"/>
        <v>0</v>
      </c>
      <c r="J96" s="24">
        <f>IF(I$24&lt;=1+I113,I96,L96+J$25*(I96-L96))</f>
        <v>0</v>
      </c>
      <c r="K96" s="22">
        <f t="shared" si="48"/>
        <v>0</v>
      </c>
      <c r="L96" s="22">
        <f t="shared" si="49"/>
        <v>0</v>
      </c>
      <c r="M96" s="233">
        <f>(J96)</f>
        <v>0</v>
      </c>
      <c r="N96" s="235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2"/>
        <v/>
      </c>
      <c r="B97" s="75">
        <f t="shared" si="43"/>
        <v>0</v>
      </c>
      <c r="C97" s="75">
        <f t="shared" si="43"/>
        <v>0</v>
      </c>
      <c r="D97" s="24">
        <f t="shared" si="44"/>
        <v>0</v>
      </c>
      <c r="H97" s="24">
        <f t="shared" si="45"/>
        <v>0.8928571428571429</v>
      </c>
      <c r="I97" s="22">
        <f t="shared" si="46"/>
        <v>0</v>
      </c>
      <c r="J97" s="24">
        <f>IF(I$24&lt;=1+I114,I97,L97+J$25*(I97-L97))</f>
        <v>0</v>
      </c>
      <c r="K97" s="22">
        <f t="shared" si="48"/>
        <v>0</v>
      </c>
      <c r="L97" s="22">
        <f t="shared" si="49"/>
        <v>0</v>
      </c>
      <c r="M97" s="233">
        <f t="shared" si="41"/>
        <v>0</v>
      </c>
      <c r="N97" s="235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2"/>
        <v/>
      </c>
      <c r="B98" s="75">
        <f t="shared" si="43"/>
        <v>0</v>
      </c>
      <c r="C98" s="75">
        <f t="shared" si="43"/>
        <v>0</v>
      </c>
      <c r="D98" s="24">
        <f t="shared" si="44"/>
        <v>0</v>
      </c>
      <c r="H98" s="24">
        <f t="shared" si="45"/>
        <v>0.8928571428571429</v>
      </c>
      <c r="I98" s="22">
        <f t="shared" si="46"/>
        <v>0</v>
      </c>
      <c r="J98" s="24">
        <f>IF(I$24&lt;=1+I115,I98,L98+J$25*(I98-L98))</f>
        <v>0</v>
      </c>
      <c r="K98" s="22">
        <f t="shared" si="48"/>
        <v>0</v>
      </c>
      <c r="L98" s="22">
        <f t="shared" si="49"/>
        <v>0</v>
      </c>
      <c r="M98" s="57">
        <f t="shared" si="41"/>
        <v>0</v>
      </c>
      <c r="N98" s="235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2"/>
        <v/>
      </c>
      <c r="B99" s="75">
        <f t="shared" si="43"/>
        <v>0</v>
      </c>
      <c r="C99" s="75">
        <f t="shared" si="43"/>
        <v>0</v>
      </c>
      <c r="D99" s="24">
        <f t="shared" si="44"/>
        <v>0</v>
      </c>
      <c r="H99" s="24">
        <f t="shared" si="45"/>
        <v>0.8928571428571429</v>
      </c>
      <c r="I99" s="22">
        <f t="shared" si="46"/>
        <v>0</v>
      </c>
      <c r="J99" s="24">
        <f>IF(I$24&lt;=1+I116,I99,L99+J$25*(I99-L99))</f>
        <v>0</v>
      </c>
      <c r="K99" s="22">
        <f t="shared" si="48"/>
        <v>0</v>
      </c>
      <c r="L99" s="22">
        <f t="shared" si="49"/>
        <v>0</v>
      </c>
      <c r="M99" s="57">
        <f t="shared" si="41"/>
        <v>0</v>
      </c>
      <c r="N99" s="23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2"/>
        <v/>
      </c>
      <c r="B100" s="75">
        <f t="shared" si="43"/>
        <v>0</v>
      </c>
      <c r="C100" s="75">
        <f t="shared" si="43"/>
        <v>0</v>
      </c>
      <c r="D100" s="24">
        <f t="shared" si="44"/>
        <v>0</v>
      </c>
      <c r="H100" s="24">
        <f t="shared" si="45"/>
        <v>0.8928571428571429</v>
      </c>
      <c r="I100" s="22">
        <f t="shared" si="46"/>
        <v>0</v>
      </c>
      <c r="J100" s="24">
        <f>IF(I$24&lt;=1+I113,I100,L100+J$25*(I100-L100))</f>
        <v>0</v>
      </c>
      <c r="K100" s="22">
        <f t="shared" si="48"/>
        <v>0</v>
      </c>
      <c r="L100" s="22">
        <f t="shared" si="49"/>
        <v>0</v>
      </c>
      <c r="M100" s="57">
        <f t="shared" si="41"/>
        <v>0</v>
      </c>
      <c r="N100" s="23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">
        <v>32</v>
      </c>
      <c r="B101" s="22">
        <f>SUM(B78:B100)</f>
        <v>4.1083555626748955</v>
      </c>
      <c r="C101" s="22">
        <f>SUM(C78:C100)</f>
        <v>0.19006612094645078</v>
      </c>
      <c r="D101" s="24">
        <f>SUM(D78:D100)</f>
        <v>4.2984216836213456</v>
      </c>
      <c r="E101" s="22"/>
      <c r="F101" s="2"/>
      <c r="G101" s="2"/>
      <c r="H101" s="31"/>
      <c r="I101" s="22">
        <f>SUM(I78:I100)</f>
        <v>4.1996819042396982</v>
      </c>
      <c r="J101" s="24">
        <f>SUM(J78:J100)</f>
        <v>4.040741133608706</v>
      </c>
      <c r="K101" s="22">
        <f>SUM(K78:K100)</f>
        <v>4.1083555626748955</v>
      </c>
      <c r="L101" s="22">
        <f>SUM(L78:L100)</f>
        <v>4.0446077407990293</v>
      </c>
      <c r="M101" s="57">
        <f t="shared" si="41"/>
        <v>4.040741133608706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83"/>
      <c r="B102" s="83"/>
      <c r="C102" s="83"/>
      <c r="D102" s="10"/>
      <c r="E102" s="11"/>
      <c r="F102" s="11"/>
      <c r="G102" s="11"/>
      <c r="H102" s="10"/>
      <c r="I102" s="11"/>
      <c r="J102" s="62"/>
      <c r="K102" s="14"/>
      <c r="L102" s="11"/>
      <c r="M102" s="63"/>
      <c r="N102" s="5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>
      <c r="A103" s="73" t="str">
        <f>A54</f>
        <v>Expenditure : Very Poor HHs</v>
      </c>
      <c r="B103" s="2"/>
      <c r="C103" s="2"/>
      <c r="D103" s="31"/>
      <c r="E103" s="2"/>
      <c r="F103" s="2"/>
      <c r="G103" s="2"/>
      <c r="H103" s="31"/>
      <c r="I103" s="22"/>
      <c r="J103" s="18"/>
      <c r="L103" s="2"/>
      <c r="M103" s="57"/>
      <c r="N103" s="5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2"/>
      <c r="AC103" s="2"/>
      <c r="AD103" s="2"/>
      <c r="AE103" s="2"/>
      <c r="AF103" s="2"/>
      <c r="AG103" s="2"/>
      <c r="AM103" s="21"/>
      <c r="AN103" s="21"/>
      <c r="AO103" s="21"/>
      <c r="AV103" s="21"/>
      <c r="AW103" s="21"/>
      <c r="AX103" s="21"/>
      <c r="BC103" s="21"/>
      <c r="BD103" s="21"/>
      <c r="BE103" s="21"/>
      <c r="BL103" s="21"/>
      <c r="BM103" s="21"/>
      <c r="BN103" s="21"/>
      <c r="BS103" s="21"/>
      <c r="BT103" s="21"/>
      <c r="BU103" s="21"/>
      <c r="CA103" s="21"/>
      <c r="CB103" s="21"/>
      <c r="CC103" s="21"/>
      <c r="CH103" s="21"/>
      <c r="CI103" s="21"/>
      <c r="CJ103" s="21"/>
    </row>
    <row r="104" spans="1:88" ht="14" customHeight="1">
      <c r="A104" s="84"/>
      <c r="B104" s="19" t="s">
        <v>7</v>
      </c>
      <c r="C104" s="2"/>
      <c r="D104" s="16"/>
      <c r="H104" s="16" t="s">
        <v>12</v>
      </c>
      <c r="I104" s="19" t="s">
        <v>13</v>
      </c>
      <c r="J104" s="16" t="s">
        <v>14</v>
      </c>
      <c r="K104" s="19" t="s">
        <v>7</v>
      </c>
      <c r="L104" s="19" t="s">
        <v>15</v>
      </c>
      <c r="M104" s="57" t="str">
        <f t="shared" ref="M104:M112" si="50">(J104)</f>
        <v>Curr.</v>
      </c>
      <c r="N104" s="5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">
        <v>44</v>
      </c>
      <c r="B105" s="19" t="s">
        <v>35</v>
      </c>
      <c r="C105" s="2"/>
      <c r="D105" s="31"/>
      <c r="H105" s="16" t="s">
        <v>18</v>
      </c>
      <c r="I105" s="19" t="s">
        <v>35</v>
      </c>
      <c r="J105" s="16" t="s">
        <v>35</v>
      </c>
      <c r="K105" s="19" t="s">
        <v>35</v>
      </c>
      <c r="L105" s="19" t="s">
        <v>19</v>
      </c>
      <c r="M105" s="57" t="str">
        <f t="shared" si="50"/>
        <v>Expend</v>
      </c>
      <c r="N105" s="5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2"/>
      <c r="AC105" s="2"/>
      <c r="AD105" s="2"/>
      <c r="AE105" s="2"/>
      <c r="AF105" s="2"/>
      <c r="AG105" s="2"/>
    </row>
    <row r="106" spans="1:88" ht="14" customHeight="1">
      <c r="A106" s="111" t="s">
        <v>131</v>
      </c>
      <c r="B106" s="75">
        <f>IF($B$68=0,0,B57/$B$70)</f>
        <v>2.4102768168196995</v>
      </c>
      <c r="C106" s="2"/>
      <c r="D106" s="24"/>
      <c r="H106" s="24">
        <f>(E57*F57/G$29*F$7/F$9)</f>
        <v>1.0178571428571428</v>
      </c>
      <c r="I106" s="29">
        <f>IF(SUMPRODUCT($B$106:$B106,$H$106:$H106)&lt;I$101,($B106*$H106),I$101)</f>
        <v>2.4533174742629082</v>
      </c>
      <c r="J106" s="243">
        <f>IF(SUMPRODUCT($B$106:$B106,$H$106:$H106)&lt;J$101,($B106*$H106),J$101)</f>
        <v>2.4533174742629082</v>
      </c>
      <c r="K106" s="22">
        <f>(B106)</f>
        <v>2.4102768168196995</v>
      </c>
      <c r="L106" s="22">
        <f>IF(B106*H106&gt;=L101,L101,B106*H106)</f>
        <v>2.4533174742629082</v>
      </c>
      <c r="M106" s="57">
        <f t="shared" si="50"/>
        <v>2.4533174742629082</v>
      </c>
      <c r="N106" s="58"/>
      <c r="O106" s="175">
        <f>B106*H106</f>
        <v>2.4533174742629082</v>
      </c>
      <c r="P106" s="173"/>
      <c r="Q106" s="174"/>
      <c r="R106" s="69"/>
      <c r="S106" s="2"/>
      <c r="T106" s="2"/>
      <c r="U106" s="2"/>
      <c r="V106" s="2"/>
      <c r="W106" s="2"/>
      <c r="X106" s="2"/>
      <c r="Y106" s="2"/>
      <c r="Z106" s="2"/>
      <c r="AA106" s="2"/>
      <c r="AB106" s="22"/>
      <c r="AC106" s="2"/>
      <c r="AD106" s="2"/>
      <c r="AE106" s="2"/>
      <c r="AF106" s="2"/>
      <c r="AG106" s="2"/>
    </row>
    <row r="107" spans="1:88" ht="14" customHeight="1">
      <c r="A107" s="111" t="s">
        <v>132</v>
      </c>
      <c r="B107" s="75"/>
      <c r="C107" s="2"/>
      <c r="D107" s="24"/>
      <c r="H107" s="24">
        <f t="shared" ref="H107:H108" si="51">(E58*F58/G$29*F$7/F$9)</f>
        <v>0.99107142857142871</v>
      </c>
      <c r="I107" s="29">
        <f>IF(SUMPRODUCT($B$106:$B107,$H$106:$H107)&lt;I$101,($B107*$H107),IF(SUMPRODUCT($B$106:$B106,$H$106:$H106)&lt;I$101,I$101-SUMPRODUCT($B$106:$B106,$H$106:$H106),0))</f>
        <v>0</v>
      </c>
      <c r="J107" s="243">
        <f>IF(SUMPRODUCT($B$106:$B107,$H$106:$H107)&lt;J$101,($B107*$H107),IF(SUMPRODUCT($B$106:$B106,$H$106:$H106)&lt;J$101,J$101-SUMPRODUCT($B$106:$B106,$H$106:$H106),0))</f>
        <v>0</v>
      </c>
      <c r="K107" s="22">
        <f t="shared" ref="K107:K108" si="52">(B107)</f>
        <v>0</v>
      </c>
      <c r="L107" s="22">
        <f t="shared" ref="L107:L108" si="53">IF(B107*H107&gt;=L102,L102,B107*H107)</f>
        <v>0</v>
      </c>
      <c r="M107" s="57">
        <f t="shared" ref="M107:M108" si="54">(J107)</f>
        <v>0</v>
      </c>
      <c r="N107" s="58"/>
      <c r="O107" s="175"/>
      <c r="P107" s="173"/>
      <c r="Q107" s="174"/>
      <c r="R107" s="69"/>
      <c r="S107" s="2"/>
      <c r="T107" s="2"/>
      <c r="U107" s="2"/>
      <c r="V107" s="2"/>
      <c r="W107" s="2"/>
      <c r="X107" s="2"/>
      <c r="Y107" s="2"/>
      <c r="Z107" s="2"/>
      <c r="AA107" s="2"/>
      <c r="AB107" s="22"/>
      <c r="AC107" s="2"/>
      <c r="AD107" s="2"/>
      <c r="AE107" s="2"/>
      <c r="AF107" s="2"/>
      <c r="AG107" s="2"/>
    </row>
    <row r="108" spans="1:88" ht="14" customHeight="1">
      <c r="A108" s="111" t="s">
        <v>133</v>
      </c>
      <c r="B108" s="75"/>
      <c r="C108" s="2"/>
      <c r="D108" s="24"/>
      <c r="H108" s="24">
        <f t="shared" si="51"/>
        <v>0.99107142857142871</v>
      </c>
      <c r="I108" s="29">
        <f>IF(SUMPRODUCT($B$106:$B108,$H$106:$H108)&lt;(I$101-I$110),($B108*$H108),IF(SUMPRODUCT($B$106:$B107,$H$106:$H107)&lt;(I$101-I$110),I$101-I$110-SUMPRODUCT($B$106:$B107,$H$106:$H107),0))</f>
        <v>0</v>
      </c>
      <c r="J108" s="243">
        <f>IF(SUMPRODUCT($B$106:$B108,$H$106:$H108)&lt;(J$101-J$110),($B108*$H108),IF(SUMPRODUCT($B$106:$B107,$H$106:$H107)&lt;(J$101-J$110),J$101-J$110-SUMPRODUCT($B$106:$B107,$H$106:$H107),0))</f>
        <v>0</v>
      </c>
      <c r="K108" s="22">
        <f t="shared" si="52"/>
        <v>0</v>
      </c>
      <c r="L108" s="22">
        <f t="shared" si="53"/>
        <v>0</v>
      </c>
      <c r="M108" s="57">
        <f t="shared" si="54"/>
        <v>0</v>
      </c>
      <c r="N108" s="58"/>
      <c r="O108" s="175"/>
      <c r="P108" s="173"/>
      <c r="Q108" s="174"/>
      <c r="R108" s="69"/>
      <c r="S108" s="2"/>
      <c r="T108" s="2"/>
      <c r="U108" s="2"/>
      <c r="V108" s="2"/>
      <c r="W108" s="2"/>
      <c r="X108" s="2"/>
      <c r="Y108" s="2"/>
      <c r="Z108" s="2"/>
      <c r="AA108" s="2"/>
      <c r="AB108" s="22"/>
      <c r="AC108" s="2"/>
      <c r="AD108" s="2"/>
      <c r="AE108" s="2"/>
      <c r="AF108" s="2"/>
      <c r="AG108" s="2"/>
    </row>
    <row r="109" spans="1:88" ht="14" customHeight="1">
      <c r="A109" s="111" t="s">
        <v>134</v>
      </c>
      <c r="B109" s="75">
        <f>IF($B$68=0,0,B60/$B$70)</f>
        <v>0.14391799128268989</v>
      </c>
      <c r="C109" s="2"/>
      <c r="D109" s="24"/>
      <c r="H109" s="24">
        <f>(E60*F60/G$29*F$7/F$9)</f>
        <v>0.99107142857142871</v>
      </c>
      <c r="I109" s="29">
        <f>IF(SUMPRODUCT($B$106:$B109,$H$106:$H109)&lt;(I$101-I$110),($B109*$H109),IF(SUMPRODUCT($B$106:$B108,$H$106:$H108)&lt;(I$101-I110),I$101-I$110-SUMPRODUCT($B$106:$B108,$H$106:$H108),0))</f>
        <v>0</v>
      </c>
      <c r="J109" s="243">
        <f>IF(SUMPRODUCT($B$106:$B109,$H$106:$H109)&lt;(J$101-J$110),($B109*$H109),IF(SUMPRODUCT($B$106:$B108,$H$106:$H108)&lt;(J$101-J110),J$101-J$110-SUMPRODUCT($B$106:$B108,$H$106:$H108),0))</f>
        <v>0.14263300921766589</v>
      </c>
      <c r="K109" s="22">
        <f>(B109)</f>
        <v>0.14391799128268989</v>
      </c>
      <c r="L109" s="22">
        <f>IF(L106=L101,0,(L101-L106)/(B101-B106)*K109)</f>
        <v>0.13486730180598119</v>
      </c>
      <c r="M109" s="57">
        <f t="shared" si="50"/>
        <v>0.14263300921766589</v>
      </c>
      <c r="N109" s="58"/>
      <c r="O109" s="175">
        <f>B109*H109</f>
        <v>0.14263300921766589</v>
      </c>
      <c r="Q109" s="2"/>
      <c r="R109" s="22"/>
      <c r="S109" s="2"/>
      <c r="T109" s="2"/>
      <c r="U109" s="2"/>
      <c r="V109" s="2"/>
      <c r="W109" s="2"/>
      <c r="X109" s="2"/>
      <c r="Y109" s="2"/>
      <c r="Z109" s="2"/>
      <c r="AA109" s="2"/>
      <c r="AB109" s="22"/>
      <c r="AC109" s="2"/>
      <c r="AD109" s="2"/>
      <c r="AE109" s="2"/>
      <c r="AF109" s="2"/>
      <c r="AG109" s="2"/>
    </row>
    <row r="110" spans="1:88" ht="14" customHeight="1">
      <c r="A110" s="1" t="s">
        <v>135</v>
      </c>
      <c r="B110" s="22">
        <f>(B22)</f>
        <v>0.75497962640099636</v>
      </c>
      <c r="C110" s="2"/>
      <c r="D110" s="31"/>
      <c r="E110" s="2"/>
      <c r="F110" s="2"/>
      <c r="G110" s="2"/>
      <c r="H110" s="24"/>
      <c r="I110" s="29">
        <f>(I22)</f>
        <v>1.74636442997679</v>
      </c>
      <c r="J110" s="234">
        <f>(J22)</f>
        <v>0.76409738822526441</v>
      </c>
      <c r="K110" s="22">
        <f>(B110)</f>
        <v>0.75497962640099636</v>
      </c>
      <c r="L110" s="22">
        <f>IF(L106=L101,0,(L101-L106)/(B101-B106)*K110)</f>
        <v>0.70750059963793421</v>
      </c>
      <c r="M110" s="57">
        <f t="shared" si="50"/>
        <v>0.76409738822526441</v>
      </c>
      <c r="N110" s="5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2"/>
      <c r="AC110" s="2"/>
      <c r="AD110" s="2"/>
      <c r="AE110" s="2"/>
      <c r="AF110" s="2"/>
      <c r="AG110" s="2"/>
    </row>
    <row r="111" spans="1:88" ht="14" customHeight="1">
      <c r="A111" s="56" t="s">
        <v>55</v>
      </c>
      <c r="B111" s="22">
        <f>(B112-B106-B109-B110)</f>
        <v>0.79918112817150988</v>
      </c>
      <c r="C111" s="2"/>
      <c r="D111" s="31"/>
      <c r="E111" s="2"/>
      <c r="F111" s="2"/>
      <c r="G111" s="2"/>
      <c r="H111" s="24"/>
      <c r="I111" s="29"/>
      <c r="J111" s="234">
        <f>(J112-J106-J107-J108-J109-J110)</f>
        <v>0.68069326190286739</v>
      </c>
      <c r="K111" s="22">
        <f>(B111)</f>
        <v>0.79918112817150988</v>
      </c>
      <c r="L111" s="22">
        <f>IF(L106=L101,0,(L101-L106)/(B101-B106)*K111)</f>
        <v>0.74892236509220567</v>
      </c>
      <c r="M111" s="57">
        <f t="shared" si="50"/>
        <v>0.68069326190286739</v>
      </c>
      <c r="N111" s="5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2"/>
      <c r="AC111" s="2"/>
      <c r="AD111" s="2"/>
      <c r="AE111" s="2"/>
      <c r="AF111" s="2"/>
      <c r="AG111" s="2"/>
    </row>
    <row r="112" spans="1:88" ht="14" customHeight="1">
      <c r="A112" s="2" t="s">
        <v>32</v>
      </c>
      <c r="B112" s="22">
        <f>(B101)</f>
        <v>4.1083555626748955</v>
      </c>
      <c r="C112" s="2"/>
      <c r="D112" s="31"/>
      <c r="E112" s="2"/>
      <c r="F112" s="2"/>
      <c r="G112" s="2"/>
      <c r="H112" s="24"/>
      <c r="I112" s="29">
        <f>(I101)</f>
        <v>4.1996819042396982</v>
      </c>
      <c r="J112" s="234">
        <f>(J101)</f>
        <v>4.040741133608706</v>
      </c>
      <c r="K112" s="22">
        <f>(B112)</f>
        <v>4.1083555626748955</v>
      </c>
      <c r="L112" s="22">
        <f>(L101)</f>
        <v>4.0446077407990293</v>
      </c>
      <c r="M112" s="57">
        <f t="shared" si="50"/>
        <v>4.040741133608706</v>
      </c>
      <c r="N112" s="5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2"/>
      <c r="AC112" s="2"/>
      <c r="AD112" s="2"/>
      <c r="AE112" s="2"/>
      <c r="AF112" s="2"/>
      <c r="AG112" s="2"/>
    </row>
    <row r="113" spans="1:33" ht="14" customHeight="1">
      <c r="A113" s="2" t="s">
        <v>36</v>
      </c>
      <c r="B113" s="22"/>
      <c r="C113" s="2"/>
      <c r="D113" s="31"/>
      <c r="E113" s="2"/>
      <c r="F113" s="2"/>
      <c r="G113" s="2"/>
      <c r="H113" s="24"/>
      <c r="I113" s="29">
        <f>IF(SUMPRODUCT($B106:$B109,$H106:$H109)&gt;(I101-I110),SUMPRODUCT($B106:$B109,$H106:$H109)+I110-I101,0)</f>
        <v>0.14263300921766575</v>
      </c>
      <c r="J113" s="243">
        <f>IF(SUMPRODUCT($B106:$B109,$H106:$H109)&gt;(J101-J110),SUMPRODUCT($B106:$B109,$H106:$H109)+J110-J101,0)</f>
        <v>0</v>
      </c>
      <c r="K113" s="22"/>
      <c r="L113" s="22">
        <f>I113-L109</f>
        <v>7.7657074116845581E-3</v>
      </c>
      <c r="M113" s="57">
        <f>I113-M109</f>
        <v>0</v>
      </c>
      <c r="N113" s="5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2"/>
      <c r="AC113" s="2"/>
      <c r="AD113" s="2"/>
      <c r="AE113" s="2"/>
      <c r="AF113" s="2"/>
      <c r="AG113" s="2"/>
    </row>
    <row r="114" spans="1:33" ht="14" customHeight="1">
      <c r="A114" s="14"/>
      <c r="B114" s="14"/>
      <c r="C114" s="14"/>
      <c r="D114" s="12"/>
      <c r="E114" s="14"/>
      <c r="F114" s="14"/>
      <c r="G114" s="14"/>
      <c r="H114" s="12"/>
      <c r="I114" s="14"/>
      <c r="J114" s="12"/>
      <c r="K114" s="14"/>
      <c r="L114" s="14"/>
      <c r="M114" s="66"/>
      <c r="N114" s="58"/>
    </row>
    <row r="124" spans="1:33">
      <c r="A124" s="2"/>
      <c r="B124" s="2"/>
      <c r="C124" s="2"/>
      <c r="D124" s="2"/>
      <c r="E124" s="2"/>
      <c r="F124" s="2"/>
      <c r="G124" s="2"/>
      <c r="H124" s="2"/>
      <c r="I124" s="2"/>
      <c r="J124" s="2"/>
      <c r="L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B125" s="22"/>
      <c r="C125" s="22"/>
      <c r="D125" s="2"/>
      <c r="E125" s="2"/>
      <c r="F125" s="2"/>
      <c r="G125" s="2"/>
      <c r="H125" s="2"/>
      <c r="I125" s="22"/>
      <c r="J125" s="2"/>
      <c r="L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68"/>
      <c r="AC125" s="2"/>
      <c r="AD125" s="2"/>
      <c r="AE125" s="2"/>
      <c r="AF125" s="2"/>
      <c r="AG125" s="2"/>
    </row>
    <row r="126" spans="1:33">
      <c r="B126" s="22"/>
      <c r="C126" s="22"/>
      <c r="D126" s="2"/>
      <c r="E126" s="2"/>
      <c r="F126" s="2"/>
      <c r="G126" s="2"/>
      <c r="H126" s="2"/>
      <c r="I126" s="2"/>
      <c r="J126" s="2"/>
      <c r="L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68"/>
      <c r="AC126" s="2"/>
      <c r="AD126" s="2"/>
      <c r="AE126" s="2"/>
      <c r="AF126" s="2"/>
      <c r="AG126" s="2"/>
    </row>
    <row r="127" spans="1:33">
      <c r="B127" s="22"/>
      <c r="C127" s="22"/>
      <c r="D127" s="2"/>
      <c r="E127" s="2"/>
      <c r="F127" s="2"/>
      <c r="G127" s="2"/>
      <c r="H127" s="2"/>
      <c r="I127" s="22"/>
      <c r="J127" s="2"/>
      <c r="L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68"/>
      <c r="AC127" s="2"/>
      <c r="AD127" s="2"/>
      <c r="AE127" s="2"/>
      <c r="AF127" s="2"/>
      <c r="AG127" s="2"/>
    </row>
    <row r="128" spans="1:33">
      <c r="B128" s="2"/>
      <c r="C128" s="2"/>
      <c r="D128" s="2"/>
      <c r="E128" s="2"/>
      <c r="F128" s="2"/>
      <c r="G128" s="2"/>
      <c r="H128" s="2"/>
      <c r="I128" s="2"/>
      <c r="J128" s="2"/>
      <c r="L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68"/>
      <c r="AC128" s="2"/>
      <c r="AD128" s="2"/>
      <c r="AE128" s="2"/>
      <c r="AF128" s="2"/>
      <c r="AG128" s="2"/>
    </row>
    <row r="129" spans="1:33">
      <c r="B129" s="22"/>
      <c r="C129" s="22"/>
      <c r="D129" s="2"/>
      <c r="E129" s="2"/>
      <c r="F129" s="2"/>
      <c r="G129" s="2"/>
      <c r="H129" s="2"/>
      <c r="I129" s="2"/>
      <c r="J129" s="2"/>
      <c r="L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68"/>
      <c r="AC129" s="2"/>
      <c r="AD129" s="2"/>
      <c r="AE129" s="2"/>
      <c r="AF129" s="2"/>
      <c r="AG129" s="2"/>
    </row>
    <row r="130" spans="1:33">
      <c r="B130" s="22"/>
      <c r="C130" s="22"/>
      <c r="D130" s="2"/>
      <c r="E130" s="2"/>
      <c r="F130" s="2"/>
      <c r="G130" s="2"/>
      <c r="H130" s="2"/>
      <c r="I130" s="2"/>
      <c r="J130" s="2"/>
      <c r="L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68"/>
      <c r="AC130" s="2"/>
      <c r="AD130" s="2"/>
      <c r="AE130" s="2"/>
      <c r="AF130" s="2"/>
      <c r="AG130" s="2"/>
    </row>
    <row r="131" spans="1:33">
      <c r="B131" s="22"/>
      <c r="C131" s="22"/>
      <c r="D131" s="2"/>
      <c r="E131" s="2"/>
      <c r="F131" s="2"/>
      <c r="G131" s="2"/>
      <c r="H131" s="2"/>
      <c r="I131" s="2"/>
      <c r="J131" s="2"/>
      <c r="L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68"/>
      <c r="AC131" s="2"/>
      <c r="AD131" s="2"/>
      <c r="AE131" s="2"/>
      <c r="AF131" s="2"/>
      <c r="AG131" s="2"/>
    </row>
    <row r="132" spans="1:33">
      <c r="B132" s="22"/>
      <c r="C132" s="22"/>
      <c r="D132" s="2"/>
      <c r="E132" s="2"/>
      <c r="F132" s="2"/>
      <c r="G132" s="2"/>
      <c r="H132" s="2"/>
      <c r="I132" s="2"/>
      <c r="J132" s="2"/>
      <c r="L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68"/>
      <c r="AC132" s="2"/>
      <c r="AD132" s="2"/>
      <c r="AE132" s="2"/>
      <c r="AF132" s="2"/>
      <c r="AG132" s="2"/>
    </row>
    <row r="133" spans="1:33">
      <c r="B133" s="22"/>
      <c r="C133" s="22"/>
      <c r="D133" s="2"/>
      <c r="E133" s="2"/>
      <c r="F133" s="2"/>
      <c r="G133" s="2"/>
      <c r="H133" s="2"/>
      <c r="I133" s="2"/>
      <c r="J133" s="2"/>
      <c r="L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68"/>
      <c r="AC133" s="2"/>
      <c r="AD133" s="2"/>
      <c r="AE133" s="2"/>
      <c r="AF133" s="2"/>
      <c r="AG133" s="2"/>
    </row>
    <row r="134" spans="1:33">
      <c r="B134" s="22"/>
      <c r="C134" s="22"/>
      <c r="D134" s="2"/>
      <c r="E134" s="2"/>
      <c r="F134" s="2"/>
      <c r="G134" s="2"/>
      <c r="H134" s="2"/>
      <c r="I134" s="2"/>
      <c r="J134" s="2"/>
      <c r="L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68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2"/>
      <c r="E135" s="2"/>
      <c r="F135" s="2"/>
      <c r="G135" s="2"/>
      <c r="H135" s="2"/>
      <c r="I135" s="2"/>
      <c r="J135" s="2"/>
      <c r="L135" s="2"/>
      <c r="O135" s="2"/>
      <c r="P135" s="2"/>
      <c r="Q135" s="2"/>
      <c r="R135" s="2"/>
      <c r="S135" s="2"/>
      <c r="T135" s="2"/>
      <c r="U135" s="2"/>
      <c r="V135" s="2"/>
      <c r="W135" s="69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3"/>
      <c r="B136" s="2"/>
      <c r="C136" s="2"/>
      <c r="D136" s="2"/>
      <c r="E136" s="2"/>
      <c r="F136" s="2"/>
      <c r="H136" s="2"/>
      <c r="I136" s="2"/>
      <c r="J136" s="2"/>
      <c r="L136" s="2"/>
      <c r="W136" s="71"/>
    </row>
    <row r="137" spans="1:33">
      <c r="A137" s="2"/>
      <c r="B137" s="2"/>
      <c r="C137" s="2"/>
      <c r="D137" s="2"/>
      <c r="E137" s="2"/>
      <c r="F137" s="2"/>
      <c r="H137" s="2"/>
      <c r="I137" s="2"/>
      <c r="J137" s="2"/>
      <c r="L137" s="2"/>
      <c r="W137" s="71"/>
    </row>
    <row r="138" spans="1:33">
      <c r="A138" s="2"/>
      <c r="B138" s="2"/>
      <c r="C138" s="2"/>
      <c r="D138" s="2"/>
      <c r="E138" s="2"/>
      <c r="F138" s="2"/>
      <c r="H138" s="2"/>
      <c r="I138" s="2"/>
      <c r="J138" s="2"/>
      <c r="L138" s="2"/>
      <c r="W138" s="71"/>
    </row>
    <row r="139" spans="1:33">
      <c r="A139" s="22"/>
      <c r="B139" s="2"/>
      <c r="C139" s="2"/>
      <c r="D139" s="2"/>
      <c r="E139" s="2"/>
      <c r="F139" s="2"/>
      <c r="H139" s="2"/>
      <c r="I139" s="2"/>
      <c r="J139" s="2"/>
      <c r="L139" s="2"/>
      <c r="W139" s="71"/>
    </row>
    <row r="140" spans="1:33">
      <c r="A140" s="2"/>
      <c r="B140" s="2"/>
      <c r="C140" s="2"/>
      <c r="D140" s="2"/>
      <c r="E140" s="2"/>
      <c r="F140" s="2"/>
      <c r="H140" s="2"/>
      <c r="I140" s="2"/>
      <c r="J140" s="2"/>
      <c r="L140" s="2"/>
      <c r="W140" s="71"/>
    </row>
    <row r="141" spans="1:33">
      <c r="A141" s="2"/>
      <c r="B141" s="2"/>
      <c r="C141" s="2"/>
      <c r="D141" s="2"/>
      <c r="E141" s="2"/>
      <c r="F141" s="2"/>
      <c r="H141" s="2"/>
      <c r="I141" s="2"/>
      <c r="J141" s="2"/>
      <c r="L141" s="2"/>
    </row>
    <row r="142" spans="1:33">
      <c r="A142" s="2"/>
      <c r="B142" s="2"/>
      <c r="C142" s="2"/>
      <c r="D142" s="2"/>
      <c r="E142" s="2"/>
      <c r="F142" s="2"/>
      <c r="H142" s="2"/>
      <c r="I142" s="2"/>
      <c r="J142" s="2"/>
      <c r="L142" s="2"/>
    </row>
    <row r="143" spans="1:33">
      <c r="A143" s="2"/>
      <c r="B143" s="2"/>
      <c r="C143" s="2"/>
      <c r="D143" s="2"/>
      <c r="E143" s="2"/>
      <c r="F143" s="2"/>
      <c r="H143" s="2"/>
      <c r="I143" s="2"/>
      <c r="J143" s="2"/>
      <c r="L143" s="2"/>
      <c r="AB143" s="71"/>
    </row>
    <row r="144" spans="1:33">
      <c r="A144" s="2"/>
      <c r="B144" s="2"/>
      <c r="C144" s="2"/>
      <c r="D144" s="2"/>
      <c r="E144" s="2"/>
      <c r="F144" s="2"/>
      <c r="H144" s="2"/>
      <c r="I144" s="2"/>
      <c r="J144" s="2"/>
      <c r="L144" s="2"/>
      <c r="AB144" s="71"/>
    </row>
    <row r="145" spans="1:28">
      <c r="A145" s="2"/>
      <c r="B145" s="2"/>
      <c r="C145" s="2"/>
      <c r="D145" s="2"/>
      <c r="E145" s="2"/>
      <c r="F145" s="2"/>
      <c r="H145" s="2"/>
      <c r="I145" s="2"/>
      <c r="J145" s="2"/>
      <c r="L145" s="2"/>
      <c r="AB145" s="71"/>
    </row>
    <row r="146" spans="1:28">
      <c r="A146" s="2"/>
      <c r="B146" s="2"/>
      <c r="C146" s="2"/>
      <c r="D146" s="2"/>
      <c r="E146" s="2"/>
      <c r="F146" s="2"/>
      <c r="H146" s="2"/>
      <c r="I146" s="2"/>
      <c r="J146" s="2"/>
      <c r="L146" s="2"/>
      <c r="AB146" s="71"/>
    </row>
    <row r="147" spans="1:28">
      <c r="A147" s="2"/>
      <c r="B147" s="2"/>
      <c r="C147" s="2"/>
      <c r="D147" s="2"/>
      <c r="E147" s="2"/>
      <c r="F147" s="2"/>
      <c r="H147" s="2"/>
      <c r="I147" s="2"/>
      <c r="J147" s="2"/>
      <c r="L147" s="2"/>
      <c r="W147" s="72"/>
      <c r="AB147" s="71"/>
    </row>
    <row r="148" spans="1:28">
      <c r="A148" s="2"/>
      <c r="B148" s="2"/>
      <c r="C148" s="2"/>
      <c r="D148" s="2"/>
      <c r="E148" s="2"/>
      <c r="F148" s="2"/>
      <c r="H148" s="2"/>
      <c r="I148" s="2"/>
      <c r="J148" s="2"/>
      <c r="L148" s="2"/>
      <c r="W148" s="72"/>
      <c r="AB148" s="71"/>
    </row>
    <row r="149" spans="1:28">
      <c r="A149" s="2"/>
      <c r="B149" s="2"/>
      <c r="C149" s="2"/>
      <c r="D149" s="2"/>
      <c r="E149" s="2"/>
      <c r="F149" s="2"/>
      <c r="H149" s="2"/>
      <c r="I149" s="2"/>
      <c r="J149" s="2"/>
      <c r="L149" s="2"/>
      <c r="AB149" s="71"/>
    </row>
    <row r="150" spans="1:28">
      <c r="A150" s="2"/>
      <c r="B150" s="2"/>
      <c r="C150" s="2"/>
      <c r="D150" s="2"/>
      <c r="E150" s="2"/>
      <c r="F150" s="2"/>
      <c r="H150" s="2"/>
      <c r="I150" s="2"/>
      <c r="J150" s="2"/>
      <c r="L150" s="2"/>
      <c r="AB150" s="71"/>
    </row>
    <row r="151" spans="1:28">
      <c r="A151" s="2"/>
      <c r="B151" s="2"/>
      <c r="C151" s="2"/>
      <c r="D151" s="2"/>
      <c r="E151" s="2"/>
      <c r="F151" s="2"/>
      <c r="H151" s="2"/>
      <c r="I151" s="2"/>
      <c r="J151" s="2"/>
      <c r="L151" s="2"/>
      <c r="AB151" s="71"/>
    </row>
    <row r="152" spans="1:28">
      <c r="A152" s="2"/>
      <c r="B152" s="2"/>
      <c r="C152" s="2"/>
      <c r="D152" s="2"/>
      <c r="E152" s="2"/>
      <c r="F152" s="2"/>
      <c r="H152" s="2"/>
      <c r="I152" s="2"/>
      <c r="J152" s="2"/>
      <c r="L152" s="2"/>
    </row>
    <row r="153" spans="1:28">
      <c r="A153" s="2"/>
      <c r="B153" s="2"/>
      <c r="C153" s="2"/>
      <c r="D153" s="2"/>
      <c r="E153" s="2"/>
      <c r="F153" s="2"/>
      <c r="H153" s="2"/>
      <c r="I153" s="2"/>
      <c r="J153" s="2"/>
      <c r="L153" s="2"/>
      <c r="W153" s="72"/>
      <c r="AB153" s="71"/>
    </row>
    <row r="154" spans="1:28">
      <c r="A154" s="2"/>
      <c r="B154" s="2"/>
      <c r="C154" s="2"/>
      <c r="D154" s="2"/>
      <c r="E154" s="2"/>
      <c r="F154" s="2"/>
      <c r="H154" s="2"/>
      <c r="I154" s="2"/>
      <c r="J154" s="2"/>
      <c r="L154" s="2"/>
      <c r="W154" s="72"/>
    </row>
    <row r="155" spans="1:28">
      <c r="A155" s="2"/>
      <c r="B155" s="2"/>
      <c r="C155" s="2"/>
      <c r="D155" s="2"/>
      <c r="E155" s="2"/>
      <c r="F155" s="2"/>
      <c r="H155" s="2"/>
      <c r="I155" s="2"/>
      <c r="J155" s="2"/>
      <c r="L155" s="2"/>
    </row>
    <row r="156" spans="1:28">
      <c r="A156" s="2"/>
      <c r="B156" s="2"/>
      <c r="C156" s="2"/>
      <c r="D156" s="2"/>
      <c r="E156" s="2"/>
      <c r="F156" s="2"/>
      <c r="H156" s="2"/>
      <c r="I156" s="2"/>
      <c r="J156" s="2"/>
      <c r="L156" s="2"/>
    </row>
    <row r="157" spans="1:28">
      <c r="A157" s="2"/>
      <c r="B157" s="2"/>
      <c r="C157" s="2"/>
      <c r="D157" s="2"/>
      <c r="E157" s="2"/>
      <c r="F157" s="2"/>
      <c r="H157" s="2"/>
      <c r="I157" s="2"/>
      <c r="J157" s="2"/>
      <c r="L157" s="2"/>
      <c r="AB157" s="71"/>
    </row>
    <row r="158" spans="1:28">
      <c r="A158" s="2"/>
      <c r="B158" s="2"/>
      <c r="C158" s="2"/>
      <c r="D158" s="2"/>
      <c r="E158" s="2"/>
      <c r="F158" s="2"/>
      <c r="H158" s="2"/>
      <c r="I158" s="2"/>
      <c r="J158" s="2"/>
      <c r="L158" s="2"/>
      <c r="AB158" s="71"/>
    </row>
    <row r="159" spans="1:28">
      <c r="A159" s="2"/>
      <c r="B159" s="2"/>
      <c r="C159" s="2"/>
      <c r="D159" s="2"/>
      <c r="E159" s="2"/>
      <c r="F159" s="2"/>
      <c r="H159" s="2"/>
      <c r="I159" s="2"/>
      <c r="J159" s="2"/>
      <c r="L159" s="2"/>
      <c r="W159" s="72"/>
      <c r="AB159" s="71"/>
    </row>
    <row r="160" spans="1:28">
      <c r="A160" s="2"/>
      <c r="B160" s="2"/>
      <c r="C160" s="2"/>
      <c r="D160" s="2"/>
      <c r="E160" s="2"/>
      <c r="F160" s="2"/>
      <c r="H160" s="2"/>
      <c r="I160" s="2"/>
      <c r="J160" s="2"/>
      <c r="L160" s="2"/>
      <c r="W160" s="72"/>
      <c r="AB160" s="71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</row>
    <row r="167" spans="1:28">
      <c r="AB167" s="71"/>
    </row>
    <row r="168" spans="1:28">
      <c r="AB168" s="71"/>
    </row>
    <row r="169" spans="1:28">
      <c r="AB169" s="71"/>
    </row>
    <row r="170" spans="1:28">
      <c r="AB170" s="71"/>
    </row>
    <row r="171" spans="1:28">
      <c r="W171" s="72"/>
      <c r="AB171" s="71"/>
    </row>
    <row r="172" spans="1:28">
      <c r="W172" s="72"/>
      <c r="AB172" s="71"/>
    </row>
    <row r="173" spans="1:28">
      <c r="W173" s="72"/>
    </row>
    <row r="175" spans="1:28">
      <c r="AB175" s="71"/>
    </row>
    <row r="176" spans="1:28">
      <c r="AB176" s="71"/>
    </row>
    <row r="177" spans="23:28">
      <c r="AB177" s="71"/>
    </row>
    <row r="178" spans="23:28">
      <c r="AB178" s="71"/>
    </row>
    <row r="179" spans="23:28">
      <c r="AB179" s="71"/>
    </row>
    <row r="180" spans="23:28">
      <c r="W180" s="72"/>
      <c r="AB180" s="71"/>
    </row>
    <row r="181" spans="23:28">
      <c r="W181" s="72"/>
    </row>
    <row r="182" spans="23:28">
      <c r="W182" s="72"/>
    </row>
    <row r="189" spans="23:28">
      <c r="W189" s="72"/>
    </row>
    <row r="190" spans="23:28">
      <c r="W190" s="72"/>
    </row>
    <row r="191" spans="23:28">
      <c r="W191" s="72"/>
    </row>
    <row r="201" spans="23:23">
      <c r="W201" s="72"/>
    </row>
    <row r="202" spans="23:23">
      <c r="W202" s="72"/>
    </row>
    <row r="203" spans="23:23">
      <c r="W203" s="72"/>
    </row>
    <row r="210" spans="23:23">
      <c r="W210" s="72"/>
    </row>
    <row r="211" spans="23:23">
      <c r="W211" s="72"/>
    </row>
    <row r="212" spans="23:23">
      <c r="W212" s="72"/>
    </row>
    <row r="219" spans="23:23">
      <c r="W219" s="72"/>
    </row>
    <row r="220" spans="23:23">
      <c r="W220" s="72"/>
    </row>
    <row r="221" spans="23:23">
      <c r="W221" s="72"/>
    </row>
    <row r="231" spans="23:23">
      <c r="W231" s="72"/>
    </row>
    <row r="232" spans="23:23">
      <c r="W232" s="72"/>
    </row>
    <row r="233" spans="23:23">
      <c r="W233" s="72"/>
    </row>
    <row r="240" spans="23:23">
      <c r="W240" s="72"/>
    </row>
    <row r="241" spans="23:23">
      <c r="W241" s="72"/>
    </row>
    <row r="242" spans="23:23">
      <c r="W242" s="72"/>
    </row>
    <row r="249" spans="23:23">
      <c r="W249" s="72"/>
    </row>
    <row r="250" spans="23:23">
      <c r="W250" s="72"/>
    </row>
    <row r="251" spans="23:23">
      <c r="W251" s="72"/>
    </row>
  </sheetData>
  <sheetProtection sheet="1" objects="1" scenarios="1"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19" val="1" numFmtId="9"/>
      <inputCells r="E20" val="1" numFmtId="9"/>
      <inputCells r="E21" val="1" numFmtId="9"/>
      <inputCells r="E32" val="1" numFmtId="9"/>
      <inputCells r="E36" val="1" numFmtId="9"/>
      <inputCells r="E37" val="1" numFmtId="9"/>
      <inputCells r="E38" val="1" numFmtId="9"/>
      <inputCells r="E51" val="1" numFmtId="9"/>
      <inputCells r="F30" val="1" numFmtId="9"/>
      <inputCells r="F31" val="2" numFmtId="9"/>
      <inputCells r="F32" val="1.25" numFmtId="9"/>
      <inputCells r="F36" val="1" numFmtId="9"/>
      <inputCells r="F37" val="0.4" numFmtId="9"/>
      <inputCells r="F38" val="1" numFmtId="9"/>
      <inputCells r="F51" val="1" numFmtId="9"/>
      <inputCells r="F29" val="2.5" numFmtId="9"/>
      <inputCells r="G29" val="2" numFmtId="9"/>
      <inputCells r="F57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19" val="1" numFmtId="9"/>
      <inputCells r="E20" val="1" numFmtId="9"/>
      <inputCells r="E21" val="1" numFmtId="9"/>
      <inputCells r="E32" val="1" numFmtId="9"/>
      <inputCells r="E36" val="1" numFmtId="9"/>
      <inputCells r="E37" val="1" numFmtId="9"/>
      <inputCells r="E38" val="1" numFmtId="9"/>
      <inputCells r="E51" val="1" numFmtId="9"/>
      <inputCells r="F29" val="1" numFmtId="9"/>
      <inputCells r="F30" val="1" numFmtId="9"/>
      <inputCells r="F31" val="1" numFmtId="9"/>
      <inputCells r="F32" val="1" numFmtId="9"/>
      <inputCells r="F36" val="1" numFmtId="9"/>
      <inputCells r="F37" val="1" numFmtId="9"/>
      <inputCells r="F38" val="1" numFmtId="9"/>
      <inputCells r="F51" val="1" numFmtId="9"/>
      <inputCells r="G29" val="1" numFmtId="9"/>
      <inputCells r="F57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51" priority="81" operator="equal">
      <formula>16</formula>
    </cfRule>
    <cfRule type="cellIs" dxfId="350" priority="82" operator="equal">
      <formula>15</formula>
    </cfRule>
    <cfRule type="cellIs" dxfId="349" priority="83" operator="equal">
      <formula>14</formula>
    </cfRule>
    <cfRule type="cellIs" dxfId="348" priority="84" operator="equal">
      <formula>13</formula>
    </cfRule>
    <cfRule type="cellIs" dxfId="347" priority="85" operator="equal">
      <formula>12</formula>
    </cfRule>
    <cfRule type="cellIs" dxfId="346" priority="86" operator="equal">
      <formula>11</formula>
    </cfRule>
    <cfRule type="cellIs" dxfId="345" priority="87" operator="equal">
      <formula>10</formula>
    </cfRule>
    <cfRule type="cellIs" dxfId="344" priority="88" operator="equal">
      <formula>9</formula>
    </cfRule>
    <cfRule type="cellIs" dxfId="343" priority="89" operator="equal">
      <formula>8</formula>
    </cfRule>
    <cfRule type="cellIs" dxfId="342" priority="90" operator="equal">
      <formula>7</formula>
    </cfRule>
    <cfRule type="cellIs" dxfId="341" priority="91" operator="equal">
      <formula>6</formula>
    </cfRule>
    <cfRule type="cellIs" dxfId="340" priority="92" operator="equal">
      <formula>5</formula>
    </cfRule>
    <cfRule type="cellIs" dxfId="339" priority="93" operator="equal">
      <formula>4</formula>
    </cfRule>
    <cfRule type="cellIs" dxfId="338" priority="94" operator="equal">
      <formula>3</formula>
    </cfRule>
    <cfRule type="cellIs" dxfId="337" priority="95" operator="equal">
      <formula>2</formula>
    </cfRule>
    <cfRule type="cellIs" dxfId="336" priority="96" operator="equal">
      <formula>1</formula>
    </cfRule>
  </conditionalFormatting>
  <conditionalFormatting sqref="N21">
    <cfRule type="cellIs" dxfId="335" priority="65" operator="equal">
      <formula>16</formula>
    </cfRule>
    <cfRule type="cellIs" dxfId="334" priority="66" operator="equal">
      <formula>15</formula>
    </cfRule>
    <cfRule type="cellIs" dxfId="333" priority="67" operator="equal">
      <formula>14</formula>
    </cfRule>
    <cfRule type="cellIs" dxfId="332" priority="68" operator="equal">
      <formula>13</formula>
    </cfRule>
    <cfRule type="cellIs" dxfId="331" priority="69" operator="equal">
      <formula>12</formula>
    </cfRule>
    <cfRule type="cellIs" dxfId="330" priority="70" operator="equal">
      <formula>11</formula>
    </cfRule>
    <cfRule type="cellIs" dxfId="329" priority="71" operator="equal">
      <formula>10</formula>
    </cfRule>
    <cfRule type="cellIs" dxfId="328" priority="72" operator="equal">
      <formula>9</formula>
    </cfRule>
    <cfRule type="cellIs" dxfId="327" priority="73" operator="equal">
      <formula>8</formula>
    </cfRule>
    <cfRule type="cellIs" dxfId="326" priority="74" operator="equal">
      <formula>7</formula>
    </cfRule>
    <cfRule type="cellIs" dxfId="325" priority="75" operator="equal">
      <formula>6</formula>
    </cfRule>
    <cfRule type="cellIs" dxfId="324" priority="76" operator="equal">
      <formula>5</formula>
    </cfRule>
    <cfRule type="cellIs" dxfId="323" priority="77" operator="equal">
      <formula>4</formula>
    </cfRule>
    <cfRule type="cellIs" dxfId="322" priority="78" operator="equal">
      <formula>3</formula>
    </cfRule>
    <cfRule type="cellIs" dxfId="321" priority="79" operator="equal">
      <formula>2</formula>
    </cfRule>
    <cfRule type="cellIs" dxfId="320" priority="80" operator="equal">
      <formula>1</formula>
    </cfRule>
  </conditionalFormatting>
  <conditionalFormatting sqref="N95:N101">
    <cfRule type="cellIs" dxfId="319" priority="49" operator="equal">
      <formula>16</formula>
    </cfRule>
    <cfRule type="cellIs" dxfId="318" priority="50" operator="equal">
      <formula>15</formula>
    </cfRule>
    <cfRule type="cellIs" dxfId="317" priority="51" operator="equal">
      <formula>14</formula>
    </cfRule>
    <cfRule type="cellIs" dxfId="316" priority="52" operator="equal">
      <formula>13</formula>
    </cfRule>
    <cfRule type="cellIs" dxfId="315" priority="53" operator="equal">
      <formula>12</formula>
    </cfRule>
    <cfRule type="cellIs" dxfId="314" priority="54" operator="equal">
      <formula>11</formula>
    </cfRule>
    <cfRule type="cellIs" dxfId="313" priority="55" operator="equal">
      <formula>10</formula>
    </cfRule>
    <cfRule type="cellIs" dxfId="312" priority="56" operator="equal">
      <formula>9</formula>
    </cfRule>
    <cfRule type="cellIs" dxfId="311" priority="57" operator="equal">
      <formula>8</formula>
    </cfRule>
    <cfRule type="cellIs" dxfId="310" priority="58" operator="equal">
      <formula>7</formula>
    </cfRule>
    <cfRule type="cellIs" dxfId="309" priority="59" operator="equal">
      <formula>6</formula>
    </cfRule>
    <cfRule type="cellIs" dxfId="308" priority="60" operator="equal">
      <formula>5</formula>
    </cfRule>
    <cfRule type="cellIs" dxfId="307" priority="61" operator="equal">
      <formula>4</formula>
    </cfRule>
    <cfRule type="cellIs" dxfId="306" priority="62" operator="equal">
      <formula>3</formula>
    </cfRule>
    <cfRule type="cellIs" dxfId="305" priority="63" operator="equal">
      <formula>2</formula>
    </cfRule>
    <cfRule type="cellIs" dxfId="304" priority="64" operator="equal">
      <formula>1</formula>
    </cfRule>
  </conditionalFormatting>
  <conditionalFormatting sqref="N78:N91">
    <cfRule type="cellIs" dxfId="303" priority="33" operator="equal">
      <formula>16</formula>
    </cfRule>
    <cfRule type="cellIs" dxfId="302" priority="34" operator="equal">
      <formula>15</formula>
    </cfRule>
    <cfRule type="cellIs" dxfId="301" priority="35" operator="equal">
      <formula>14</formula>
    </cfRule>
    <cfRule type="cellIs" dxfId="300" priority="36" operator="equal">
      <formula>13</formula>
    </cfRule>
    <cfRule type="cellIs" dxfId="299" priority="37" operator="equal">
      <formula>12</formula>
    </cfRule>
    <cfRule type="cellIs" dxfId="298" priority="38" operator="equal">
      <formula>11</formula>
    </cfRule>
    <cfRule type="cellIs" dxfId="297" priority="39" operator="equal">
      <formula>10</formula>
    </cfRule>
    <cfRule type="cellIs" dxfId="296" priority="40" operator="equal">
      <formula>9</formula>
    </cfRule>
    <cfRule type="cellIs" dxfId="295" priority="41" operator="equal">
      <formula>8</formula>
    </cfRule>
    <cfRule type="cellIs" dxfId="294" priority="42" operator="equal">
      <formula>7</formula>
    </cfRule>
    <cfRule type="cellIs" dxfId="293" priority="43" operator="equal">
      <formula>6</formula>
    </cfRule>
    <cfRule type="cellIs" dxfId="292" priority="44" operator="equal">
      <formula>5</formula>
    </cfRule>
    <cfRule type="cellIs" dxfId="291" priority="45" operator="equal">
      <formula>4</formula>
    </cfRule>
    <cfRule type="cellIs" dxfId="290" priority="46" operator="equal">
      <formula>3</formula>
    </cfRule>
    <cfRule type="cellIs" dxfId="289" priority="47" operator="equal">
      <formula>2</formula>
    </cfRule>
    <cfRule type="cellIs" dxfId="288" priority="48" operator="equal">
      <formula>1</formula>
    </cfRule>
  </conditionalFormatting>
  <conditionalFormatting sqref="N92:N94">
    <cfRule type="cellIs" dxfId="287" priority="17" operator="equal">
      <formula>16</formula>
    </cfRule>
    <cfRule type="cellIs" dxfId="286" priority="18" operator="equal">
      <formula>15</formula>
    </cfRule>
    <cfRule type="cellIs" dxfId="285" priority="19" operator="equal">
      <formula>14</formula>
    </cfRule>
    <cfRule type="cellIs" dxfId="284" priority="20" operator="equal">
      <formula>13</formula>
    </cfRule>
    <cfRule type="cellIs" dxfId="283" priority="21" operator="equal">
      <formula>12</formula>
    </cfRule>
    <cfRule type="cellIs" dxfId="282" priority="22" operator="equal">
      <formula>11</formula>
    </cfRule>
    <cfRule type="cellIs" dxfId="281" priority="23" operator="equal">
      <formula>10</formula>
    </cfRule>
    <cfRule type="cellIs" dxfId="280" priority="24" operator="equal">
      <formula>9</formula>
    </cfRule>
    <cfRule type="cellIs" dxfId="279" priority="25" operator="equal">
      <formula>8</formula>
    </cfRule>
    <cfRule type="cellIs" dxfId="278" priority="26" operator="equal">
      <formula>7</formula>
    </cfRule>
    <cfRule type="cellIs" dxfId="277" priority="27" operator="equal">
      <formula>6</formula>
    </cfRule>
    <cfRule type="cellIs" dxfId="276" priority="28" operator="equal">
      <formula>5</formula>
    </cfRule>
    <cfRule type="cellIs" dxfId="275" priority="29" operator="equal">
      <formula>4</formula>
    </cfRule>
    <cfRule type="cellIs" dxfId="274" priority="30" operator="equal">
      <formula>3</formula>
    </cfRule>
    <cfRule type="cellIs" dxfId="273" priority="31" operator="equal">
      <formula>2</formula>
    </cfRule>
    <cfRule type="cellIs" dxfId="272" priority="32" operator="equal">
      <formula>1</formula>
    </cfRule>
  </conditionalFormatting>
  <conditionalFormatting sqref="N6:N20">
    <cfRule type="cellIs" dxfId="271" priority="1" operator="equal">
      <formula>16</formula>
    </cfRule>
    <cfRule type="cellIs" dxfId="270" priority="2" operator="equal">
      <formula>15</formula>
    </cfRule>
    <cfRule type="cellIs" dxfId="269" priority="3" operator="equal">
      <formula>14</formula>
    </cfRule>
    <cfRule type="cellIs" dxfId="268" priority="4" operator="equal">
      <formula>13</formula>
    </cfRule>
    <cfRule type="cellIs" dxfId="267" priority="5" operator="equal">
      <formula>12</formula>
    </cfRule>
    <cfRule type="cellIs" dxfId="266" priority="6" operator="equal">
      <formula>11</formula>
    </cfRule>
    <cfRule type="cellIs" dxfId="265" priority="7" operator="equal">
      <formula>10</formula>
    </cfRule>
    <cfRule type="cellIs" dxfId="264" priority="8" operator="equal">
      <formula>9</formula>
    </cfRule>
    <cfRule type="cellIs" dxfId="263" priority="9" operator="equal">
      <formula>8</formula>
    </cfRule>
    <cfRule type="cellIs" dxfId="262" priority="10" operator="equal">
      <formula>7</formula>
    </cfRule>
    <cfRule type="cellIs" dxfId="261" priority="11" operator="equal">
      <formula>6</formula>
    </cfRule>
    <cfRule type="cellIs" dxfId="260" priority="12" operator="equal">
      <formula>5</formula>
    </cfRule>
    <cfRule type="cellIs" dxfId="259" priority="13" operator="equal">
      <formula>4</formula>
    </cfRule>
    <cfRule type="cellIs" dxfId="258" priority="14" operator="equal">
      <formula>3</formula>
    </cfRule>
    <cfRule type="cellIs" dxfId="257" priority="15" operator="equal">
      <formula>2</formula>
    </cfRule>
    <cfRule type="cellIs" dxfId="25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51"/>
  <sheetViews>
    <sheetView showGridLines="0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G37" sqref="G3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</f>
        <v>ZALOF</v>
      </c>
      <c r="B1" s="1"/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1"/>
      <c r="X1" s="115" t="s">
        <v>67</v>
      </c>
      <c r="Y1" s="116" t="s">
        <v>58</v>
      </c>
      <c r="Z1" s="249" t="s">
        <v>105</v>
      </c>
      <c r="AA1" s="250"/>
      <c r="AB1" s="249" t="s">
        <v>106</v>
      </c>
      <c r="AC1" s="250"/>
      <c r="AD1" s="249" t="s">
        <v>107</v>
      </c>
      <c r="AE1" s="250"/>
      <c r="AF1" s="249" t="s">
        <v>108</v>
      </c>
      <c r="AG1" s="250"/>
      <c r="AH1" s="118"/>
      <c r="AI1" s="111"/>
      <c r="AJ1" s="201" t="str">
        <f>LEFT(Z1,4) &amp; MID(AB1,5,3)</f>
        <v>Apr-Sep</v>
      </c>
      <c r="AK1" s="20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1"/>
      <c r="X2" s="119" t="s">
        <v>59</v>
      </c>
      <c r="Y2" s="116" t="s">
        <v>60</v>
      </c>
      <c r="Z2" s="247" t="s">
        <v>109</v>
      </c>
      <c r="AA2" s="251"/>
      <c r="AB2" s="247" t="s">
        <v>110</v>
      </c>
      <c r="AC2" s="251"/>
      <c r="AD2" s="247" t="s">
        <v>111</v>
      </c>
      <c r="AE2" s="251"/>
      <c r="AF2" s="247" t="s">
        <v>112</v>
      </c>
      <c r="AG2" s="251"/>
      <c r="AH2" s="118"/>
      <c r="AI2" s="111"/>
      <c r="AJ2" s="199" t="s">
        <v>113</v>
      </c>
      <c r="AK2" s="200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1"/>
      <c r="X3" s="119"/>
      <c r="Y3" s="116" t="s">
        <v>61</v>
      </c>
      <c r="Z3" s="121"/>
      <c r="AA3" s="120"/>
      <c r="AB3" s="121"/>
      <c r="AC3" s="120"/>
      <c r="AD3" s="121"/>
      <c r="AE3" s="120"/>
      <c r="AF3" s="121"/>
      <c r="AG3" s="120"/>
      <c r="AH3" s="118"/>
      <c r="AI3" s="111"/>
      <c r="AJ3" s="121"/>
      <c r="AK3" s="120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1"/>
      <c r="X4" s="119"/>
      <c r="Y4" s="116" t="s">
        <v>62</v>
      </c>
      <c r="Z4" s="121"/>
      <c r="AA4" s="120"/>
      <c r="AB4" s="121"/>
      <c r="AC4" s="120"/>
      <c r="AD4" s="121"/>
      <c r="AE4" s="120"/>
      <c r="AF4" s="121"/>
      <c r="AG4" s="120"/>
      <c r="AH4" s="118"/>
      <c r="AI4" s="111"/>
      <c r="AJ4" s="121"/>
      <c r="AK4" s="120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1"/>
      <c r="X5" s="119"/>
      <c r="Y5" s="116"/>
      <c r="Z5" s="121"/>
      <c r="AA5" s="120"/>
      <c r="AB5" s="121"/>
      <c r="AC5" s="120"/>
      <c r="AD5" s="121"/>
      <c r="AE5" s="120"/>
      <c r="AF5" s="121"/>
      <c r="AG5" s="120"/>
      <c r="AH5" s="118"/>
      <c r="AI5" s="111"/>
      <c r="AJ5" s="121"/>
      <c r="AK5" s="120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7">
        <f>IF([1]Summ!E1044="",0,[1]Summ!E1044)</f>
        <v>8.3437110834371116E-3</v>
      </c>
      <c r="C6" s="217">
        <f>IF([1]Summ!F1044="",0,[1]Summ!F1044)</f>
        <v>0</v>
      </c>
      <c r="D6" s="24">
        <f t="shared" ref="D6:D16" si="0">SUM(B6,C6)</f>
        <v>8.3437110834371116E-3</v>
      </c>
      <c r="E6" s="26">
        <v>1</v>
      </c>
      <c r="F6" s="2" t="s">
        <v>21</v>
      </c>
      <c r="H6" s="24">
        <f t="shared" ref="H6:H21" si="1">(E6*F$7/F$9)</f>
        <v>1</v>
      </c>
      <c r="I6" s="22">
        <f t="shared" ref="I6:I21" si="2">(D6*H6)</f>
        <v>8.3437110834371116E-3</v>
      </c>
      <c r="J6" s="24">
        <f t="shared" ref="J6:J13" si="3">IF(I$24&lt;=1+I$113,I6,B6*H6+J$25*(I6-B6*H6))</f>
        <v>8.3437110834371116E-3</v>
      </c>
      <c r="K6" s="22">
        <f t="shared" ref="K6:K23" si="4">B6</f>
        <v>8.3437110834371116E-3</v>
      </c>
      <c r="L6" s="22">
        <f t="shared" ref="L6:L21" si="5">IF(K6="","",K6*H6)</f>
        <v>8.3437110834371116E-3</v>
      </c>
      <c r="M6" s="230">
        <f t="shared" ref="M6:M23" si="6">J6</f>
        <v>8.3437110834371116E-3</v>
      </c>
      <c r="N6" s="235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6"/>
      <c r="X6" s="119"/>
      <c r="Y6" s="185">
        <f>M6*4</f>
        <v>3.3374844333748446E-2</v>
      </c>
      <c r="Z6" s="117">
        <v>0.17</v>
      </c>
      <c r="AA6" s="122">
        <f>$M6*Z6*4</f>
        <v>5.6737235367372366E-3</v>
      </c>
      <c r="AB6" s="117">
        <v>0.17</v>
      </c>
      <c r="AC6" s="122">
        <f t="shared" ref="AC6:AC21" si="7">$M6*AB6*4</f>
        <v>5.6737235367372366E-3</v>
      </c>
      <c r="AD6" s="117">
        <v>0.33</v>
      </c>
      <c r="AE6" s="122">
        <f t="shared" ref="AE6:AE21" si="8">$M6*AD6*4</f>
        <v>1.1013698630136988E-2</v>
      </c>
      <c r="AF6" s="123">
        <f>1-SUM(Z6,AB6,AD6)</f>
        <v>0.32999999999999996</v>
      </c>
      <c r="AG6" s="122">
        <f>$M6*AF6*4</f>
        <v>1.1013698630136987E-2</v>
      </c>
      <c r="AH6" s="124">
        <f>SUM(Z6,AB6,AD6,AF6)</f>
        <v>1</v>
      </c>
      <c r="AI6" s="185">
        <f>SUM(AA6,AC6,AE6,AG6)/4</f>
        <v>8.3437110834371116E-3</v>
      </c>
      <c r="AJ6" s="121">
        <f>(AA6+AC6)/2</f>
        <v>5.6737235367372366E-3</v>
      </c>
      <c r="AK6" s="120">
        <f>(AE6+AG6)/2</f>
        <v>1.1013698630136987E-2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7">
        <f>IF([1]Summ!E1045="",0,[1]Summ!E1045)</f>
        <v>0</v>
      </c>
      <c r="C7" s="217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30">
        <f t="shared" si="6"/>
        <v>0</v>
      </c>
      <c r="N7" s="235">
        <v>3</v>
      </c>
      <c r="O7" s="2"/>
      <c r="P7" s="22"/>
      <c r="Q7" s="59" t="s">
        <v>71</v>
      </c>
      <c r="R7" s="228">
        <f>IF($B$68=0,0,(SUMIF($N$6:$N$20,$U7,K$6:K$20)+SUMIF($N$78:$N$100,$U7,K$78:K$100))*$I$70*Poor!$B$68/$B$68)</f>
        <v>2791.8711372284488</v>
      </c>
      <c r="S7" s="228">
        <f>IF($B$68=0,0,(SUMIF($N$6:$N$20,$U7,L$6:L$20)+SUMIF($N$78:$N$100,$U7,L$78:L$100))*$I$70*Poor!$B$68/$B$68)</f>
        <v>2791.8711372284488</v>
      </c>
      <c r="T7" s="228">
        <f>IF($B$68=0,0,(SUMIF($N$6:$N$20,$U7,M$6:M$20)+SUMIF($N$78:$N$100,$U7,M$78:M$100))*$I$70*Poor!$B$68/$B$68)</f>
        <v>2791.1415500239705</v>
      </c>
      <c r="U7" s="229">
        <v>1</v>
      </c>
      <c r="V7" s="56"/>
      <c r="W7" s="116"/>
      <c r="X7" s="125">
        <v>4</v>
      </c>
      <c r="Y7" s="185">
        <f t="shared" ref="Y7:Y21" si="9">M7*4</f>
        <v>0</v>
      </c>
      <c r="Z7" s="126">
        <f>IF($Y7=0,0,AA7/$Y7)</f>
        <v>0</v>
      </c>
      <c r="AA7" s="122">
        <f>IF($X7=1,IF(SUM(AA$6,AA$12:AA$21)&lt;1,IF((1-SUM(AA$6,AA$12:AA$21))*$M7/SUM($M$7*IF($X$7=1,1,0),$M$8*IF($X$8=1,1,0),$M$9*IF($X$9=1,1,0),$M$10*IF($X$10=1,1,0),$M$11*IF($X$11=1,1,0))&lt;Y7,(1-SUM(AA$6,AA$12:AA$21))*$M7/SUM($M$7*IF($X$7=1,1,0),$M$8*IF($X$8=1,1,0),$M$9*IF($X$9=1,1,0),$M$10*IF($X$10=1,1,0),$M$11*IF($X$11=1,1,0)),Y7),0),0)</f>
        <v>0</v>
      </c>
      <c r="AB7" s="126">
        <f>IF($Y7=0,0,AC7/$Y7)</f>
        <v>0</v>
      </c>
      <c r="AC7" s="122">
        <f>IF($X7&lt;3,IF(SUM(AC$6,AC$12:AC$21)&lt;1,IF(SUM(AC$6,AC$12:AC$21)+SUM((Y$7-AA$7)*IF($X$7&lt;3,1,0),(Y$8-AA$8)*IF($X$8&lt;3,1,0),(Y$9-AA$9)*IF($X$9&lt;3,1,0),(Y$10-AA$10)*IF($X$10&lt;3,1,0),(Y$11-AA$11)*IF($X$11&lt;3,1,0))&lt;1,Y7-AA7,IF((1-SUM(AC$6,AC$12:AC$21))*$M7/SUM($M$7*IF($X$7&lt;3,1,0),$M$8*IF($X$8&lt;3,1,0),$M$9*IF($X$9&lt;3,1,0),$M$10*IF($X$10&lt;3,1,0),$M$11*IF($X$11&lt;3,1,0))&lt;Y7-AA7,(1-SUM(AC$6,AC$12:AC$21))*$M7/SUM($M$7*IF($X$7&lt;3,1,0),$M$8*IF($X$8&lt;3,1,0),$M$9*IF($X$9&lt;3,1,0),$M$10*IF($X$10&lt;3,1,0),$M$11*IF($X$11&lt;3,1,0)),Y7-AA7)),0),0)</f>
        <v>0</v>
      </c>
      <c r="AD7" s="126">
        <f>IF($Y7=0,0,AE7/$Y7)</f>
        <v>0</v>
      </c>
      <c r="AE7" s="122">
        <f>IF($X7&lt;4,IF(SUM(AE$6:AE$6,AE$12:AE$21)&lt;1,IF(SUM(AE$6:AE$6,AE$12:AE$21)+SUM((Y$7-AA$7-AC$7)*IF($X$7&lt;3,1,0),(Y$8-AA$8-AC$8)*IF($X$8&lt;3,1,0),(Y$9-AA$9-AC$9)*IF($X$9&lt;3,1,0),(Y$10-AA$10-AC$10)*IF($X$10&lt;3,1,0),(Y$11-AA$11-AC$11)*IF($X$11&lt;3,1,0))&lt;1,Y7-AA7-AC7,IF((1-SUM(AE$6:AE$6,AE$12:AE$21))*$M7/SUM($M$7*IF($X$7&lt;4,1,0),$M$8*IF($X$8&lt;4,1,0),$M$9*IF($X$9&lt;4,1,0),$M$10*IF($X$10&lt;4,1,0),$M$11*IF($X$11&lt;4,1,0))&lt;Y7-AA7-AC7,(1-SUM(AE$6:AE$6,AE$12:AE$21))*$M7/SUM($M$7*IF($X$7&lt;4,1,0),$M$8*IF($X$8&lt;4,1,0),$M$9*IF($X$9&lt;4,1,0),$M$10*IF($X$10&lt;4,1,0),$M$11*IF($X$11&lt;4,1,0)),Y7-AA7-AC7)),0),0)</f>
        <v>0</v>
      </c>
      <c r="AF7" s="123">
        <f t="shared" ref="AF7:AF21" si="10">1-SUM(Z7,AB7,AD7)</f>
        <v>1</v>
      </c>
      <c r="AG7" s="122">
        <f t="shared" ref="AG7:AG21" si="11">$M7*AF7*4</f>
        <v>0</v>
      </c>
      <c r="AH7" s="124">
        <f t="shared" ref="AH7:AH22" si="12">SUM(Z7,AB7,AD7,AF7)</f>
        <v>1</v>
      </c>
      <c r="AI7" s="185">
        <f t="shared" ref="AI7:AI22" si="13">SUM(AA7,AC7,AE7,AG7)/4</f>
        <v>0</v>
      </c>
      <c r="AJ7" s="121">
        <f t="shared" ref="AJ7:AJ23" si="14">(AA7+AC7)/2</f>
        <v>0</v>
      </c>
      <c r="AK7" s="120">
        <f t="shared" ref="AK7:AK23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7">
        <f>IF([1]Summ!E1046="",0,[1]Summ!E1046)</f>
        <v>0.31544383561643835</v>
      </c>
      <c r="C8" s="217">
        <f>IF([1]Summ!F1046="",0,[1]Summ!F1046)</f>
        <v>0</v>
      </c>
      <c r="D8" s="24">
        <f t="shared" si="0"/>
        <v>0.31544383561643835</v>
      </c>
      <c r="E8" s="26">
        <v>1</v>
      </c>
      <c r="F8" s="22" t="s">
        <v>23</v>
      </c>
      <c r="H8" s="24">
        <f t="shared" si="1"/>
        <v>1</v>
      </c>
      <c r="I8" s="22">
        <f t="shared" si="2"/>
        <v>0.31544383561643835</v>
      </c>
      <c r="J8" s="24">
        <f t="shared" si="3"/>
        <v>0.31544383561643835</v>
      </c>
      <c r="K8" s="22">
        <f t="shared" si="4"/>
        <v>0.31544383561643835</v>
      </c>
      <c r="L8" s="22">
        <f t="shared" si="5"/>
        <v>0.31544383561643835</v>
      </c>
      <c r="M8" s="230">
        <f t="shared" si="6"/>
        <v>0.31544383561643835</v>
      </c>
      <c r="N8" s="235">
        <v>1</v>
      </c>
      <c r="O8" s="2"/>
      <c r="P8" s="22"/>
      <c r="Q8" s="59" t="s">
        <v>72</v>
      </c>
      <c r="R8" s="228">
        <f>IF($B$68=0,0,(SUMIF($N$6:$N$20,$U8,K$6:K$20)+SUMIF($N$78:$N$100,$U8,K$78:K$100))*$I$70*Poor!$B$68/$B$68)</f>
        <v>447.99999999999994</v>
      </c>
      <c r="S8" s="228">
        <f>IF($B$68=0,0,(SUMIF($N$6:$N$20,$U8,L$6:L$20)+SUMIF($N$78:$N$100,$U8,L$78:L$100))*$I$70*Poor!$B$68/$B$68)</f>
        <v>488</v>
      </c>
      <c r="T8" s="228">
        <f>IF($B$68=0,0,(SUMIF($N$6:$N$20,$U8,M$6:M$20)+SUMIF($N$78:$N$100,$U8,M$78:M$100))*$I$70*Poor!$B$68/$B$68)</f>
        <v>500.50787451743446</v>
      </c>
      <c r="U8" s="229">
        <v>2</v>
      </c>
      <c r="V8" s="186"/>
      <c r="W8" s="116"/>
      <c r="X8" s="125">
        <v>1</v>
      </c>
      <c r="Y8" s="185">
        <f t="shared" si="9"/>
        <v>1.2617753424657534</v>
      </c>
      <c r="Z8" s="126">
        <f>IF($Y8=0,0,AA8/$Y8)</f>
        <v>0.43828973265474042</v>
      </c>
      <c r="AA8" s="122">
        <f>IF($X8=1,IF(SUM(AA$6,AA$12:AA$21)&lt;1,IF((1-SUM(AA$6,AA$12:AA$21))*$M8/SUM($M$7*IF($X$7=1,1,0),$M$8*IF($X$8=1,1,0),$M$9*IF($X$9=1,1,0),$M$10*IF($X$10=1,1,0),$M$11*IF($X$11=1,1,0))&lt;Y8,(1-SUM(AA$6,AA$12:AA$21))*$M8/SUM($M$7*IF($X$7=1,1,0),$M$8*IF($X$8=1,1,0),$M$9*IF($X$9=1,1,0),$M$10*IF($X$10=1,1,0),$M$11*IF($X$11=1,1,0)),Y8),0),0)</f>
        <v>0.55302317751965857</v>
      </c>
      <c r="AB8" s="126">
        <f>IF($Y8=0,0,AC8/$Y8)</f>
        <v>0.25722498398047439</v>
      </c>
      <c r="AC8" s="122">
        <f>IF($X8&lt;3,IF(SUM(AC$6,AC$12:AC$21)&lt;1,IF(SUM(AC$6,AC$12:AC$21)+SUM((Y$7-AA$7)*IF($X$7&lt;3,1,0),(Y$8-AA$8)*IF($X$8&lt;3,1,0),(Y$9-AA$9)*IF($X$9&lt;3,1,0),(Y$10-AA$10)*IF($X$10&lt;3,1,0),(Y$11-AA$11)*IF($X$11&lt;3,1,0))&lt;1,Y8-AA8,IF((1-SUM(AC$6,AC$12:AC$21))*$M8/SUM($M$7*IF($X$7&lt;3,1,0),$M$8*IF($X$8&lt;3,1,0),$M$9*IF($X$9&lt;3,1,0),$M$10*IF($X$10&lt;3,1,0),$M$11*IF($X$11&lt;3,1,0))&lt;Y8-AA8,(1-SUM(AC$6,AC$12:AC$21))*$M8/SUM($M$7*IF($X$7&lt;3,1,0),$M$8*IF($X$8&lt;3,1,0),$M$9*IF($X$9&lt;3,1,0),$M$10*IF($X$10&lt;3,1,0),$M$11*IF($X$11&lt;3,1,0)),Y8-AA8)),0),0)</f>
        <v>0.32456014225271101</v>
      </c>
      <c r="AD8" s="126">
        <f>IF($Y8=0,0,AE8/$Y8)</f>
        <v>0.3044852833647852</v>
      </c>
      <c r="AE8" s="122">
        <f>IF($X8&lt;4,IF(SUM(AE$6:AE$6,AE$12:AE$21)&lt;1,IF(SUM(AE$6:AE$6,AE$12:AE$21)+SUM((Y$7-AA$7-AC$7)*IF($X$7&lt;3,1,0),(Y$8-AA$8-AC$8)*IF($X$8&lt;3,1,0),(Y$9-AA$9-AC$9)*IF($X$9&lt;3,1,0),(Y$10-AA$10-AC$10)*IF($X$10&lt;3,1,0),(Y$11-AA$11-AC$11)*IF($X$11&lt;3,1,0))&lt;1,Y8-AA8-AC8,IF((1-SUM(AE$6:AE$6,AE$12:AE$21))*$M8/SUM($M$7*IF($X$7&lt;4,1,0),$M$8*IF($X$8&lt;4,1,0),$M$9*IF($X$9&lt;4,1,0),$M$10*IF($X$10&lt;4,1,0),$M$11*IF($X$11&lt;4,1,0))&lt;Y8-AA8-AC8,(1-SUM(AE$6:AE$6,AE$12:AE$21))*$M8/SUM($M$7*IF($X$7&lt;4,1,0),$M$8*IF($X$8&lt;4,1,0),$M$9*IF($X$9&lt;4,1,0),$M$10*IF($X$10&lt;4,1,0),$M$11*IF($X$11&lt;4,1,0)),Y8-AA8-AC8)),0),0)</f>
        <v>0.38419202269338382</v>
      </c>
      <c r="AF8" s="123">
        <f t="shared" si="10"/>
        <v>0</v>
      </c>
      <c r="AG8" s="122">
        <f t="shared" si="11"/>
        <v>0</v>
      </c>
      <c r="AH8" s="124">
        <f t="shared" si="12"/>
        <v>1</v>
      </c>
      <c r="AI8" s="185">
        <f t="shared" si="13"/>
        <v>0.31544383561643835</v>
      </c>
      <c r="AJ8" s="121">
        <f t="shared" si="14"/>
        <v>0.43879165988618479</v>
      </c>
      <c r="AK8" s="120">
        <f t="shared" si="15"/>
        <v>0.19209601134669191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7">
        <f>IF([1]Summ!E1047="",0,[1]Summ!E1047)</f>
        <v>5.5235258405977594E-2</v>
      </c>
      <c r="C9" s="217">
        <f>IF([1]Summ!F1047="",0,[1]Summ!F1047)</f>
        <v>0</v>
      </c>
      <c r="D9" s="24">
        <f t="shared" si="0"/>
        <v>5.5235258405977594E-2</v>
      </c>
      <c r="E9" s="26">
        <v>1</v>
      </c>
      <c r="F9" s="28">
        <v>8800</v>
      </c>
      <c r="H9" s="24">
        <f t="shared" si="1"/>
        <v>1</v>
      </c>
      <c r="I9" s="22">
        <f t="shared" si="2"/>
        <v>5.5235258405977594E-2</v>
      </c>
      <c r="J9" s="24">
        <f t="shared" si="3"/>
        <v>5.5235258405977594E-2</v>
      </c>
      <c r="K9" s="22">
        <f t="shared" si="4"/>
        <v>5.5235258405977594E-2</v>
      </c>
      <c r="L9" s="22">
        <f t="shared" si="5"/>
        <v>5.5235258405977594E-2</v>
      </c>
      <c r="M9" s="230">
        <f t="shared" si="6"/>
        <v>5.5235258405977594E-2</v>
      </c>
      <c r="N9" s="235">
        <v>1</v>
      </c>
      <c r="O9" s="2"/>
      <c r="P9" s="22"/>
      <c r="Q9" s="59" t="s">
        <v>73</v>
      </c>
      <c r="R9" s="228">
        <f>IF($B$68=0,0,(SUMIF($N$6:$N$20,$U9,K$6:K$20)+SUMIF($N$78:$N$100,$U9,K$78:K$100))*$I$70*Poor!$B$68/$B$68)</f>
        <v>59.413246683736901</v>
      </c>
      <c r="S9" s="228">
        <f>IF($B$68=0,0,(SUMIF($N$6:$N$20,$U9,L$6:L$20)+SUMIF($N$78:$N$100,$U9,L$78:L$100))*$I$70*Poor!$B$68/$B$68)</f>
        <v>59.413246683736901</v>
      </c>
      <c r="T9" s="228">
        <f>IF($B$68=0,0,(SUMIF($N$6:$N$20,$U9,M$6:M$20)+SUMIF($N$78:$N$100,$U9,M$78:M$100))*$I$70*Poor!$B$68/$B$68)</f>
        <v>59.413246683736901</v>
      </c>
      <c r="U9" s="229">
        <v>3</v>
      </c>
      <c r="V9" s="56"/>
      <c r="W9" s="116"/>
      <c r="X9" s="125">
        <v>1</v>
      </c>
      <c r="Y9" s="185">
        <f t="shared" si="9"/>
        <v>0.22094103362391038</v>
      </c>
      <c r="Z9" s="126">
        <f>IF($Y9=0,0,AA9/$Y9)</f>
        <v>0.43828973265474036</v>
      </c>
      <c r="AA9" s="122">
        <f>IF($X9=1,IF(SUM(AA$6,AA$12:AA$21)&lt;1,IF((1-SUM(AA$6,AA$12:AA$21))*$M9/SUM($M$7*IF($X$7=1,1,0),$M$8*IF($X$8=1,1,0),$M$9*IF($X$9=1,1,0),$M$10*IF($X$10=1,1,0),$M$11*IF($X$11=1,1,0))&lt;Y9,(1-SUM(AA$6,AA$12:AA$21))*$M9/SUM($M$7*IF($X$7=1,1,0),$M$8*IF($X$8=1,1,0),$M$9*IF($X$9=1,1,0),$M$10*IF($X$10=1,1,0),$M$11*IF($X$11=1,1,0)),Y9),0),0)</f>
        <v>9.6836186559485685E-2</v>
      </c>
      <c r="AB9" s="126">
        <f>IF($Y9=0,0,AC9/$Y9)</f>
        <v>0.25722498398047444</v>
      </c>
      <c r="AC9" s="122">
        <f>IF($X9&lt;3,IF(SUM(AC$6,AC$12:AC$21)&lt;1,IF(SUM(AC$6,AC$12:AC$21)+SUM((Y$7-AA$7)*IF($X$7&lt;3,1,0),(Y$8-AA$8)*IF($X$8&lt;3,1,0),(Y$9-AA$9)*IF($X$9&lt;3,1,0),(Y$10-AA$10)*IF($X$10&lt;3,1,0),(Y$11-AA$11)*IF($X$11&lt;3,1,0))&lt;1,Y9-AA9,IF((1-SUM(AC$6,AC$12:AC$21))*$M9/SUM($M$7*IF($X$7&lt;3,1,0),$M$8*IF($X$8&lt;3,1,0),$M$9*IF($X$9&lt;3,1,0),$M$10*IF($X$10&lt;3,1,0),$M$11*IF($X$11&lt;3,1,0))&lt;Y9-AA9,(1-SUM(AC$6,AC$12:AC$21))*$M9/SUM($M$7*IF($X$7&lt;3,1,0),$M$8*IF($X$8&lt;3,1,0),$M$9*IF($X$9&lt;3,1,0),$M$10*IF($X$10&lt;3,1,0),$M$11*IF($X$11&lt;3,1,0)),Y9-AA9)),0),0)</f>
        <v>5.6831553834539812E-2</v>
      </c>
      <c r="AD9" s="126">
        <f>IF($Y9=0,0,AE9/$Y9)</f>
        <v>0.30448528336478514</v>
      </c>
      <c r="AE9" s="122">
        <f>IF($X9&lt;4,IF(SUM(AE$6:AE$6,AE$12:AE$21)&lt;1,IF(SUM(AE$6:AE$6,AE$12:AE$21)+SUM((Y$7-AA$7-AC$7)*IF($X$7&lt;3,1,0),(Y$8-AA$8-AC$8)*IF($X$8&lt;3,1,0),(Y$9-AA$9-AC$9)*IF($X$9&lt;3,1,0),(Y$10-AA$10-AC$10)*IF($X$10&lt;3,1,0),(Y$11-AA$11-AC$11)*IF($X$11&lt;3,1,0))&lt;1,Y9-AA9-AC9,IF((1-SUM(AE$6:AE$6,AE$12:AE$21))*$M9/SUM($M$7*IF($X$7&lt;4,1,0),$M$8*IF($X$8&lt;4,1,0),$M$9*IF($X$9&lt;4,1,0),$M$10*IF($X$10&lt;4,1,0),$M$11*IF($X$11&lt;4,1,0))&lt;Y9-AA9-AC9,(1-SUM(AE$6:AE$6,AE$12:AE$21))*$M9/SUM($M$7*IF($X$7&lt;4,1,0),$M$8*IF($X$8&lt;4,1,0),$M$9*IF($X$9&lt;4,1,0),$M$10*IF($X$10&lt;4,1,0),$M$11*IF($X$11&lt;4,1,0)),Y9-AA9-AC9)),0),0)</f>
        <v>6.7273293229884873E-2</v>
      </c>
      <c r="AF9" s="123">
        <f t="shared" si="10"/>
        <v>0</v>
      </c>
      <c r="AG9" s="122">
        <f t="shared" si="11"/>
        <v>0</v>
      </c>
      <c r="AH9" s="124">
        <f t="shared" si="12"/>
        <v>1</v>
      </c>
      <c r="AI9" s="185">
        <f t="shared" si="13"/>
        <v>5.5235258405977594E-2</v>
      </c>
      <c r="AJ9" s="121">
        <f t="shared" si="14"/>
        <v>7.6833870197012752E-2</v>
      </c>
      <c r="AK9" s="120">
        <f t="shared" si="15"/>
        <v>3.3636646614942436E-2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7">
        <f>IF([1]Summ!E1048="",0,[1]Summ!E1048)</f>
        <v>1.5990037359900375E-2</v>
      </c>
      <c r="C10" s="217">
        <f>IF([1]Summ!F1048="",0,[1]Summ!F1048)</f>
        <v>3.997509339975093E-3</v>
      </c>
      <c r="D10" s="24">
        <f t="shared" si="0"/>
        <v>1.9987546699875468E-2</v>
      </c>
      <c r="E10" s="26">
        <v>1</v>
      </c>
      <c r="H10" s="24">
        <f t="shared" si="1"/>
        <v>1</v>
      </c>
      <c r="I10" s="22">
        <f t="shared" si="2"/>
        <v>1.9987546699875468E-2</v>
      </c>
      <c r="J10" s="24">
        <f t="shared" si="3"/>
        <v>1.5887577636116194E-2</v>
      </c>
      <c r="K10" s="22">
        <f t="shared" si="4"/>
        <v>1.5990037359900375E-2</v>
      </c>
      <c r="L10" s="22">
        <f t="shared" si="5"/>
        <v>1.5990037359900375E-2</v>
      </c>
      <c r="M10" s="230">
        <f t="shared" si="6"/>
        <v>1.5887577636116194E-2</v>
      </c>
      <c r="N10" s="235">
        <v>1</v>
      </c>
      <c r="O10" s="2"/>
      <c r="P10" s="22"/>
      <c r="Q10" s="59" t="s">
        <v>74</v>
      </c>
      <c r="R10" s="228">
        <f>IF($B$68=0,0,(SUMIF($N$6:$N$20,$U10,K$6:K$20)+SUMIF($N$78:$N$100,$U10,K$78:K$100))*$I$70*Poor!$B$68/$B$68)</f>
        <v>0</v>
      </c>
      <c r="S10" s="228">
        <f>IF($B$68=0,0,(SUMIF($N$6:$N$20,$U10,L$6:L$20)+SUMIF($N$78:$N$100,$U10,L$78:L$100))*$I$70*Poor!$B$68/$B$68)</f>
        <v>0</v>
      </c>
      <c r="T10" s="228">
        <f>IF($B$68=0,0,(SUMIF($N$6:$N$20,$U10,M$6:M$20)+SUMIF($N$78:$N$100,$U10,M$78:M$100))*$I$70*Poor!$B$68/$B$68)</f>
        <v>0</v>
      </c>
      <c r="U10" s="229">
        <v>4</v>
      </c>
      <c r="V10" s="56"/>
      <c r="W10" s="116"/>
      <c r="X10" s="125">
        <v>1</v>
      </c>
      <c r="Y10" s="185">
        <f t="shared" si="9"/>
        <v>6.3550310544464778E-2</v>
      </c>
      <c r="Z10" s="126">
        <f>IF($Y10=0,0,AA10/$Y10)</f>
        <v>0.43828973265474036</v>
      </c>
      <c r="AA10" s="122">
        <f>IF($X10=1,IF(SUM(AA$6,AA$12:AA$21)&lt;1,IF((1-SUM(AA$6,AA$12:AA$21))*$M10/SUM($M$7*IF($X$7=1,1,0),$M$8*IF($X$8=1,1,0),$M$9*IF($X$9=1,1,0),$M$10*IF($X$10=1,1,0),$M$11*IF($X$11=1,1,0))&lt;Y10,(1-SUM(AA$6,AA$12:AA$21))*$M10/SUM($M$7*IF($X$7=1,1,0),$M$8*IF($X$8=1,1,0),$M$9*IF($X$9=1,1,0),$M$10*IF($X$10=1,1,0),$M$11*IF($X$11=1,1,0)),Y10),0),0)</f>
        <v>2.7853448618659196E-2</v>
      </c>
      <c r="AB10" s="126">
        <f>IF($Y10=0,0,AC10/$Y10)</f>
        <v>0.25722498398047444</v>
      </c>
      <c r="AC10" s="122">
        <f>IF($X10&lt;3,IF(SUM(AC$6,AC$12:AC$21)&lt;1,IF(SUM(AC$6,AC$12:AC$21)+SUM((Y$7-AA$7)*IF($X$7&lt;3,1,0),(Y$8-AA$8)*IF($X$8&lt;3,1,0),(Y$9-AA$9)*IF($X$9&lt;3,1,0),(Y$10-AA$10)*IF($X$10&lt;3,1,0),(Y$11-AA$11)*IF($X$11&lt;3,1,0))&lt;1,Y10-AA10,IF((1-SUM(AC$6,AC$12:AC$21))*$M10/SUM($M$7*IF($X$7&lt;3,1,0),$M$8*IF($X$8&lt;3,1,0),$M$9*IF($X$9&lt;3,1,0),$M$10*IF($X$10&lt;3,1,0),$M$11*IF($X$11&lt;3,1,0))&lt;Y10-AA10,(1-SUM(AC$6,AC$12:AC$21))*$M10/SUM($M$7*IF($X$7&lt;3,1,0),$M$8*IF($X$8&lt;3,1,0),$M$9*IF($X$9&lt;3,1,0),$M$10*IF($X$10&lt;3,1,0),$M$11*IF($X$11&lt;3,1,0)),Y10-AA10)),0),0)</f>
        <v>1.6346727611754128E-2</v>
      </c>
      <c r="AD10" s="126">
        <f>IF($Y10=0,0,AE10/$Y10)</f>
        <v>0.3044852833647852</v>
      </c>
      <c r="AE10" s="122">
        <f>IF($X10&lt;4,IF(SUM(AE$6:AE$6,AE$12:AE$21)&lt;1,IF(SUM(AE$6:AE$6,AE$12:AE$21)+SUM((Y$7-AA$7-AC$7)*IF($X$7&lt;3,1,0),(Y$8-AA$8-AC$8)*IF($X$8&lt;3,1,0),(Y$9-AA$9-AC$9)*IF($X$9&lt;3,1,0),(Y$10-AA$10-AC$10)*IF($X$10&lt;3,1,0),(Y$11-AA$11-AC$11)*IF($X$11&lt;3,1,0))&lt;1,Y10-AA10-AC10,IF((1-SUM(AE$6:AE$6,AE$12:AE$21))*$M10/SUM($M$7*IF($X$7&lt;4,1,0),$M$8*IF($X$8&lt;4,1,0),$M$9*IF($X$9&lt;4,1,0),$M$10*IF($X$10&lt;4,1,0),$M$11*IF($X$11&lt;4,1,0))&lt;Y10-AA10-AC10,(1-SUM(AE$6:AE$6,AE$12:AE$21))*$M10/SUM($M$7*IF($X$7&lt;4,1,0),$M$8*IF($X$8&lt;4,1,0),$M$9*IF($X$9&lt;4,1,0),$M$10*IF($X$10&lt;4,1,0),$M$11*IF($X$11&lt;4,1,0)),Y10-AA10-AC10)),0),0)</f>
        <v>1.9350134314051453E-2</v>
      </c>
      <c r="AF10" s="123">
        <f t="shared" si="10"/>
        <v>0</v>
      </c>
      <c r="AG10" s="122">
        <f t="shared" si="11"/>
        <v>0</v>
      </c>
      <c r="AH10" s="124">
        <f t="shared" si="12"/>
        <v>1</v>
      </c>
      <c r="AI10" s="185">
        <f t="shared" si="13"/>
        <v>1.5887577636116194E-2</v>
      </c>
      <c r="AJ10" s="121">
        <f t="shared" si="14"/>
        <v>2.2100088115206661E-2</v>
      </c>
      <c r="AK10" s="120">
        <f t="shared" si="15"/>
        <v>9.6750671570257265E-3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7">
        <f>IF([1]Summ!E1049="",0,[1]Summ!E1049)</f>
        <v>5.4078455790784559E-3</v>
      </c>
      <c r="C11" s="217">
        <f>IF([1]Summ!F1049="",0,[1]Summ!F1049)</f>
        <v>0</v>
      </c>
      <c r="D11" s="24">
        <f t="shared" si="0"/>
        <v>5.4078455790784559E-3</v>
      </c>
      <c r="E11" s="26">
        <v>1</v>
      </c>
      <c r="H11" s="24">
        <f t="shared" si="1"/>
        <v>1</v>
      </c>
      <c r="I11" s="22">
        <f t="shared" si="2"/>
        <v>5.4078455790784559E-3</v>
      </c>
      <c r="J11" s="24">
        <f t="shared" si="3"/>
        <v>5.4078455790784559E-3</v>
      </c>
      <c r="K11" s="22">
        <f t="shared" si="4"/>
        <v>5.4078455790784559E-3</v>
      </c>
      <c r="L11" s="22">
        <f t="shared" si="5"/>
        <v>5.4078455790784559E-3</v>
      </c>
      <c r="M11" s="230">
        <f t="shared" si="6"/>
        <v>5.4078455790784559E-3</v>
      </c>
      <c r="N11" s="235">
        <v>1</v>
      </c>
      <c r="O11" s="2"/>
      <c r="P11" s="22"/>
      <c r="Q11" s="59" t="s">
        <v>75</v>
      </c>
      <c r="R11" s="228">
        <f>IF($B$68=0,0,(SUMIF($N$6:$N$20,$U11,K$6:K$20)+SUMIF($N$78:$N$100,$U11,K$78:K$100))*$I$70*Poor!$B$68/$B$68)</f>
        <v>4175.92</v>
      </c>
      <c r="S11" s="228">
        <f>IF($B$68=0,0,(SUMIF($N$6:$N$20,$U11,L$6:L$20)+SUMIF($N$78:$N$100,$U11,L$78:L$100))*$I$70*Poor!$B$68/$B$68)</f>
        <v>4127.8149999999996</v>
      </c>
      <c r="T11" s="228">
        <f>IF($B$68=0,0,(SUMIF($N$6:$N$20,$U11,M$6:M$20)+SUMIF($N$78:$N$100,$U11,M$78:M$100))*$I$70*Poor!$B$68/$B$68)</f>
        <v>4127.8149999999996</v>
      </c>
      <c r="U11" s="229">
        <v>5</v>
      </c>
      <c r="V11" s="56"/>
      <c r="W11" s="116"/>
      <c r="X11" s="125">
        <v>1</v>
      </c>
      <c r="Y11" s="185">
        <f t="shared" si="9"/>
        <v>2.1631382316313823E-2</v>
      </c>
      <c r="Z11" s="126">
        <f>IF($Y11=0,0,AA11/$Y11)</f>
        <v>0.43828973265474042</v>
      </c>
      <c r="AA11" s="122">
        <f>IF($X11=1,IF(SUM(AA$6,AA$12:AA$21)&lt;1,IF((1-SUM(AA$6,AA$12:AA$21))*$M11/SUM($M$7*IF($X$7=1,1,0),$M$8*IF($X$8=1,1,0),$M$9*IF($X$9=1,1,0),$M$10*IF($X$10=1,1,0),$M$11*IF($X$11=1,1,0))&lt;Y11,(1-SUM(AA$6,AA$12:AA$21))*$M11/SUM($M$7*IF($X$7=1,1,0),$M$8*IF($X$8=1,1,0),$M$9*IF($X$9=1,1,0),$M$10*IF($X$10=1,1,0),$M$11*IF($X$11=1,1,0)),Y11),0),0)</f>
        <v>9.4808127723696647E-3</v>
      </c>
      <c r="AB11" s="126">
        <f>IF($Y11=0,0,AC11/$Y11)</f>
        <v>0.25722498398047444</v>
      </c>
      <c r="AC11" s="122">
        <f>IF($X11&lt;3,IF(SUM(AC$6,AC$12:AC$21)&lt;1,IF(SUM(AC$6,AC$12:AC$21)+SUM((Y$7-AA$7)*IF($X$7&lt;3,1,0),(Y$8-AA$8)*IF($X$8&lt;3,1,0),(Y$9-AA$9)*IF($X$9&lt;3,1,0),(Y$10-AA$10)*IF($X$10&lt;3,1,0),(Y$11-AA$11)*IF($X$11&lt;3,1,0))&lt;1,Y11-AA11,IF((1-SUM(AC$6,AC$12:AC$21))*$M11/SUM($M$7*IF($X$7&lt;3,1,0),$M$8*IF($X$8&lt;3,1,0),$M$9*IF($X$9&lt;3,1,0),$M$10*IF($X$10&lt;3,1,0),$M$11*IF($X$11&lt;3,1,0))&lt;Y11-AA11,(1-SUM(AC$6,AC$12:AC$21))*$M11/SUM($M$7*IF($X$7&lt;3,1,0),$M$8*IF($X$8&lt;3,1,0),$M$9*IF($X$9&lt;3,1,0),$M$10*IF($X$10&lt;3,1,0),$M$11*IF($X$11&lt;3,1,0)),Y11-AA11)),0),0)</f>
        <v>5.5641319697893417E-3</v>
      </c>
      <c r="AD11" s="126">
        <f>IF($Y11=0,0,AE11/$Y11)</f>
        <v>0.30448528336478514</v>
      </c>
      <c r="AE11" s="122">
        <f>IF($X11&lt;4,IF(SUM(AE$6:AE$6,AE$12:AE$21)&lt;1,IF(SUM(AE$6:AE$6,AE$12:AE$21)+SUM((Y$7-AA$7-AC$7)*IF($X$7&lt;3,1,0),(Y$8-AA$8-AC$8)*IF($X$8&lt;3,1,0),(Y$9-AA$9-AC$9)*IF($X$9&lt;3,1,0),(Y$10-AA$10-AC$10)*IF($X$10&lt;3,1,0),(Y$11-AA$11-AC$11)*IF($X$11&lt;3,1,0))&lt;1,Y11-AA11-AC11,IF((1-SUM(AE$6:AE$6,AE$12:AE$21))*$M11/SUM($M$7*IF($X$7&lt;4,1,0),$M$8*IF($X$8&lt;4,1,0),$M$9*IF($X$9&lt;4,1,0),$M$10*IF($X$10&lt;4,1,0),$M$11*IF($X$11&lt;4,1,0))&lt;Y11-AA11-AC11,(1-SUM(AE$6:AE$6,AE$12:AE$21))*$M11/SUM($M$7*IF($X$7&lt;4,1,0),$M$8*IF($X$8&lt;4,1,0),$M$9*IF($X$9&lt;4,1,0),$M$10*IF($X$10&lt;4,1,0),$M$11*IF($X$11&lt;4,1,0)),Y11-AA11-AC11)),0),0)</f>
        <v>6.5864375741548171E-3</v>
      </c>
      <c r="AF11" s="123">
        <f t="shared" si="10"/>
        <v>0</v>
      </c>
      <c r="AG11" s="122">
        <f t="shared" si="11"/>
        <v>0</v>
      </c>
      <c r="AH11" s="124">
        <f t="shared" si="12"/>
        <v>1</v>
      </c>
      <c r="AI11" s="185">
        <f t="shared" si="13"/>
        <v>5.4078455790784559E-3</v>
      </c>
      <c r="AJ11" s="121">
        <f t="shared" si="14"/>
        <v>7.5224723710795027E-3</v>
      </c>
      <c r="AK11" s="120">
        <f t="shared" si="15"/>
        <v>3.2932187870774086E-3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7">
        <f>IF([1]Summ!E1050="",0,[1]Summ!E1050)</f>
        <v>0</v>
      </c>
      <c r="C12" s="217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30">
        <f t="shared" si="6"/>
        <v>0</v>
      </c>
      <c r="N12" s="235">
        <v>1</v>
      </c>
      <c r="O12" s="2"/>
      <c r="P12" s="22"/>
      <c r="Q12" s="127" t="s">
        <v>124</v>
      </c>
      <c r="R12" s="228">
        <f>IF($B$68=0,0,(SUMIF($N$6:$N$20,$U12,K$6:K$20)+SUMIF($N$78:$N$100,$U12,K$78:K$100))*$I$70*Poor!$B$68/$B$68)</f>
        <v>0</v>
      </c>
      <c r="S12" s="228">
        <f>IF($B$68=0,0,(SUMIF($N$6:$N$20,$U12,L$6:L$20)+SUMIF($N$78:$N$100,$U12,L$78:L$100))*$I$70*Poor!$B$68/$B$68)</f>
        <v>0</v>
      </c>
      <c r="T12" s="228">
        <f>IF($B$68=0,0,(SUMIF($N$6:$N$20,$U12,M$6:M$20)+SUMIF($N$78:$N$100,$U12,M$78:M$100))*$I$70*Poor!$B$68/$B$68)</f>
        <v>-22.678952002197136</v>
      </c>
      <c r="U12" s="229">
        <v>6</v>
      </c>
      <c r="V12" s="56"/>
      <c r="W12" s="118"/>
      <c r="X12" s="119"/>
      <c r="Y12" s="185">
        <f t="shared" si="9"/>
        <v>0</v>
      </c>
      <c r="Z12" s="117">
        <v>0</v>
      </c>
      <c r="AA12" s="122">
        <f>$M12*Z12*4</f>
        <v>0</v>
      </c>
      <c r="AB12" s="117">
        <v>0</v>
      </c>
      <c r="AC12" s="122">
        <f>$M12*AB12*4</f>
        <v>0</v>
      </c>
      <c r="AD12" s="117">
        <v>0.67</v>
      </c>
      <c r="AE12" s="122">
        <f>$M12*AD12*4</f>
        <v>0</v>
      </c>
      <c r="AF12" s="123">
        <f>1-SUM(Z12,AB12,AD12)</f>
        <v>0.32999999999999996</v>
      </c>
      <c r="AG12" s="122">
        <f>$M12*AF12*4</f>
        <v>0</v>
      </c>
      <c r="AH12" s="124">
        <f t="shared" si="12"/>
        <v>1</v>
      </c>
      <c r="AI12" s="185">
        <f t="shared" si="13"/>
        <v>0</v>
      </c>
      <c r="AJ12" s="121">
        <f t="shared" si="14"/>
        <v>0</v>
      </c>
      <c r="AK12" s="120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WILD FOODS -- see worksheet Data 3</v>
      </c>
      <c r="B13" s="217">
        <f>IF([1]Summ!E1051="",0,[1]Summ!E1051)</f>
        <v>0</v>
      </c>
      <c r="C13" s="217">
        <f>IF([1]Summ!F1051="",0,[1]Summ!F1051)</f>
        <v>0.05</v>
      </c>
      <c r="D13" s="24">
        <f t="shared" si="0"/>
        <v>0.05</v>
      </c>
      <c r="E13" s="26">
        <v>0.8</v>
      </c>
      <c r="H13" s="24">
        <f t="shared" si="1"/>
        <v>0.8</v>
      </c>
      <c r="I13" s="22">
        <f t="shared" si="2"/>
        <v>4.0000000000000008E-2</v>
      </c>
      <c r="J13" s="24">
        <f t="shared" si="3"/>
        <v>-1.0252356161831535E-3</v>
      </c>
      <c r="K13" s="22">
        <f t="shared" si="4"/>
        <v>0</v>
      </c>
      <c r="L13" s="22">
        <f t="shared" si="5"/>
        <v>0</v>
      </c>
      <c r="M13" s="231">
        <f t="shared" si="6"/>
        <v>-1.0252356161831535E-3</v>
      </c>
      <c r="N13" s="235">
        <v>6</v>
      </c>
      <c r="O13" s="2"/>
      <c r="P13" s="22"/>
      <c r="Q13" s="59" t="s">
        <v>76</v>
      </c>
      <c r="R13" s="228">
        <f>IF($B$68=0,0,(SUMIF($N$6:$N$20,$U13,K$6:K$20)+SUMIF($N$78:$N$100,$U13,K$78:K$100))*$I$70*Poor!$B$68/$B$68)</f>
        <v>14808.875138121546</v>
      </c>
      <c r="S13" s="228">
        <f>IF($B$68=0,0,(SUMIF($N$6:$N$20,$U13,L$6:L$20)+SUMIF($N$78:$N$100,$U13,L$78:L$100))*$I$70*Poor!$B$68/$B$68)</f>
        <v>13989.739370165747</v>
      </c>
      <c r="T13" s="228">
        <f>IF($B$68=0,0,(SUMIF($N$6:$N$20,$U13,M$6:M$20)+SUMIF($N$78:$N$100,$U13,M$78:M$100))*$I$70*Poor!$B$68/$B$68)</f>
        <v>14004.989080815909</v>
      </c>
      <c r="U13" s="229">
        <v>7</v>
      </c>
      <c r="V13" s="56"/>
      <c r="W13" s="111"/>
      <c r="X13" s="119"/>
      <c r="Y13" s="185">
        <f t="shared" si="9"/>
        <v>-4.1009424647326142E-3</v>
      </c>
      <c r="Z13" s="117">
        <v>1</v>
      </c>
      <c r="AA13" s="122">
        <f>$M13*Z13*4</f>
        <v>-4.1009424647326142E-3</v>
      </c>
      <c r="AB13" s="117">
        <v>0</v>
      </c>
      <c r="AC13" s="122">
        <f>$M13*AB13*4</f>
        <v>0</v>
      </c>
      <c r="AD13" s="117">
        <v>0</v>
      </c>
      <c r="AE13" s="122">
        <f>$M13*AD13*4</f>
        <v>0</v>
      </c>
      <c r="AF13" s="123">
        <f>1-SUM(Z13,AB13,AD13)</f>
        <v>0</v>
      </c>
      <c r="AG13" s="122">
        <f>$M13*AF13*4</f>
        <v>0</v>
      </c>
      <c r="AH13" s="124">
        <f t="shared" si="12"/>
        <v>1</v>
      </c>
      <c r="AI13" s="185">
        <f t="shared" si="13"/>
        <v>-1.0252356161831535E-3</v>
      </c>
      <c r="AJ13" s="121">
        <f t="shared" si="14"/>
        <v>-2.0504712323663071E-3</v>
      </c>
      <c r="AK13" s="120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Land clearing, construction, herding, slaughtering</v>
      </c>
      <c r="B14" s="217">
        <f>IF([1]Summ!E1052="",0,[1]Summ!E1052)</f>
        <v>7.8860958904109588E-2</v>
      </c>
      <c r="C14" s="217">
        <f>IF([1]Summ!F1052="",0,[1]Summ!F1052)</f>
        <v>-6.0025342465753417E-2</v>
      </c>
      <c r="D14" s="24">
        <f t="shared" si="0"/>
        <v>1.883561643835617E-2</v>
      </c>
      <c r="E14" s="26">
        <v>0.87</v>
      </c>
      <c r="F14" s="22"/>
      <c r="H14" s="24">
        <f t="shared" si="1"/>
        <v>0.87</v>
      </c>
      <c r="I14" s="22">
        <f t="shared" si="2"/>
        <v>1.6386986301369869E-2</v>
      </c>
      <c r="J14" s="24">
        <f>IF(I$24&lt;=1+I113,I14,B14*H14+J$25*(I14-B14*H14))</f>
        <v>6.9947531834161566E-2</v>
      </c>
      <c r="K14" s="22">
        <f t="shared" si="4"/>
        <v>7.8860958904109588E-2</v>
      </c>
      <c r="L14" s="22">
        <f t="shared" si="5"/>
        <v>6.8609034246575343E-2</v>
      </c>
      <c r="M14" s="231">
        <f t="shared" si="6"/>
        <v>6.9947531834161566E-2</v>
      </c>
      <c r="N14" s="235">
        <v>7</v>
      </c>
      <c r="O14" s="2"/>
      <c r="P14" s="22"/>
      <c r="Q14" s="127" t="s">
        <v>77</v>
      </c>
      <c r="R14" s="228">
        <f>IF($B$68=0,0,(SUMIF($N$6:$N$20,$U14,K$6:K$20)+SUMIF($N$78:$N$100,$U14,K$78:K$100))*$I$70*Poor!$B$68/$B$68)</f>
        <v>13439.999999999998</v>
      </c>
      <c r="S14" s="228">
        <f>IF($B$68=0,0,(SUMIF($N$6:$N$20,$U14,L$6:L$20)+SUMIF($N$78:$N$100,$U14,L$78:L$100))*$I$70*Poor!$B$68/$B$68)</f>
        <v>12840</v>
      </c>
      <c r="T14" s="228">
        <f>IF($B$68=0,0,(SUMIF($N$6:$N$20,$U14,M$6:M$20)+SUMIF($N$78:$N$100,$U14,M$78:M$100))*$I$70*Poor!$B$68/$B$68)</f>
        <v>12840</v>
      </c>
      <c r="U14" s="229">
        <v>8</v>
      </c>
      <c r="V14" s="56"/>
      <c r="W14" s="111"/>
      <c r="X14" s="119"/>
      <c r="Y14" s="185">
        <f>M14*4</f>
        <v>0.27979012733664627</v>
      </c>
      <c r="Z14" s="117">
        <v>0</v>
      </c>
      <c r="AA14" s="122">
        <f t="shared" ref="AA14:AA21" si="16">$M14*Z14*4</f>
        <v>0</v>
      </c>
      <c r="AB14" s="117">
        <v>1</v>
      </c>
      <c r="AC14" s="122">
        <f t="shared" si="7"/>
        <v>0.27979012733664627</v>
      </c>
      <c r="AD14" s="117">
        <v>0</v>
      </c>
      <c r="AE14" s="122">
        <f t="shared" si="8"/>
        <v>0</v>
      </c>
      <c r="AF14" s="123">
        <f t="shared" si="10"/>
        <v>0</v>
      </c>
      <c r="AG14" s="122">
        <f t="shared" si="11"/>
        <v>0</v>
      </c>
      <c r="AH14" s="129">
        <f>SUM(Z14,AB14,AD14,AF14)</f>
        <v>1</v>
      </c>
      <c r="AI14" s="185">
        <f>SUM(AA14,AC14,AE14,AG14)/4</f>
        <v>6.9947531834161566E-2</v>
      </c>
      <c r="AJ14" s="121">
        <f t="shared" si="14"/>
        <v>0.13989506366832313</v>
      </c>
      <c r="AK14" s="120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Labour: Weeding</v>
      </c>
      <c r="B15" s="217">
        <f>IF([1]Summ!E1053="",0,[1]Summ!E1053)</f>
        <v>4.731657534246575E-2</v>
      </c>
      <c r="C15" s="217">
        <f>IF([1]Summ!F1053="",0,[1]Summ!F1053)</f>
        <v>-3.6015205479452049E-2</v>
      </c>
      <c r="D15" s="24">
        <f t="shared" si="0"/>
        <v>1.1301369863013701E-2</v>
      </c>
      <c r="E15" s="26">
        <v>0.87</v>
      </c>
      <c r="F15" s="22"/>
      <c r="H15" s="24">
        <f t="shared" si="1"/>
        <v>0.87</v>
      </c>
      <c r="I15" s="22">
        <f t="shared" si="2"/>
        <v>9.8321917808219198E-3</v>
      </c>
      <c r="J15" s="24">
        <f>IF(I$24&lt;=1+I113,I15,B15*H15+J$25*(I15-B15*H15))</f>
        <v>4.196851910049694E-2</v>
      </c>
      <c r="K15" s="22">
        <f t="shared" si="4"/>
        <v>4.731657534246575E-2</v>
      </c>
      <c r="L15" s="22">
        <f t="shared" si="5"/>
        <v>4.1165420547945204E-2</v>
      </c>
      <c r="M15" s="232">
        <f t="shared" si="6"/>
        <v>4.196851910049694E-2</v>
      </c>
      <c r="N15" s="235">
        <v>7</v>
      </c>
      <c r="O15" s="2"/>
      <c r="P15" s="22"/>
      <c r="Q15" s="59" t="s">
        <v>127</v>
      </c>
      <c r="R15" s="228">
        <f>IF($B$68=0,0,(SUMIF($N$6:$N$20,$U15,K$6:K$20)+SUMIF($N$78:$N$100,$U15,K$78:K$100))*$I$70*Poor!$B$68/$B$68)</f>
        <v>628.31999999999994</v>
      </c>
      <c r="S15" s="228">
        <f>IF($B$68=0,0,(SUMIF($N$6:$N$20,$U15,L$6:L$20)+SUMIF($N$78:$N$100,$U15,L$78:L$100))*$I$70*Poor!$B$68/$B$68)</f>
        <v>600.27</v>
      </c>
      <c r="T15" s="228">
        <f>IF($B$68=0,0,(SUMIF($N$6:$N$20,$U15,M$6:M$20)+SUMIF($N$78:$N$100,$U15,M$78:M$100))*$I$70*Poor!$B$68/$B$68)</f>
        <v>600.27</v>
      </c>
      <c r="U15" s="229">
        <v>9</v>
      </c>
      <c r="V15" s="56"/>
      <c r="W15" s="111"/>
      <c r="X15" s="119"/>
      <c r="Y15" s="185">
        <f t="shared" si="9"/>
        <v>0.16787407640198776</v>
      </c>
      <c r="Z15" s="117">
        <v>0.25</v>
      </c>
      <c r="AA15" s="122">
        <f t="shared" si="16"/>
        <v>4.196851910049694E-2</v>
      </c>
      <c r="AB15" s="117">
        <v>0.25</v>
      </c>
      <c r="AC15" s="122">
        <f t="shared" si="7"/>
        <v>4.196851910049694E-2</v>
      </c>
      <c r="AD15" s="117">
        <v>0.25</v>
      </c>
      <c r="AE15" s="122">
        <f t="shared" si="8"/>
        <v>4.196851910049694E-2</v>
      </c>
      <c r="AF15" s="123">
        <f t="shared" si="10"/>
        <v>0.25</v>
      </c>
      <c r="AG15" s="122">
        <f t="shared" si="11"/>
        <v>4.196851910049694E-2</v>
      </c>
      <c r="AH15" s="124">
        <f t="shared" si="12"/>
        <v>1</v>
      </c>
      <c r="AI15" s="185">
        <f t="shared" si="13"/>
        <v>4.196851910049694E-2</v>
      </c>
      <c r="AJ15" s="121">
        <f t="shared" si="14"/>
        <v>4.196851910049694E-2</v>
      </c>
      <c r="AK15" s="120">
        <f t="shared" si="15"/>
        <v>4.196851910049694E-2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cereal</v>
      </c>
      <c r="B16" s="217">
        <f>IF([1]Summ!E1054="",0,[1]Summ!E1054)</f>
        <v>9.437110834371109E-3</v>
      </c>
      <c r="C16" s="217">
        <f>IF([1]Summ!F1054="",0,[1]Summ!F1054)</f>
        <v>0</v>
      </c>
      <c r="D16" s="24">
        <f t="shared" si="0"/>
        <v>9.437110834371109E-3</v>
      </c>
      <c r="E16" s="26">
        <v>1</v>
      </c>
      <c r="F16" s="22"/>
      <c r="H16" s="24">
        <f t="shared" si="1"/>
        <v>1</v>
      </c>
      <c r="I16" s="22">
        <f t="shared" si="2"/>
        <v>9.437110834371109E-3</v>
      </c>
      <c r="J16" s="24">
        <f>IF(I$24&lt;=1+I113,I16,B16*H16+J$25*(I16-B16*H16))</f>
        <v>9.437110834371109E-3</v>
      </c>
      <c r="K16" s="22">
        <f t="shared" si="4"/>
        <v>9.437110834371109E-3</v>
      </c>
      <c r="L16" s="22">
        <f t="shared" si="5"/>
        <v>9.437110834371109E-3</v>
      </c>
      <c r="M16" s="230">
        <f t="shared" si="6"/>
        <v>9.437110834371109E-3</v>
      </c>
      <c r="N16" s="235">
        <v>13</v>
      </c>
      <c r="O16" s="2"/>
      <c r="P16" s="22"/>
      <c r="Q16" s="127" t="s">
        <v>78</v>
      </c>
      <c r="R16" s="228">
        <f>IF($B$68=0,0,(SUMIF($N$6:$N$20,$U16,K$6:K$20)+SUMIF($N$78:$N$100,$U16,K$78:K$100))*$I$70*Poor!$B$68/$B$68)</f>
        <v>7044.7999999999993</v>
      </c>
      <c r="S16" s="228">
        <f>IF($B$68=0,0,(SUMIF($N$6:$N$20,$U16,L$6:L$20)+SUMIF($N$78:$N$100,$U16,L$78:L$100))*$I$70*Poor!$B$68/$B$68)</f>
        <v>6919.0000000000027</v>
      </c>
      <c r="T16" s="228">
        <f>IF($B$68=0,0,(SUMIF($N$6:$N$20,$U16,M$6:M$20)+SUMIF($N$78:$N$100,$U16,M$78:M$100))*$I$70*Poor!$B$68/$B$68)</f>
        <v>6883.5319738581456</v>
      </c>
      <c r="U16" s="229">
        <v>10</v>
      </c>
      <c r="V16" s="56"/>
      <c r="W16" s="111"/>
      <c r="X16" s="119"/>
      <c r="Y16" s="185">
        <f t="shared" si="9"/>
        <v>3.7748443337484436E-2</v>
      </c>
      <c r="Z16" s="117">
        <v>0</v>
      </c>
      <c r="AA16" s="122">
        <f t="shared" si="16"/>
        <v>0</v>
      </c>
      <c r="AB16" s="117">
        <v>0</v>
      </c>
      <c r="AC16" s="122">
        <f t="shared" si="7"/>
        <v>0</v>
      </c>
      <c r="AD16" s="117">
        <v>0</v>
      </c>
      <c r="AE16" s="122">
        <f t="shared" si="8"/>
        <v>0</v>
      </c>
      <c r="AF16" s="123">
        <f t="shared" si="10"/>
        <v>1</v>
      </c>
      <c r="AG16" s="122">
        <f t="shared" si="11"/>
        <v>3.7748443337484436E-2</v>
      </c>
      <c r="AH16" s="124">
        <f t="shared" si="12"/>
        <v>1</v>
      </c>
      <c r="AI16" s="185">
        <f t="shared" si="13"/>
        <v>9.437110834371109E-3</v>
      </c>
      <c r="AJ16" s="121">
        <f t="shared" si="14"/>
        <v>0</v>
      </c>
      <c r="AK16" s="120">
        <f t="shared" si="15"/>
        <v>1.8874221668742218E-2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Gifts/remittances: sugar</v>
      </c>
      <c r="B17" s="217">
        <f>IF([1]Summ!E1055="",0,[1]Summ!E1055)</f>
        <v>0</v>
      </c>
      <c r="C17" s="217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>IF(I$24&lt;=1+I113,I17,B17*H17+J$25*(I17-B17*H17))</f>
        <v>0</v>
      </c>
      <c r="K17" s="22">
        <f t="shared" si="4"/>
        <v>0</v>
      </c>
      <c r="L17" s="22">
        <f t="shared" si="5"/>
        <v>0</v>
      </c>
      <c r="M17" s="231">
        <f t="shared" si="6"/>
        <v>0</v>
      </c>
      <c r="N17" s="235">
        <v>13</v>
      </c>
      <c r="O17" s="2"/>
      <c r="P17" s="22"/>
      <c r="Q17" s="127" t="s">
        <v>125</v>
      </c>
      <c r="R17" s="228">
        <f>IF($B$68=0,0,(SUMIF($N$6:$N$20,$U17,K$6:K$20)+SUMIF($N$78:$N$100,$U17,K$78:K$100))*$I$70*Poor!$B$68/$B$68)</f>
        <v>2150.3999999999996</v>
      </c>
      <c r="S17" s="228">
        <f>IF($B$68=0,0,(SUMIF($N$6:$N$20,$U17,L$6:L$20)+SUMIF($N$78:$N$100,$U17,L$78:L$100))*$I$70*Poor!$B$68/$B$68)</f>
        <v>2016.0000000000002</v>
      </c>
      <c r="T17" s="228">
        <f>IF($B$68=0,0,(SUMIF($N$6:$N$20,$U17,M$6:M$20)+SUMIF($N$78:$N$100,$U17,M$78:M$100))*$I$70*Poor!$B$68/$B$68)</f>
        <v>2016.0000000000002</v>
      </c>
      <c r="U17" s="229">
        <v>11</v>
      </c>
      <c r="V17" s="56"/>
      <c r="W17" s="111"/>
      <c r="X17" s="119"/>
      <c r="Y17" s="185">
        <f t="shared" si="9"/>
        <v>0</v>
      </c>
      <c r="Z17" s="117">
        <v>0.29409999999999997</v>
      </c>
      <c r="AA17" s="122">
        <f t="shared" si="16"/>
        <v>0</v>
      </c>
      <c r="AB17" s="117">
        <v>0.17649999999999999</v>
      </c>
      <c r="AC17" s="122">
        <f t="shared" si="7"/>
        <v>0</v>
      </c>
      <c r="AD17" s="117">
        <v>0.23530000000000001</v>
      </c>
      <c r="AE17" s="122">
        <f t="shared" si="8"/>
        <v>0</v>
      </c>
      <c r="AF17" s="123">
        <f t="shared" si="10"/>
        <v>0.29410000000000003</v>
      </c>
      <c r="AG17" s="122">
        <f t="shared" si="11"/>
        <v>0</v>
      </c>
      <c r="AH17" s="124">
        <f t="shared" si="12"/>
        <v>1</v>
      </c>
      <c r="AI17" s="185">
        <f t="shared" si="13"/>
        <v>0</v>
      </c>
      <c r="AJ17" s="121">
        <f t="shared" si="14"/>
        <v>0</v>
      </c>
      <c r="AK17" s="120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Food aid</v>
      </c>
      <c r="B18" s="217">
        <f>IF([1]Summ!E1056="",0,[1]Summ!E1056)</f>
        <v>0.10371288718891458</v>
      </c>
      <c r="C18" s="217">
        <f>IF([1]Summ!F1056="",0,[1]Summ!F1056)</f>
        <v>0</v>
      </c>
      <c r="D18" s="24">
        <f>SUM(B18,C18)</f>
        <v>0.10371288718891458</v>
      </c>
      <c r="E18" s="26">
        <v>1</v>
      </c>
      <c r="F18" s="22"/>
      <c r="H18" s="24">
        <f t="shared" si="1"/>
        <v>1</v>
      </c>
      <c r="I18" s="22">
        <f t="shared" si="2"/>
        <v>0.10371288718891458</v>
      </c>
      <c r="J18" s="24">
        <f>IF(I$24&lt;=1+I113,I18,B18*H18+J$25*(I18-B18*H18))</f>
        <v>0.10371288718891458</v>
      </c>
      <c r="K18" s="22">
        <f t="shared" si="4"/>
        <v>0.10371288718891458</v>
      </c>
      <c r="L18" s="22">
        <f t="shared" si="5"/>
        <v>0.10371288718891458</v>
      </c>
      <c r="M18" s="230">
        <f t="shared" si="6"/>
        <v>0.10371288718891458</v>
      </c>
      <c r="N18" s="235"/>
      <c r="O18" s="2"/>
      <c r="P18" s="22"/>
      <c r="Q18" s="59" t="s">
        <v>79</v>
      </c>
      <c r="R18" s="228">
        <f>IF($B$68=0,0,(SUMIF($N$6:$N$20,$U18,K$6:K$20)+SUMIF($N$78:$N$100,$U18,K$78:K$100))*$I$70*Poor!$B$68/$B$68)</f>
        <v>61.259668508287291</v>
      </c>
      <c r="S18" s="228">
        <f>IF($B$68=0,0,(SUMIF($N$6:$N$20,$U18,L$6:L$20)+SUMIF($N$78:$N$100,$U18,L$78:L$100))*$I$70*Poor!$B$68/$B$68)</f>
        <v>61.259668508287291</v>
      </c>
      <c r="T18" s="228">
        <f>IF($B$68=0,0,(SUMIF($N$6:$N$20,$U18,M$6:M$20)+SUMIF($N$78:$N$100,$U18,M$78:M$100))*$I$70*Poor!$B$68/$B$68)</f>
        <v>62.829808358044033</v>
      </c>
      <c r="U18" s="229">
        <v>12</v>
      </c>
      <c r="V18" s="56"/>
      <c r="W18" s="111"/>
      <c r="X18" s="119"/>
      <c r="Y18" s="185">
        <f t="shared" si="9"/>
        <v>0.41485154875565833</v>
      </c>
      <c r="Z18" s="117">
        <v>0.25</v>
      </c>
      <c r="AA18" s="122">
        <f t="shared" si="16"/>
        <v>0.10371288718891458</v>
      </c>
      <c r="AB18" s="117">
        <v>0.25</v>
      </c>
      <c r="AC18" s="122">
        <f t="shared" si="7"/>
        <v>0.10371288718891458</v>
      </c>
      <c r="AD18" s="117">
        <v>0.25</v>
      </c>
      <c r="AE18" s="122">
        <f t="shared" si="8"/>
        <v>0.10371288718891458</v>
      </c>
      <c r="AF18" s="123">
        <f t="shared" si="10"/>
        <v>0.25</v>
      </c>
      <c r="AG18" s="122">
        <f t="shared" si="11"/>
        <v>0.10371288718891458</v>
      </c>
      <c r="AH18" s="124">
        <f t="shared" si="12"/>
        <v>1</v>
      </c>
      <c r="AI18" s="185">
        <f t="shared" si="13"/>
        <v>0.10371288718891458</v>
      </c>
      <c r="AJ18" s="121">
        <f t="shared" si="14"/>
        <v>0.10371288718891458</v>
      </c>
      <c r="AK18" s="120">
        <f t="shared" si="15"/>
        <v>0.10371288718891458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Purchase - other</v>
      </c>
      <c r="B19" s="217">
        <f>IF([1]Summ!E1057="",0,[1]Summ!E1057)</f>
        <v>8.241966687422167E-2</v>
      </c>
      <c r="C19" s="217">
        <f>IF([1]Summ!F1057="",0,[1]Summ!F1057)</f>
        <v>-8.241966687422167E-2</v>
      </c>
      <c r="D19" s="24">
        <f>SUM(B19,C19)</f>
        <v>0</v>
      </c>
      <c r="E19" s="26">
        <v>1</v>
      </c>
      <c r="F19" s="22"/>
      <c r="H19" s="24">
        <f t="shared" si="1"/>
        <v>1</v>
      </c>
      <c r="I19" s="22">
        <f t="shared" si="2"/>
        <v>0</v>
      </c>
      <c r="J19" s="24">
        <f>IF(I$24&lt;=1+I113,I19,B19*H19+J$25*(I19-B19*H19))</f>
        <v>8.4532156323056745E-2</v>
      </c>
      <c r="K19" s="22">
        <f t="shared" si="4"/>
        <v>8.241966687422167E-2</v>
      </c>
      <c r="L19" s="22">
        <f t="shared" si="5"/>
        <v>8.241966687422167E-2</v>
      </c>
      <c r="M19" s="232">
        <f t="shared" si="6"/>
        <v>8.4532156323056745E-2</v>
      </c>
      <c r="N19" s="235"/>
      <c r="O19" s="2"/>
      <c r="P19" s="22"/>
      <c r="Q19" s="59" t="s">
        <v>80</v>
      </c>
      <c r="R19" s="228">
        <f>IF($B$68=0,0,(SUMIF($N$6:$N$20,$U19,K$6:K$20)+SUMIF($N$78:$N$100,$U19,K$78:K$100))*$I$70*Poor!$B$68/$B$68)</f>
        <v>67.199042293934056</v>
      </c>
      <c r="S19" s="228">
        <f>IF($B$68=0,0,(SUMIF($N$6:$N$20,$U19,L$6:L$20)+SUMIF($N$78:$N$100,$U19,L$78:L$100))*$I$70*Poor!$B$68/$B$68)</f>
        <v>67.199042293934056</v>
      </c>
      <c r="T19" s="228">
        <f>IF($B$68=0,0,(SUMIF($N$6:$N$20,$U19,M$6:M$20)+SUMIF($N$78:$N$100,$U19,M$78:M$100))*$I$70*Poor!$B$68/$B$68)</f>
        <v>67.199042293934056</v>
      </c>
      <c r="U19" s="229">
        <v>13</v>
      </c>
      <c r="V19" s="56"/>
      <c r="W19" s="111"/>
      <c r="X19" s="119"/>
      <c r="Y19" s="185">
        <f t="shared" si="9"/>
        <v>0.33812862529222698</v>
      </c>
      <c r="Z19" s="117">
        <v>0.25</v>
      </c>
      <c r="AA19" s="122">
        <f t="shared" si="16"/>
        <v>8.4532156323056745E-2</v>
      </c>
      <c r="AB19" s="117">
        <v>0.25</v>
      </c>
      <c r="AC19" s="122">
        <f t="shared" si="7"/>
        <v>8.4532156323056745E-2</v>
      </c>
      <c r="AD19" s="117">
        <v>0.25</v>
      </c>
      <c r="AE19" s="122">
        <f t="shared" si="8"/>
        <v>8.4532156323056745E-2</v>
      </c>
      <c r="AF19" s="123">
        <f t="shared" si="10"/>
        <v>0.25</v>
      </c>
      <c r="AG19" s="122">
        <f t="shared" si="11"/>
        <v>8.4532156323056745E-2</v>
      </c>
      <c r="AH19" s="124">
        <f t="shared" si="12"/>
        <v>1</v>
      </c>
      <c r="AI19" s="185">
        <f t="shared" si="13"/>
        <v>8.4532156323056745E-2</v>
      </c>
      <c r="AJ19" s="121">
        <f t="shared" si="14"/>
        <v>8.4532156323056745E-2</v>
      </c>
      <c r="AK19" s="120">
        <f t="shared" si="15"/>
        <v>8.4532156323056745E-2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Purchase - desirable</v>
      </c>
      <c r="B20" s="217">
        <f>IF([1]Summ!E1058="",0,[1]Summ!E1058)</f>
        <v>8.603013698630136E-3</v>
      </c>
      <c r="C20" s="217">
        <f>IF([1]Summ!F1058="",0,[1]Summ!F1058)</f>
        <v>-8.603013698630136E-3</v>
      </c>
      <c r="D20" s="24">
        <f>SUM(B20,C20)</f>
        <v>0</v>
      </c>
      <c r="E20" s="26">
        <v>1</v>
      </c>
      <c r="F20" s="22"/>
      <c r="H20" s="24">
        <f t="shared" si="1"/>
        <v>1</v>
      </c>
      <c r="I20" s="22">
        <f t="shared" si="2"/>
        <v>0</v>
      </c>
      <c r="J20" s="24">
        <f>IF(I$24&lt;=1+I113,I20,B20*H20+J$25*(I20-B20*H20))</f>
        <v>8.8235165998888157E-3</v>
      </c>
      <c r="K20" s="22">
        <f t="shared" si="4"/>
        <v>8.603013698630136E-3</v>
      </c>
      <c r="L20" s="22">
        <f t="shared" si="5"/>
        <v>8.603013698630136E-3</v>
      </c>
      <c r="M20" s="230">
        <f t="shared" si="6"/>
        <v>8.8235165998888157E-3</v>
      </c>
      <c r="N20" s="235">
        <v>12</v>
      </c>
      <c r="O20" s="2"/>
      <c r="P20" s="22"/>
      <c r="Q20" s="59" t="s">
        <v>81</v>
      </c>
      <c r="R20" s="228">
        <f>IF($B$68=0,0,(SUMIF($N$6:$N$20,$U20,K$6:K$20)+SUMIF($N$78:$N$100,$U20,K$78:K$100))*$I$70*Poor!$B$68/$B$68)</f>
        <v>18197.817647058822</v>
      </c>
      <c r="S20" s="228">
        <f>IF($B$68=0,0,(SUMIF($N$6:$N$20,$U20,L$6:L$20)+SUMIF($N$78:$N$100,$U20,L$78:L$100))*$I$70*Poor!$B$68/$B$68)</f>
        <v>18035.337132352943</v>
      </c>
      <c r="T20" s="228">
        <f>IF($B$68=0,0,(SUMIF($N$6:$N$20,$U20,M$6:M$20)+SUMIF($N$78:$N$100,$U20,M$78:M$100))*$I$70*Poor!$B$68/$B$68)</f>
        <v>18035.337132352943</v>
      </c>
      <c r="U20" s="229">
        <v>14</v>
      </c>
      <c r="V20" s="56"/>
      <c r="W20" s="111"/>
      <c r="X20" s="119"/>
      <c r="Y20" s="185">
        <f t="shared" si="9"/>
        <v>3.5294066399555263E-2</v>
      </c>
      <c r="Z20" s="117">
        <v>0</v>
      </c>
      <c r="AA20" s="122">
        <f t="shared" si="16"/>
        <v>0</v>
      </c>
      <c r="AB20" s="117">
        <v>0</v>
      </c>
      <c r="AC20" s="122">
        <f t="shared" si="7"/>
        <v>0</v>
      </c>
      <c r="AD20" s="117">
        <v>0.5</v>
      </c>
      <c r="AE20" s="122">
        <f t="shared" si="8"/>
        <v>1.7647033199777631E-2</v>
      </c>
      <c r="AF20" s="123">
        <f t="shared" si="10"/>
        <v>0.5</v>
      </c>
      <c r="AG20" s="122">
        <f t="shared" si="11"/>
        <v>1.7647033199777631E-2</v>
      </c>
      <c r="AH20" s="124">
        <f t="shared" si="12"/>
        <v>1</v>
      </c>
      <c r="AI20" s="185">
        <f t="shared" si="13"/>
        <v>8.8235165998888157E-3</v>
      </c>
      <c r="AJ20" s="121">
        <f t="shared" si="14"/>
        <v>0</v>
      </c>
      <c r="AK20" s="120">
        <f t="shared" si="15"/>
        <v>1.7647033199777631E-2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Purchase - fpl non staple</v>
      </c>
      <c r="B21" s="217">
        <f>IF([1]Summ!E1059="",0,[1]Summ!E1059)</f>
        <v>8.8346656288916553E-2</v>
      </c>
      <c r="C21" s="217">
        <f>IF([1]Summ!F1059="",0,[1]Summ!F1059)</f>
        <v>0.28585138198139654</v>
      </c>
      <c r="D21" s="24">
        <f>SUM(B21,C21)</f>
        <v>0.37419803827031306</v>
      </c>
      <c r="E21" s="26">
        <v>1</v>
      </c>
      <c r="F21" s="22"/>
      <c r="H21" s="24">
        <f t="shared" si="1"/>
        <v>1</v>
      </c>
      <c r="I21" s="22">
        <f t="shared" si="2"/>
        <v>0.37419803827031306</v>
      </c>
      <c r="J21" s="24">
        <f>IF(I$24&lt;=1+I113,I21,B21*H21+J$25*(I21-B21*H21))</f>
        <v>8.1020030845353974E-2</v>
      </c>
      <c r="K21" s="22">
        <f t="shared" si="4"/>
        <v>8.8346656288916553E-2</v>
      </c>
      <c r="L21" s="22">
        <f t="shared" si="5"/>
        <v>8.8346656288916553E-2</v>
      </c>
      <c r="M21" s="230">
        <f t="shared" si="6"/>
        <v>8.1020030845353974E-2</v>
      </c>
      <c r="N21" s="235"/>
      <c r="P21" s="22"/>
      <c r="Q21" s="59" t="s">
        <v>82</v>
      </c>
      <c r="R21" s="228">
        <f>IF($B$68=0,0,(SUMIF($N$6:$N$20,$U21,K$6:K$20)+SUMIF($N$78:$N$100,$U21,K$78:K$100))*$I$70*Poor!$B$68/$B$68)</f>
        <v>1679.9999999999998</v>
      </c>
      <c r="S21" s="228">
        <f>IF($B$68=0,0,(SUMIF($N$6:$N$20,$U21,L$6:L$20)+SUMIF($N$78:$N$100,$U21,L$78:L$100))*$I$70*Poor!$B$68/$B$68)</f>
        <v>1575.0000000000002</v>
      </c>
      <c r="T21" s="228">
        <f>IF($B$68=0,0,(SUMIF($N$6:$N$20,$U21,M$6:M$20)+SUMIF($N$78:$N$100,$U21,M$78:M$100))*$I$70*Poor!$B$68/$B$68)</f>
        <v>1575.0000000000002</v>
      </c>
      <c r="U21" s="229">
        <v>15</v>
      </c>
      <c r="V21" s="56"/>
      <c r="W21" s="111"/>
      <c r="X21" s="119"/>
      <c r="Y21" s="185">
        <f t="shared" si="9"/>
        <v>0.3240801233814159</v>
      </c>
      <c r="Z21" s="117">
        <v>0.25</v>
      </c>
      <c r="AA21" s="122">
        <f t="shared" si="16"/>
        <v>8.1020030845353974E-2</v>
      </c>
      <c r="AB21" s="117">
        <v>0.25</v>
      </c>
      <c r="AC21" s="122">
        <f t="shared" si="7"/>
        <v>8.1020030845353974E-2</v>
      </c>
      <c r="AD21" s="117">
        <v>0.25</v>
      </c>
      <c r="AE21" s="122">
        <f t="shared" si="8"/>
        <v>8.1020030845353974E-2</v>
      </c>
      <c r="AF21" s="123">
        <f t="shared" si="10"/>
        <v>0.25</v>
      </c>
      <c r="AG21" s="122">
        <f t="shared" si="11"/>
        <v>8.1020030845353974E-2</v>
      </c>
      <c r="AH21" s="124">
        <f t="shared" si="12"/>
        <v>1</v>
      </c>
      <c r="AI21" s="185">
        <f t="shared" si="13"/>
        <v>8.1020030845353974E-2</v>
      </c>
      <c r="AJ21" s="121">
        <f t="shared" si="14"/>
        <v>8.1020030845353974E-2</v>
      </c>
      <c r="AK21" s="120">
        <f t="shared" si="15"/>
        <v>8.1020030845353974E-2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 thickBot="1">
      <c r="A22" s="85" t="str">
        <f>IF([1]Summ!$A1060="","",[1]Summ!$A1060)</f>
        <v>Purchase - staple</v>
      </c>
      <c r="B22" s="217">
        <f>IF([1]Summ!E1060="",0,[1]Summ!E1060)</f>
        <v>0.37748981320049818</v>
      </c>
      <c r="C22" s="104"/>
      <c r="D22" s="24">
        <f>(D101-B106)</f>
        <v>6.5040745738751209</v>
      </c>
      <c r="E22" s="29">
        <v>1</v>
      </c>
      <c r="F22" s="96"/>
      <c r="G22" s="96"/>
      <c r="H22" s="97">
        <f>(E22*F$7/F$9)</f>
        <v>1</v>
      </c>
      <c r="I22" s="29">
        <f>IF(E22&gt;=1,I101-I106,MIN(I101-I106,B22*H22))</f>
        <v>6.1561028253221455</v>
      </c>
      <c r="J22" s="237">
        <f>IF(I$24&lt;=$B$24,I22,$B$24-SUM(J6:J21))</f>
        <v>0.39787262494585107</v>
      </c>
      <c r="K22" s="22">
        <f t="shared" si="4"/>
        <v>0.37748981320049818</v>
      </c>
      <c r="L22" s="22">
        <f>IF(L106=L101,0,IF(K22="",0,(L101-L106)/(B101-B106)*K22))</f>
        <v>0.35906468037259137</v>
      </c>
      <c r="M22" s="176">
        <f t="shared" si="6"/>
        <v>0.39787262494585107</v>
      </c>
      <c r="N22" s="167" t="s">
        <v>86</v>
      </c>
      <c r="O22" s="2"/>
      <c r="P22" s="22"/>
      <c r="Q22" s="59" t="s">
        <v>83</v>
      </c>
      <c r="R22" s="228">
        <f>IF($B$68=0,0,(SUMIF($N$6:$N$20,$U22,K$6:K$20)+SUMIF($N$78:$N$100,$U22,K$78:K$100))*$I$70*Poor!$B$68/$B$68)</f>
        <v>0</v>
      </c>
      <c r="S22" s="228">
        <f>IF($B$68=0,0,(SUMIF($N$6:$N$20,$U22,L$6:L$20)+SUMIF($N$78:$N$100,$U22,L$78:L$100))*$I$70*Poor!$B$68/$B$68)</f>
        <v>0</v>
      </c>
      <c r="T22" s="228">
        <f>IF($B$68=0,0,(SUMIF($N$6:$N$20,$U22,M$6:M$20)+SUMIF($N$78:$N$100,$U22,M$78:M$100))*$I$70*Poor!$B$68/$B$68)</f>
        <v>0</v>
      </c>
      <c r="U22" s="229">
        <v>16</v>
      </c>
      <c r="V22" s="56"/>
      <c r="W22" s="111"/>
      <c r="X22" s="119"/>
      <c r="Y22" s="185">
        <f>M22*4</f>
        <v>1.5914904997834043</v>
      </c>
      <c r="Z22" s="123">
        <f>IF($Y22=0,0,AA22/($Y$22))</f>
        <v>0</v>
      </c>
      <c r="AA22" s="189">
        <f>IF(AA66*4/$I$70+SUM(AA6:AA21)&lt;1,AA66*4/$I$70,1-SUM(AA6:AA21))</f>
        <v>0</v>
      </c>
      <c r="AB22" s="123">
        <f>IF($Y22=0,0,AC22/($Y$22))</f>
        <v>0</v>
      </c>
      <c r="AC22" s="189">
        <f>IF(AC66*4/$I$70+SUM(AC6:AC21)&lt;1,AC66*4/$I$70,1-SUM(AC6:AC21))</f>
        <v>0</v>
      </c>
      <c r="AD22" s="123">
        <f>IF($Y22=0,0,AE22/($Y$22))</f>
        <v>0.1148004257176863</v>
      </c>
      <c r="AE22" s="189">
        <f>IF(AE66*4/$I$70+SUM(AE6:AE21)&lt;1,AE66*4/$I$70,1-SUM(AE6:AE21))</f>
        <v>0.18270378690078815</v>
      </c>
      <c r="AF22" s="123">
        <f>IF($Y22=0,0,AG22/($Y$22))</f>
        <v>0.39105306092589254</v>
      </c>
      <c r="AG22" s="189">
        <f>IF(AG66*4/$I$70+SUM(AG6:AG21)&lt;1,AG66*4/$I$70,1-SUM(AG6:AG21))</f>
        <v>0.62235723137477872</v>
      </c>
      <c r="AH22" s="124">
        <f t="shared" si="12"/>
        <v>0.50585348664357888</v>
      </c>
      <c r="AI22" s="185">
        <f t="shared" si="13"/>
        <v>0.20126525456889172</v>
      </c>
      <c r="AJ22" s="121">
        <f t="shared" si="14"/>
        <v>0</v>
      </c>
      <c r="AK22" s="120">
        <f t="shared" si="15"/>
        <v>0.40253050913778343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95" t="s">
        <v>57</v>
      </c>
      <c r="B23" s="103" t="str">
        <f>IF(1-$B$24&gt;0,1-$B$24,"")</f>
        <v/>
      </c>
      <c r="C23" s="29"/>
      <c r="D23" s="24"/>
      <c r="E23" s="22"/>
      <c r="F23" s="22"/>
      <c r="H23" s="24"/>
      <c r="I23" s="22"/>
      <c r="J23" s="238">
        <f>($B$24-SUM(J6:J22))</f>
        <v>0</v>
      </c>
      <c r="K23" s="22" t="str">
        <f t="shared" si="4"/>
        <v/>
      </c>
      <c r="L23" s="22">
        <f>(1-SUM(L6:L22))</f>
        <v>-0.16177915809699805</v>
      </c>
      <c r="M23" s="179">
        <f t="shared" si="6"/>
        <v>0</v>
      </c>
      <c r="N23" s="168">
        <f>M23*I70</f>
        <v>0</v>
      </c>
      <c r="P23" s="22"/>
      <c r="Q23" s="172" t="s">
        <v>100</v>
      </c>
      <c r="R23" s="180">
        <f>SUM(R7:R22)</f>
        <v>65553.875879894767</v>
      </c>
      <c r="S23" s="180">
        <f>SUM(S7:S22)</f>
        <v>63570.904597233101</v>
      </c>
      <c r="T23" s="180">
        <f>SUM(T7:T22)</f>
        <v>63541.355756901918</v>
      </c>
      <c r="U23" s="56"/>
      <c r="V23" s="56"/>
      <c r="W23" s="130" t="s">
        <v>84</v>
      </c>
      <c r="X23" s="131"/>
      <c r="Y23" s="122">
        <f>M23*4</f>
        <v>0</v>
      </c>
      <c r="Z23" s="132"/>
      <c r="AA23" s="133">
        <f>1-AA24+IF($Y24&lt;0,$Y24/4,0)</f>
        <v>0</v>
      </c>
      <c r="AB23" s="132"/>
      <c r="AC23" s="134">
        <f>1-AC24+IF($Y24&lt;0,$Y24/4,0)</f>
        <v>0</v>
      </c>
      <c r="AD23" s="135"/>
      <c r="AE23" s="134">
        <f>1-AE24+IF($Y24&lt;0,$Y24/4,0)</f>
        <v>0</v>
      </c>
      <c r="AF23" s="135"/>
      <c r="AG23" s="134">
        <f>1-AG24+IF($Y24&lt;0,$Y24/4,0)</f>
        <v>0</v>
      </c>
      <c r="AH23" s="124"/>
      <c r="AI23" s="184">
        <f>SUM(AA23,AC23,AE23,AG23)/4</f>
        <v>0</v>
      </c>
      <c r="AJ23" s="136">
        <f t="shared" si="14"/>
        <v>0</v>
      </c>
      <c r="AK23" s="137">
        <f t="shared" si="15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>
      <c r="A24" s="29" t="s">
        <v>24</v>
      </c>
      <c r="B24" s="29">
        <f>SUM(B6:B22)</f>
        <v>1.1966073703769595</v>
      </c>
      <c r="C24" s="29">
        <f>SUM(C6:C23)</f>
        <v>0.15278566280331435</v>
      </c>
      <c r="D24" s="24">
        <f>SUM(D6:D22)</f>
        <v>7.4759777938548968</v>
      </c>
      <c r="E24" s="2"/>
      <c r="F24" s="2"/>
      <c r="H24" s="17"/>
      <c r="I24" s="22">
        <f>SUM(I6:I22)</f>
        <v>7.1140882370827434</v>
      </c>
      <c r="J24" s="17"/>
      <c r="L24" s="22">
        <f>SUM(L6:L22)</f>
        <v>1.1617791580969981</v>
      </c>
      <c r="M24" s="23"/>
      <c r="N24" s="56"/>
      <c r="O24" s="2"/>
      <c r="P24" s="22"/>
      <c r="Q24" s="59" t="s">
        <v>137</v>
      </c>
      <c r="R24" s="41">
        <f>IF($B$68=0,0,($B$106*$H$106)+1-($D$21*$H$21)-($D$20*$H$20))*$I$70*Poor!$B$68/$B$68</f>
        <v>21925.553364673353</v>
      </c>
      <c r="S24" s="41">
        <f>IF($B$68=0,0,($B$106*($H$106)+1-($D$21*$H$21)-($D$20*$H$20))*$I$70*Poor!$B$68/$B$68)</f>
        <v>21925.553364673353</v>
      </c>
      <c r="T24" s="41">
        <f>IF($B$68=0,0,($B$106*($H$106)+1-($D$21*$H$21)-($D$20*$H$20))*$I$70*Poor!$B$68/$B$68)</f>
        <v>21925.553364673353</v>
      </c>
      <c r="U24" s="56"/>
      <c r="V24" s="56"/>
      <c r="W24" s="111"/>
      <c r="X24" s="119"/>
      <c r="Y24" s="116">
        <f>SUM(Y6:Y23)</f>
        <v>4.7864294815078381</v>
      </c>
      <c r="Z24" s="138"/>
      <c r="AA24" s="139">
        <f>SUM(AA6:AA22)</f>
        <v>1</v>
      </c>
      <c r="AB24" s="138"/>
      <c r="AC24" s="140">
        <f>SUM(AC6:AC22)</f>
        <v>1</v>
      </c>
      <c r="AD24" s="138"/>
      <c r="AE24" s="140">
        <f>SUM(AE6:AE22)</f>
        <v>1</v>
      </c>
      <c r="AF24" s="138"/>
      <c r="AG24" s="140">
        <f>SUM(AG6:AG22)</f>
        <v>1</v>
      </c>
      <c r="AH24" s="128"/>
      <c r="AI24" s="111"/>
      <c r="AJ24" s="141">
        <f>SUM(AJ6:AJ23)</f>
        <v>1</v>
      </c>
      <c r="AK24" s="142">
        <f>SUM(AK6:AK23)</f>
        <v>1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</row>
    <row r="25" spans="1:89" ht="14" customHeight="1" thickBot="1">
      <c r="A25" s="9"/>
      <c r="B25" s="9"/>
      <c r="C25" s="9"/>
      <c r="D25" s="10"/>
      <c r="E25" s="11"/>
      <c r="F25" s="11"/>
      <c r="G25" s="11"/>
      <c r="H25" s="10"/>
      <c r="I25" s="98" t="s">
        <v>25</v>
      </c>
      <c r="J25" s="99">
        <f>(1+K109*H109-L24-L109)/(I24-L24-L109)</f>
        <v>-2.5630890404578836E-2</v>
      </c>
      <c r="K25" s="14"/>
      <c r="L25" s="11"/>
      <c r="M25" s="30"/>
      <c r="N25" s="169" t="s">
        <v>87</v>
      </c>
      <c r="O25" s="2"/>
      <c r="P25" s="2"/>
      <c r="Q25" s="143" t="s">
        <v>138</v>
      </c>
      <c r="R25" s="41">
        <f>IF($B$68=0,0,($B$57+$B$58+((1-$D$21)*$B$70))*$H$71*Poor!$B$68/$B$68)</f>
        <v>35197.146827147968</v>
      </c>
      <c r="S25" s="41">
        <f>IF($B$68=0,0,(($B$57*$H$57)+($B$58*$H$58)+((1-($D$21*$H$21))*$I$70))*Poor!$B$68/$B$68)</f>
        <v>34894.793364673351</v>
      </c>
      <c r="T25" s="41">
        <f>IF($B$68=0,0,(($B$57*$H$57)+($B$58*$H$58)+((1-($D$21*$H$21))*$I$70))*Poor!$B$68/$B$68)</f>
        <v>34894.793364673351</v>
      </c>
      <c r="U25" s="56"/>
      <c r="V25" s="56"/>
      <c r="W25" s="111"/>
      <c r="X25" s="119"/>
      <c r="Y25" s="111"/>
      <c r="Z25" s="144"/>
      <c r="AA25" s="145"/>
      <c r="AB25" s="144"/>
      <c r="AC25" s="145"/>
      <c r="AD25" s="144"/>
      <c r="AE25" s="145"/>
      <c r="AF25" s="144"/>
      <c r="AG25" s="145"/>
      <c r="AH25" s="111"/>
      <c r="AI25" s="111"/>
      <c r="AJ25" s="144"/>
      <c r="AK25" s="145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</row>
    <row r="26" spans="1:89" ht="15.75" customHeight="1" thickBot="1">
      <c r="A26" s="15" t="s">
        <v>26</v>
      </c>
      <c r="B26" s="1"/>
      <c r="C26" s="1"/>
      <c r="D26" s="31"/>
      <c r="E26" s="32"/>
      <c r="F26" s="32"/>
      <c r="G26" s="32"/>
      <c r="H26" s="31"/>
      <c r="I26" s="2"/>
      <c r="J26" s="33"/>
      <c r="K26" s="34" t="s">
        <v>27</v>
      </c>
      <c r="L26" s="35"/>
      <c r="M26" s="36"/>
      <c r="N26" s="170">
        <f>-(M64*B63)</f>
        <v>0</v>
      </c>
      <c r="O26" s="2"/>
      <c r="P26" s="2"/>
      <c r="Q26" s="59" t="s">
        <v>139</v>
      </c>
      <c r="R26" s="41">
        <f>IF($B$68=0,0,($B$57+$B$58+$B$59+((1-$D$21)*$B$70))*$H$71*Poor!$B$68/$B$68)</f>
        <v>58832.487187227729</v>
      </c>
      <c r="S26" s="41">
        <f>IF($B$68=0,0,(($B$57*$H$57)+($B$58*$H$58)+($B$59*$H$59)+((1-($D$21*$H$21))*$I$70))*Poor!$B$68/$B$68)</f>
        <v>57991.673364673356</v>
      </c>
      <c r="T26" s="41">
        <f>IF($B$68=0,0,(($B$57*$H$57)+($B$58*$H$58)+($B$59*$H$59)+((1-($D$21*$H$21))*$I$70))*Poor!$B$68/$B$68)</f>
        <v>57991.673364673356</v>
      </c>
      <c r="U26" s="56"/>
      <c r="V26" s="56"/>
      <c r="W26" s="111"/>
      <c r="X26" s="119"/>
      <c r="Y26" s="111"/>
      <c r="Z26" s="146"/>
      <c r="AA26" s="147"/>
      <c r="AB26" s="146"/>
      <c r="AC26" s="147"/>
      <c r="AD26" s="146"/>
      <c r="AE26" s="147"/>
      <c r="AF26" s="146"/>
      <c r="AG26" s="147"/>
      <c r="AH26" s="111"/>
      <c r="AI26" s="111"/>
      <c r="AJ26" s="146"/>
      <c r="AK26" s="147"/>
      <c r="AP26" s="25"/>
      <c r="AQ26" s="25"/>
      <c r="AR26" s="25"/>
      <c r="AS26" s="25"/>
      <c r="AT26" s="25"/>
      <c r="AU26" s="25"/>
      <c r="AW26" s="25"/>
      <c r="AX26" s="25"/>
      <c r="AY26" s="25"/>
      <c r="AZ26" s="25"/>
      <c r="BA26" s="25"/>
      <c r="BB26" s="25"/>
      <c r="BF26" s="25"/>
      <c r="BG26" s="25"/>
      <c r="BH26" s="25"/>
      <c r="BI26" s="25"/>
      <c r="BJ26" s="25"/>
      <c r="BK26" s="25"/>
      <c r="BM26" s="25"/>
      <c r="BN26" s="25"/>
      <c r="BO26" s="25"/>
      <c r="BP26" s="25"/>
      <c r="BQ26" s="25"/>
      <c r="BR26" s="25"/>
      <c r="BU26" s="25"/>
      <c r="BV26" s="25"/>
      <c r="BW26" s="25"/>
      <c r="BX26" s="25"/>
      <c r="BY26" s="25"/>
      <c r="BZ26" s="25"/>
      <c r="CB26" s="25"/>
      <c r="CC26" s="25"/>
      <c r="CD26" s="25"/>
      <c r="CE26" s="25"/>
      <c r="CF26" s="25"/>
      <c r="CG26" s="25"/>
    </row>
    <row r="27" spans="1:89" ht="14" customHeight="1">
      <c r="A27" s="1"/>
      <c r="B27" s="1" t="s">
        <v>7</v>
      </c>
      <c r="C27" s="1" t="s">
        <v>8</v>
      </c>
      <c r="D27" s="16" t="s">
        <v>9</v>
      </c>
      <c r="E27" s="19" t="s">
        <v>10</v>
      </c>
      <c r="F27" s="2" t="s">
        <v>28</v>
      </c>
      <c r="G27" s="2" t="s">
        <v>29</v>
      </c>
      <c r="H27" s="16" t="s">
        <v>12</v>
      </c>
      <c r="I27" s="19" t="s">
        <v>13</v>
      </c>
      <c r="J27" s="16" t="s">
        <v>14</v>
      </c>
      <c r="K27" s="37" t="s">
        <v>7</v>
      </c>
      <c r="L27" s="19" t="s">
        <v>15</v>
      </c>
      <c r="M27" s="16" t="s">
        <v>14</v>
      </c>
      <c r="N27" s="2"/>
      <c r="O27" s="2"/>
      <c r="P27" s="2"/>
      <c r="Q27" s="127" t="s">
        <v>140</v>
      </c>
      <c r="R27" s="41">
        <f>IF($B$68=0,0,($B$57+$B$58+$B$59+$B$60+(1-$D$21-$D$20)*$B$70)*$H$71*Poor!$B$68/$B$68)</f>
        <v>63126.104380667821</v>
      </c>
      <c r="S27" s="41">
        <f>IF($B$68=0,0,(($B$57*$H$57)+($B$58*$H$58)+($B$59*$H$59)+($B$60*$H$60)+((1-($D$20*$H$20)-($D$21*$H$21))*$I$70))*Poor!$B$68/$B$68)</f>
        <v>62187.473364673358</v>
      </c>
      <c r="T27" s="41">
        <f>IF($B$68=0,0,(($B$57*$H$57)+($B$58*$H$58)+($B$59*$H$59)+($B$60*$H$60)+((1-($D$20*$H$20)-($D$21*$H$21))*$I$70))*Poor!$B$68/$B$68)</f>
        <v>62187.473364673358</v>
      </c>
      <c r="U27" s="56"/>
      <c r="V27" s="186"/>
      <c r="W27" s="111"/>
      <c r="X27" s="119"/>
      <c r="Y27" s="111"/>
      <c r="Z27" s="146"/>
      <c r="AA27" s="147"/>
      <c r="AB27" s="146"/>
      <c r="AC27" s="147"/>
      <c r="AD27" s="146"/>
      <c r="AE27" s="147"/>
      <c r="AF27" s="146"/>
      <c r="AG27" s="147"/>
      <c r="AH27" s="111"/>
      <c r="AI27" s="111"/>
      <c r="AJ27" s="146"/>
      <c r="AK27" s="147"/>
      <c r="AP27" s="25"/>
      <c r="AQ27" s="25"/>
      <c r="AR27" s="25"/>
      <c r="AS27" s="25"/>
      <c r="AT27" s="25"/>
      <c r="AU27" s="25"/>
      <c r="AW27" s="25"/>
      <c r="AX27" s="25"/>
      <c r="AY27" s="25"/>
      <c r="AZ27" s="25"/>
      <c r="BA27" s="25"/>
      <c r="BB27" s="25"/>
      <c r="BF27" s="25"/>
      <c r="BG27" s="25"/>
      <c r="BH27" s="25"/>
      <c r="BI27" s="25"/>
      <c r="BJ27" s="25"/>
      <c r="BK27" s="25"/>
      <c r="BM27" s="25"/>
      <c r="BN27" s="25"/>
      <c r="BO27" s="25"/>
      <c r="BP27" s="25"/>
      <c r="BQ27" s="25"/>
      <c r="BR27" s="25"/>
      <c r="BU27" s="25"/>
      <c r="BV27" s="25"/>
      <c r="BW27" s="25"/>
      <c r="BX27" s="25"/>
      <c r="BY27" s="25"/>
      <c r="BZ27" s="25"/>
      <c r="CB27" s="25"/>
      <c r="CC27" s="25"/>
      <c r="CD27" s="25"/>
      <c r="CE27" s="25"/>
      <c r="CF27" s="25"/>
      <c r="CG27" s="25"/>
    </row>
    <row r="28" spans="1:89" ht="14" customHeight="1">
      <c r="A28" s="1" t="s">
        <v>30</v>
      </c>
      <c r="B28" s="1" t="s">
        <v>16</v>
      </c>
      <c r="C28" s="1" t="s">
        <v>17</v>
      </c>
      <c r="D28" s="16" t="s">
        <v>16</v>
      </c>
      <c r="E28" s="19" t="s">
        <v>18</v>
      </c>
      <c r="F28" s="2" t="s">
        <v>31</v>
      </c>
      <c r="G28" s="2" t="s">
        <v>31</v>
      </c>
      <c r="H28" s="16" t="s">
        <v>18</v>
      </c>
      <c r="I28" s="19" t="s">
        <v>16</v>
      </c>
      <c r="J28" s="16" t="s">
        <v>16</v>
      </c>
      <c r="K28" s="37" t="s">
        <v>16</v>
      </c>
      <c r="L28" s="19" t="s">
        <v>19</v>
      </c>
      <c r="M28" s="16" t="s">
        <v>16</v>
      </c>
      <c r="N28" s="2"/>
      <c r="O28" s="2"/>
      <c r="P28" s="2"/>
      <c r="Q28" s="59"/>
      <c r="R28" s="181"/>
      <c r="S28" s="181"/>
      <c r="T28" s="181"/>
      <c r="U28" s="56"/>
      <c r="V28" s="56"/>
      <c r="W28" s="111"/>
      <c r="X28" s="119"/>
      <c r="Y28" s="111"/>
      <c r="Z28" s="146"/>
      <c r="AA28" s="147"/>
      <c r="AB28" s="146"/>
      <c r="AC28" s="147"/>
      <c r="AD28" s="146"/>
      <c r="AE28" s="147"/>
      <c r="AF28" s="146"/>
      <c r="AG28" s="147"/>
      <c r="AH28" s="111"/>
      <c r="AI28" s="111"/>
      <c r="AJ28" s="146"/>
      <c r="AK28" s="147"/>
      <c r="AP28" s="25"/>
      <c r="AQ28" s="25"/>
      <c r="AR28" s="25"/>
      <c r="AS28" s="25"/>
      <c r="AT28" s="25"/>
      <c r="AU28" s="25"/>
      <c r="AW28" s="25"/>
      <c r="AX28" s="25"/>
      <c r="AY28" s="25"/>
      <c r="AZ28" s="25"/>
      <c r="BA28" s="25"/>
      <c r="BB28" s="25"/>
      <c r="BF28" s="25"/>
      <c r="BG28" s="25"/>
      <c r="BH28" s="25"/>
      <c r="BI28" s="25"/>
      <c r="BJ28" s="25"/>
      <c r="BK28" s="25"/>
      <c r="BM28" s="25"/>
      <c r="BN28" s="25"/>
      <c r="BO28" s="25"/>
      <c r="BP28" s="25"/>
      <c r="BQ28" s="25"/>
      <c r="BR28" s="25"/>
      <c r="BU28" s="25"/>
      <c r="BV28" s="25"/>
      <c r="BW28" s="25"/>
      <c r="BX28" s="25"/>
      <c r="BY28" s="25"/>
      <c r="BZ28" s="25"/>
      <c r="CB28" s="25"/>
      <c r="CC28" s="25"/>
      <c r="CD28" s="25"/>
      <c r="CE28" s="25"/>
      <c r="CF28" s="25"/>
      <c r="CG28" s="25"/>
    </row>
    <row r="29" spans="1:89" ht="14" customHeight="1">
      <c r="A29" s="85" t="str">
        <f>IF([1]Summ!$A1064="","",[1]Summ!$A1064)</f>
        <v>Cattle sales - local: no. sold</v>
      </c>
      <c r="B29" s="218">
        <f>IF([1]Summ!E1064="",0,[1]Summ!E1064)</f>
        <v>3187.5</v>
      </c>
      <c r="C29" s="218">
        <f>IF([1]Summ!F1064="",0,[1]Summ!F1064)</f>
        <v>0</v>
      </c>
      <c r="D29" s="38">
        <f>SUM(B29,C29)</f>
        <v>3187.5</v>
      </c>
      <c r="E29" s="26">
        <v>1</v>
      </c>
      <c r="F29" s="26">
        <v>1.1100000000000001</v>
      </c>
      <c r="G29" s="29">
        <f>IF($B$69=0,0,$AH$69/$B$69)</f>
        <v>1.1199999999999999</v>
      </c>
      <c r="H29" s="24">
        <f t="shared" ref="H29:H51" si="17">(E29*F29)</f>
        <v>1.1100000000000001</v>
      </c>
      <c r="I29" s="39">
        <f t="shared" ref="I29:I51" si="18">D29*H29</f>
        <v>3538.1250000000005</v>
      </c>
      <c r="J29" s="38">
        <f t="shared" ref="J29:J51" si="19">J78*I$70</f>
        <v>3538.1249999999995</v>
      </c>
      <c r="K29" s="40">
        <f t="shared" ref="K29:K51" si="20">(B29/B$52)</f>
        <v>5.788345250292188E-2</v>
      </c>
      <c r="L29" s="22">
        <f t="shared" ref="L29:L51" si="21">(K29*H29)</f>
        <v>6.4250632278243291E-2</v>
      </c>
      <c r="M29" s="24">
        <f t="shared" ref="M29:M51" si="22">J29/B$52</f>
        <v>6.4250632278243278E-2</v>
      </c>
      <c r="N29" s="2"/>
      <c r="O29" s="2"/>
      <c r="Q29" s="2"/>
      <c r="R29" s="181"/>
      <c r="S29" s="181"/>
      <c r="T29" s="181"/>
      <c r="U29" s="56"/>
      <c r="V29" s="56"/>
      <c r="W29" s="116"/>
      <c r="X29" s="119"/>
      <c r="Y29" s="111"/>
      <c r="Z29" s="123">
        <f>IF($J29=0,0,AA29/($J29))</f>
        <v>0</v>
      </c>
      <c r="AA29" s="148">
        <f>IF(SUM(AA$6:AA$21)+(SUM(AA$31:AA$51,-AA$57)/AA$70)&lt;1,IF(SUM(AA$6:AA$21)+(SUM(AA$31:AA$51,$J$29:$J$30,-AA$57)/AA$70)&lt;1,$J29,(AA$70-(SUM(AA$6:AA$21)*AA$70)-SUM(AA$31:AA$51,-AA$57))*($J29/SUM($J$29:$J$30))),0)</f>
        <v>0</v>
      </c>
      <c r="AB29" s="123">
        <f>IF($J29=0,0,AC29/($J29))</f>
        <v>0</v>
      </c>
      <c r="AC29" s="148">
        <f>IF(SUM(AC$6:AC$21)+(SUM(AC$31:AC$51,-AC$57)/AC$70)&lt;1,IF(SUM(AC$6:AC$21)+((SUM(AC$31:AC$51,$J$29:$J$30,-AC$57)-SUM($AA$29:$AA$30))/AC$70)&lt;1,$J29-$AA29,(AC$70-(SUM(AC$6:AC$21)*AC$70)-SUM(AC$31:AC$51,-AC$57))*($J29/SUM($J$29:$J$30))),0)</f>
        <v>0</v>
      </c>
      <c r="AD29" s="123">
        <f>IF($J29=0,0,AE29/($J29))</f>
        <v>0</v>
      </c>
      <c r="AE29" s="148">
        <f>IF(SUM(AE$6:AE$21)+(SUM(AE$31:AE$51,-AE$57)/AE$70)&lt;1,IF(SUM(AE$6:AE$21)+((SUM(AE$31:AE$51,$J$29:$J$30,-AE$57)-SUM($AA$29:$AA$30)-SUM($AC$29:$AC$30))/AE$70)&lt;1,$J29-$AA29-$AC29,(AE$70-(SUM(AE$6:AE$21)*AE$70)-SUM(AE$31:AE$51,-AE$57))*($J29/SUM($J$29:$J$30))),0)</f>
        <v>0</v>
      </c>
      <c r="AF29" s="123">
        <f t="shared" ref="AF29:AF51" si="23">1-SUM(Z29,AB29,AD29)</f>
        <v>1</v>
      </c>
      <c r="AG29" s="148">
        <f>$J29*AF29</f>
        <v>3538.1249999999995</v>
      </c>
      <c r="AH29" s="124">
        <f>SUM(Z29,AB29,AD29,AF29)</f>
        <v>1</v>
      </c>
      <c r="AI29" s="113">
        <f>SUM(AA29,AC29,AE29,AG29)</f>
        <v>3538.1249999999995</v>
      </c>
      <c r="AJ29" s="149">
        <f>(AA29+AC29)</f>
        <v>0</v>
      </c>
      <c r="AK29" s="148">
        <f>(AE29+AG29)</f>
        <v>3538.1249999999995</v>
      </c>
      <c r="AP29" s="25"/>
      <c r="AQ29" s="25"/>
      <c r="AR29" s="25"/>
      <c r="AS29" s="25"/>
      <c r="AT29" s="25"/>
      <c r="AU29" s="25"/>
      <c r="AW29" s="25"/>
      <c r="AX29" s="25"/>
      <c r="AY29" s="25"/>
      <c r="AZ29" s="25"/>
      <c r="BA29" s="25"/>
      <c r="BB29" s="25"/>
      <c r="BF29" s="25"/>
      <c r="BG29" s="25"/>
      <c r="BH29" s="25"/>
      <c r="BI29" s="25"/>
      <c r="BJ29" s="25"/>
      <c r="BK29" s="25"/>
      <c r="BM29" s="25"/>
      <c r="BN29" s="25"/>
      <c r="BO29" s="25"/>
      <c r="BP29" s="25"/>
      <c r="BQ29" s="25"/>
      <c r="BR29" s="25"/>
      <c r="BU29" s="25"/>
      <c r="BV29" s="25"/>
      <c r="BW29" s="25"/>
      <c r="BX29" s="25"/>
      <c r="BY29" s="25"/>
      <c r="BZ29" s="25"/>
      <c r="CB29" s="25"/>
      <c r="CC29" s="25"/>
      <c r="CD29" s="25"/>
      <c r="CE29" s="25"/>
      <c r="CF29" s="25"/>
      <c r="CG29" s="25"/>
    </row>
    <row r="30" spans="1:89" ht="14" customHeight="1">
      <c r="A30" s="85" t="str">
        <f>IF([1]Summ!$A1065="","",[1]Summ!$A1065)</f>
        <v>Goat sales - local: no. sold</v>
      </c>
      <c r="B30" s="218">
        <f>IF([1]Summ!E1065="",0,[1]Summ!E1065)</f>
        <v>530</v>
      </c>
      <c r="C30" s="218">
        <f>IF([1]Summ!F1065="",0,[1]Summ!F1065)</f>
        <v>0</v>
      </c>
      <c r="D30" s="38">
        <f t="shared" ref="D30:D51" si="24">SUM(B30,C30)</f>
        <v>530</v>
      </c>
      <c r="E30" s="26">
        <v>1</v>
      </c>
      <c r="F30" s="26">
        <v>1.0900000000000001</v>
      </c>
      <c r="G30" s="22">
        <f t="shared" ref="G30:G51" si="25">(G$29)</f>
        <v>1.1199999999999999</v>
      </c>
      <c r="H30" s="24">
        <f t="shared" si="17"/>
        <v>1.0900000000000001</v>
      </c>
      <c r="I30" s="39">
        <f t="shared" si="18"/>
        <v>577.70000000000005</v>
      </c>
      <c r="J30" s="38">
        <f t="shared" si="19"/>
        <v>577.69999999999993</v>
      </c>
      <c r="K30" s="40">
        <f t="shared" si="20"/>
        <v>9.6245426906819125E-3</v>
      </c>
      <c r="L30" s="22">
        <f t="shared" si="21"/>
        <v>1.0490751532843285E-2</v>
      </c>
      <c r="M30" s="24">
        <f t="shared" si="22"/>
        <v>1.0490751532843283E-2</v>
      </c>
      <c r="N30" s="2"/>
      <c r="O30" s="2"/>
      <c r="P30" s="2"/>
      <c r="Q30" s="59"/>
      <c r="R30" s="181"/>
      <c r="S30" s="181"/>
      <c r="T30" s="181"/>
      <c r="U30" s="56"/>
      <c r="V30" s="56"/>
      <c r="W30" s="116"/>
      <c r="X30" s="119"/>
      <c r="Y30" s="111"/>
      <c r="Z30" s="123">
        <f>IF($J30=0,0,AA30/($J30))</f>
        <v>0</v>
      </c>
      <c r="AA30" s="148">
        <f>IF(SUM(AA$6:AA$21)+(SUM(AA$31:AA$51,-AA$57)/AA$70)&lt;1,IF(SUM(AA$6:AA$21)+(SUM(AA$31:AA$51,$J$29:$J$30,-AA$57)/AA$70)&lt;1,$J30,(AA$70-(SUM(AA$6:AA$21)*AA$70)-SUM(AA$31:AA$51,-AA$57))*($J30/SUM($J$29:$J$30))),0)</f>
        <v>0</v>
      </c>
      <c r="AB30" s="123">
        <f>IF($J30=0,0,AC30/($J30))</f>
        <v>0</v>
      </c>
      <c r="AC30" s="148">
        <f>IF(SUM(AC$6:AC$21)+(SUM(AC$32:AC$51,-AC$57)/AC$70)&lt;1,IF(SUM(AC$6:AC$21)+((SUM(AC$32:AC$51,$J$29:$J$33,-AC$57)-SUM($AA$29:$AA$31))/AC$70)&lt;1,$J30-$AA30,(AC$70-(SUM(AC$6:AC$21)*AC$70)-SUM(AC$32:AC$51,-AC$57))*($J30/SUM($J$29:$J$33))),0)</f>
        <v>0</v>
      </c>
      <c r="AD30" s="123">
        <f>IF($J30=0,0,AE30/($J30))</f>
        <v>0</v>
      </c>
      <c r="AE30" s="148">
        <f>IF(SUM(AE$6:AE$21)+(SUM(AE$32:AE$51,-AE$57)/AE$70)&lt;1,IF(SUM(AE$6:AE$21)+((SUM(AE$32:AE$51,$J$29:$J$33,-AE$57)-SUM($AA$29:$AA$31)-SUM($AC$29:$AC$31))/AE$70)&lt;1,$J30-$AA30-$AC30,(AE$70-(SUM(AE$6:AE$21)*AE$70)-SUM(AE$32:AE$51,-AE$57))*($J30/SUM($J$29:$J$33))),0)</f>
        <v>0</v>
      </c>
      <c r="AF30" s="123">
        <f t="shared" si="23"/>
        <v>1</v>
      </c>
      <c r="AG30" s="148">
        <f t="shared" ref="AG30:AG51" si="26">$J30*AF30</f>
        <v>577.69999999999993</v>
      </c>
      <c r="AH30" s="124">
        <f t="shared" ref="AH30:AI45" si="27">SUM(Z30,AB30,AD30,AF30)</f>
        <v>1</v>
      </c>
      <c r="AI30" s="113">
        <f t="shared" si="27"/>
        <v>577.69999999999993</v>
      </c>
      <c r="AJ30" s="149">
        <f t="shared" ref="AJ30:AJ51" si="28">(AA30+AC30)</f>
        <v>0</v>
      </c>
      <c r="AK30" s="148">
        <f t="shared" ref="AK30:AK51" si="29">(AE30+AG30)</f>
        <v>577.69999999999993</v>
      </c>
      <c r="AP30" s="25"/>
      <c r="AQ30" s="25"/>
      <c r="AR30" s="25"/>
      <c r="AS30" s="25"/>
      <c r="AT30" s="25"/>
      <c r="AU30" s="25"/>
      <c r="AW30" s="25"/>
      <c r="AX30" s="25"/>
      <c r="AY30" s="25"/>
      <c r="AZ30" s="25"/>
      <c r="BA30" s="25"/>
      <c r="BB30" s="25"/>
      <c r="BF30" s="25"/>
      <c r="BG30" s="25"/>
      <c r="BH30" s="25"/>
      <c r="BI30" s="25"/>
      <c r="BJ30" s="25"/>
      <c r="BK30" s="25"/>
      <c r="BM30" s="25"/>
      <c r="BN30" s="25"/>
      <c r="BO30" s="25"/>
      <c r="BP30" s="25"/>
      <c r="BQ30" s="25"/>
      <c r="BR30" s="25"/>
      <c r="BU30" s="25"/>
      <c r="BV30" s="25"/>
      <c r="BW30" s="25"/>
      <c r="BX30" s="25"/>
      <c r="BY30" s="25"/>
      <c r="BZ30" s="25"/>
      <c r="CB30" s="25"/>
      <c r="CC30" s="25"/>
      <c r="CD30" s="25"/>
      <c r="CE30" s="25"/>
      <c r="CF30" s="25"/>
      <c r="CG30" s="25"/>
    </row>
    <row r="31" spans="1:89" ht="14" customHeight="1">
      <c r="A31" s="85" t="str">
        <f>IF([1]Summ!$A1066="","",[1]Summ!$A1066)</f>
        <v>Chicken sales: no. sold</v>
      </c>
      <c r="B31" s="218">
        <f>IF([1]Summ!E1066="",0,[1]Summ!E1066)</f>
        <v>11</v>
      </c>
      <c r="C31" s="218">
        <f>IF([1]Summ!F1066="",0,[1]Summ!F1066)</f>
        <v>0</v>
      </c>
      <c r="D31" s="38">
        <f t="shared" si="24"/>
        <v>11</v>
      </c>
      <c r="E31" s="26">
        <v>1</v>
      </c>
      <c r="F31" s="26">
        <v>1.0900000000000001</v>
      </c>
      <c r="G31" s="22">
        <f t="shared" si="25"/>
        <v>1.1199999999999999</v>
      </c>
      <c r="H31" s="24">
        <f t="shared" si="17"/>
        <v>1.0900000000000001</v>
      </c>
      <c r="I31" s="39">
        <f t="shared" si="18"/>
        <v>11.99</v>
      </c>
      <c r="J31" s="38">
        <f t="shared" si="19"/>
        <v>11.99</v>
      </c>
      <c r="K31" s="40">
        <f t="shared" si="20"/>
        <v>1.9975465961792648E-4</v>
      </c>
      <c r="L31" s="22">
        <f t="shared" si="21"/>
        <v>2.1773257898353987E-4</v>
      </c>
      <c r="M31" s="24">
        <f t="shared" si="22"/>
        <v>2.1773257898353987E-4</v>
      </c>
      <c r="N31" s="2"/>
      <c r="O31" s="2"/>
      <c r="P31" s="2"/>
      <c r="Q31" s="59"/>
      <c r="R31" s="181"/>
      <c r="S31" s="181"/>
      <c r="T31" s="181"/>
      <c r="U31" s="56"/>
      <c r="V31" s="56"/>
      <c r="W31" s="116"/>
      <c r="X31" s="119">
        <v>1</v>
      </c>
      <c r="Y31" s="111"/>
      <c r="Z31" s="123">
        <f>Z8</f>
        <v>0.43828973265474042</v>
      </c>
      <c r="AA31" s="148">
        <f t="shared" ref="AA31:AA51" si="30">$J31*Z31</f>
        <v>5.2550938945303374</v>
      </c>
      <c r="AB31" s="123">
        <f>AB8</f>
        <v>0.25722498398047439</v>
      </c>
      <c r="AC31" s="148">
        <f t="shared" ref="AC31:AC51" si="31">$J31*AB31</f>
        <v>3.0841275579258878</v>
      </c>
      <c r="AD31" s="123">
        <f>AD8</f>
        <v>0.3044852833647852</v>
      </c>
      <c r="AE31" s="148">
        <f t="shared" ref="AE31:AE51" si="32">$J31*AD31</f>
        <v>3.6507785475437746</v>
      </c>
      <c r="AF31" s="123">
        <f t="shared" si="23"/>
        <v>0</v>
      </c>
      <c r="AG31" s="148">
        <f t="shared" si="26"/>
        <v>0</v>
      </c>
      <c r="AH31" s="124">
        <f t="shared" si="27"/>
        <v>1</v>
      </c>
      <c r="AI31" s="113">
        <f t="shared" si="27"/>
        <v>11.99</v>
      </c>
      <c r="AJ31" s="149">
        <f t="shared" si="28"/>
        <v>8.3392214524562256</v>
      </c>
      <c r="AK31" s="148">
        <f t="shared" si="29"/>
        <v>3.6507785475437746</v>
      </c>
      <c r="AP31" s="25"/>
      <c r="AQ31" s="25"/>
      <c r="AR31" s="25"/>
      <c r="AS31" s="25"/>
      <c r="AT31" s="25"/>
      <c r="AU31" s="25"/>
      <c r="AW31" s="25"/>
      <c r="AX31" s="25"/>
      <c r="AY31" s="25"/>
      <c r="AZ31" s="25"/>
      <c r="BA31" s="25"/>
      <c r="BB31" s="25"/>
      <c r="BF31" s="25"/>
      <c r="BG31" s="25"/>
      <c r="BH31" s="25"/>
      <c r="BI31" s="25"/>
      <c r="BJ31" s="25"/>
      <c r="BK31" s="25"/>
      <c r="BM31" s="25"/>
      <c r="BN31" s="25"/>
      <c r="BO31" s="25"/>
      <c r="BP31" s="25"/>
      <c r="BQ31" s="25"/>
      <c r="BR31" s="25"/>
      <c r="BU31" s="25"/>
      <c r="BV31" s="25"/>
      <c r="BW31" s="25"/>
      <c r="BX31" s="25"/>
      <c r="BY31" s="25"/>
      <c r="BZ31" s="25"/>
      <c r="CB31" s="25"/>
      <c r="CC31" s="25"/>
      <c r="CD31" s="25"/>
      <c r="CE31" s="25"/>
      <c r="CF31" s="25"/>
      <c r="CG31" s="25"/>
    </row>
    <row r="32" spans="1:89" ht="14" customHeight="1">
      <c r="A32" s="85" t="str">
        <f>IF([1]Summ!$A1067="","",[1]Summ!$A1067)</f>
        <v>Maize: kg produced</v>
      </c>
      <c r="B32" s="218">
        <f>IF([1]Summ!E1067="",0,[1]Summ!E1067)</f>
        <v>0</v>
      </c>
      <c r="C32" s="218">
        <f>IF([1]Summ!F1067="",0,[1]Summ!F1067)</f>
        <v>0</v>
      </c>
      <c r="D32" s="38">
        <f t="shared" si="24"/>
        <v>0</v>
      </c>
      <c r="E32" s="75">
        <f>E8</f>
        <v>1</v>
      </c>
      <c r="F32" s="26">
        <v>1.02</v>
      </c>
      <c r="G32" s="22">
        <f t="shared" si="25"/>
        <v>1.1199999999999999</v>
      </c>
      <c r="H32" s="24">
        <f t="shared" si="17"/>
        <v>1.02</v>
      </c>
      <c r="I32" s="39">
        <f t="shared" si="18"/>
        <v>0</v>
      </c>
      <c r="J32" s="38">
        <f t="shared" si="19"/>
        <v>0</v>
      </c>
      <c r="K32" s="40">
        <f t="shared" si="20"/>
        <v>0</v>
      </c>
      <c r="L32" s="22">
        <f t="shared" si="21"/>
        <v>0</v>
      </c>
      <c r="M32" s="24">
        <f t="shared" si="22"/>
        <v>0</v>
      </c>
      <c r="N32" s="2"/>
      <c r="O32" s="2"/>
      <c r="P32" s="2"/>
      <c r="Q32" s="56"/>
      <c r="R32" s="56"/>
      <c r="S32" s="56"/>
      <c r="T32" s="56"/>
      <c r="U32" s="56"/>
      <c r="V32" s="56"/>
      <c r="W32" s="116"/>
      <c r="X32" s="119">
        <v>1</v>
      </c>
      <c r="Y32" s="111"/>
      <c r="Z32" s="123">
        <f>Z9</f>
        <v>0.43828973265474036</v>
      </c>
      <c r="AA32" s="148">
        <f t="shared" si="30"/>
        <v>0</v>
      </c>
      <c r="AB32" s="123">
        <f>AB9</f>
        <v>0.25722498398047444</v>
      </c>
      <c r="AC32" s="148">
        <f t="shared" si="31"/>
        <v>0</v>
      </c>
      <c r="AD32" s="123">
        <f>AD9</f>
        <v>0.30448528336478514</v>
      </c>
      <c r="AE32" s="148">
        <f t="shared" si="32"/>
        <v>0</v>
      </c>
      <c r="AF32" s="123">
        <f t="shared" si="23"/>
        <v>0</v>
      </c>
      <c r="AG32" s="148">
        <f t="shared" si="26"/>
        <v>0</v>
      </c>
      <c r="AH32" s="124">
        <f t="shared" si="27"/>
        <v>1</v>
      </c>
      <c r="AI32" s="113">
        <f t="shared" si="27"/>
        <v>0</v>
      </c>
      <c r="AJ32" s="149">
        <f t="shared" si="28"/>
        <v>0</v>
      </c>
      <c r="AK32" s="148">
        <f t="shared" si="29"/>
        <v>0</v>
      </c>
      <c r="AP32" s="25"/>
      <c r="AQ32" s="25"/>
      <c r="AR32" s="25"/>
      <c r="AS32" s="25"/>
      <c r="AT32" s="25"/>
      <c r="AU32" s="25"/>
      <c r="AW32" s="25"/>
      <c r="AX32" s="25"/>
      <c r="AY32" s="25"/>
      <c r="AZ32" s="25"/>
      <c r="BA32" s="25"/>
      <c r="BB32" s="25"/>
      <c r="BF32" s="25"/>
      <c r="BG32" s="25"/>
      <c r="BH32" s="25"/>
      <c r="BI32" s="25"/>
      <c r="BJ32" s="25"/>
      <c r="BK32" s="25"/>
      <c r="BM32" s="25"/>
      <c r="BN32" s="25"/>
      <c r="BO32" s="25"/>
      <c r="BP32" s="25"/>
      <c r="BQ32" s="25"/>
      <c r="BR32" s="25"/>
      <c r="BU32" s="25"/>
      <c r="BV32" s="25"/>
      <c r="BW32" s="25"/>
      <c r="BX32" s="25"/>
      <c r="BY32" s="25"/>
      <c r="BZ32" s="25"/>
      <c r="CB32" s="25"/>
      <c r="CC32" s="25"/>
      <c r="CD32" s="25"/>
      <c r="CE32" s="25"/>
      <c r="CF32" s="25"/>
      <c r="CG32" s="25"/>
    </row>
    <row r="33" spans="1:85" ht="14" customHeight="1">
      <c r="A33" s="85" t="str">
        <f>IF([1]Summ!$A1068="","",[1]Summ!$A1068)</f>
        <v>Beans: kg produced</v>
      </c>
      <c r="B33" s="218">
        <f>IF([1]Summ!E1068="",0,[1]Summ!E1068)</f>
        <v>0</v>
      </c>
      <c r="C33" s="218">
        <f>IF([1]Summ!F1068="",0,[1]Summ!F1068)</f>
        <v>0</v>
      </c>
      <c r="D33" s="38">
        <f t="shared" si="24"/>
        <v>0</v>
      </c>
      <c r="E33" s="75">
        <f>E9</f>
        <v>1</v>
      </c>
      <c r="F33" s="26">
        <v>1.1299999999999999</v>
      </c>
      <c r="G33" s="22">
        <f t="shared" si="25"/>
        <v>1.1199999999999999</v>
      </c>
      <c r="H33" s="24">
        <f t="shared" si="17"/>
        <v>1.1299999999999999</v>
      </c>
      <c r="I33" s="39">
        <f t="shared" si="18"/>
        <v>0</v>
      </c>
      <c r="J33" s="38">
        <f t="shared" si="19"/>
        <v>0</v>
      </c>
      <c r="K33" s="40">
        <f t="shared" si="20"/>
        <v>0</v>
      </c>
      <c r="L33" s="22">
        <f t="shared" si="21"/>
        <v>0</v>
      </c>
      <c r="M33" s="24">
        <f t="shared" si="22"/>
        <v>0</v>
      </c>
      <c r="N33" s="2"/>
      <c r="O33" s="2"/>
      <c r="P33" s="2"/>
      <c r="Q33" s="59"/>
      <c r="R33" s="225"/>
      <c r="S33" s="225"/>
      <c r="T33" s="225"/>
      <c r="U33" s="56"/>
      <c r="V33" s="56"/>
      <c r="W33" s="116"/>
      <c r="X33" s="119">
        <v>1</v>
      </c>
      <c r="Y33" s="111"/>
      <c r="Z33" s="123">
        <f>Z11</f>
        <v>0.43828973265474042</v>
      </c>
      <c r="AA33" s="148">
        <f t="shared" si="30"/>
        <v>0</v>
      </c>
      <c r="AB33" s="123">
        <f>AB11</f>
        <v>0.25722498398047444</v>
      </c>
      <c r="AC33" s="148">
        <f t="shared" si="31"/>
        <v>0</v>
      </c>
      <c r="AD33" s="123">
        <f>AD11</f>
        <v>0.30448528336478514</v>
      </c>
      <c r="AE33" s="148">
        <f t="shared" si="32"/>
        <v>0</v>
      </c>
      <c r="AF33" s="123">
        <f t="shared" si="23"/>
        <v>0</v>
      </c>
      <c r="AG33" s="148">
        <f t="shared" si="26"/>
        <v>0</v>
      </c>
      <c r="AH33" s="124">
        <f t="shared" si="27"/>
        <v>1</v>
      </c>
      <c r="AI33" s="113">
        <f t="shared" si="27"/>
        <v>0</v>
      </c>
      <c r="AJ33" s="149">
        <f t="shared" si="28"/>
        <v>0</v>
      </c>
      <c r="AK33" s="148">
        <f t="shared" si="29"/>
        <v>0</v>
      </c>
      <c r="AP33" s="25"/>
      <c r="AQ33" s="25"/>
      <c r="AR33" s="25"/>
      <c r="AS33" s="25"/>
      <c r="AT33" s="25"/>
      <c r="AU33" s="25"/>
      <c r="AW33" s="25"/>
      <c r="AX33" s="25"/>
      <c r="AY33" s="25"/>
      <c r="AZ33" s="25"/>
      <c r="BA33" s="25"/>
      <c r="BB33" s="25"/>
      <c r="BF33" s="25"/>
      <c r="BG33" s="25"/>
      <c r="BH33" s="25"/>
      <c r="BI33" s="25"/>
      <c r="BJ33" s="25"/>
      <c r="BK33" s="25"/>
      <c r="BM33" s="25"/>
      <c r="BN33" s="25"/>
      <c r="BO33" s="25"/>
      <c r="BP33" s="25"/>
      <c r="BQ33" s="25"/>
      <c r="BR33" s="25"/>
      <c r="BU33" s="25"/>
      <c r="BV33" s="25"/>
      <c r="BW33" s="25"/>
      <c r="BX33" s="25"/>
      <c r="BY33" s="25"/>
      <c r="BZ33" s="25"/>
      <c r="CB33" s="25"/>
      <c r="CC33" s="25"/>
      <c r="CD33" s="25"/>
      <c r="CE33" s="25"/>
      <c r="CF33" s="25"/>
      <c r="CG33" s="25"/>
    </row>
    <row r="34" spans="1:85" ht="14" customHeight="1">
      <c r="A34" s="85" t="str">
        <f>IF([1]Summ!$A1069="","",[1]Summ!$A1069)</f>
        <v>Water melon: no. local meas</v>
      </c>
      <c r="B34" s="218">
        <f>IF([1]Summ!E1069="",0,[1]Summ!E1069)</f>
        <v>400</v>
      </c>
      <c r="C34" s="218">
        <f>IF([1]Summ!F1069="",0,[1]Summ!F1069)</f>
        <v>-400</v>
      </c>
      <c r="D34" s="38">
        <f t="shared" si="24"/>
        <v>0</v>
      </c>
      <c r="E34" s="75">
        <f>E10</f>
        <v>1</v>
      </c>
      <c r="F34" s="26">
        <v>1.22</v>
      </c>
      <c r="G34" s="22">
        <f t="shared" si="25"/>
        <v>1.1199999999999999</v>
      </c>
      <c r="H34" s="24">
        <f t="shared" si="17"/>
        <v>1.22</v>
      </c>
      <c r="I34" s="39">
        <f t="shared" si="18"/>
        <v>0</v>
      </c>
      <c r="J34" s="38">
        <f t="shared" si="19"/>
        <v>500.50787451743446</v>
      </c>
      <c r="K34" s="40">
        <f t="shared" si="20"/>
        <v>7.2638058042882358E-3</v>
      </c>
      <c r="L34" s="22">
        <f t="shared" si="21"/>
        <v>8.8618430812316476E-3</v>
      </c>
      <c r="M34" s="24">
        <f t="shared" si="22"/>
        <v>9.0889800100292708E-3</v>
      </c>
      <c r="N34" s="2"/>
      <c r="O34" s="2"/>
      <c r="P34" s="2"/>
      <c r="Q34" s="59"/>
      <c r="R34" s="225"/>
      <c r="S34" s="225"/>
      <c r="T34" s="225"/>
      <c r="U34" s="56"/>
      <c r="V34" s="56"/>
      <c r="W34" s="116"/>
      <c r="X34" s="119"/>
      <c r="Y34" s="111"/>
      <c r="Z34" s="117">
        <v>0.25</v>
      </c>
      <c r="AA34" s="148">
        <f t="shared" si="30"/>
        <v>125.12696862935861</v>
      </c>
      <c r="AB34" s="117">
        <v>0</v>
      </c>
      <c r="AC34" s="148">
        <f t="shared" si="31"/>
        <v>0</v>
      </c>
      <c r="AD34" s="117">
        <v>0.5</v>
      </c>
      <c r="AE34" s="148">
        <f t="shared" si="32"/>
        <v>250.25393725871723</v>
      </c>
      <c r="AF34" s="123">
        <f t="shared" si="23"/>
        <v>0.25</v>
      </c>
      <c r="AG34" s="148">
        <f t="shared" si="26"/>
        <v>125.12696862935861</v>
      </c>
      <c r="AH34" s="124">
        <f t="shared" si="27"/>
        <v>1</v>
      </c>
      <c r="AI34" s="113">
        <f t="shared" si="27"/>
        <v>500.50787451743446</v>
      </c>
      <c r="AJ34" s="149">
        <f t="shared" si="28"/>
        <v>125.12696862935861</v>
      </c>
      <c r="AK34" s="148">
        <f t="shared" si="29"/>
        <v>375.38090588807586</v>
      </c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5" ht="14" customHeight="1">
      <c r="A35" s="85" t="str">
        <f>IF([1]Summ!$A1070="","",[1]Summ!$A1070)</f>
        <v>WILD FOODS -- see worksheet Data 3</v>
      </c>
      <c r="B35" s="218">
        <f>IF([1]Summ!E1070="",0,[1]Summ!E1070)</f>
        <v>0</v>
      </c>
      <c r="C35" s="218">
        <f>IF([1]Summ!F1070="",0,[1]Summ!F1070)</f>
        <v>750</v>
      </c>
      <c r="D35" s="38">
        <f t="shared" si="24"/>
        <v>750</v>
      </c>
      <c r="E35" s="26">
        <v>0.8</v>
      </c>
      <c r="F35" s="26">
        <v>1</v>
      </c>
      <c r="G35" s="22">
        <f t="shared" si="25"/>
        <v>1.1199999999999999</v>
      </c>
      <c r="H35" s="24">
        <f t="shared" si="17"/>
        <v>0.8</v>
      </c>
      <c r="I35" s="39">
        <f t="shared" si="18"/>
        <v>600</v>
      </c>
      <c r="J35" s="38">
        <f t="shared" si="19"/>
        <v>-15.3785342427473</v>
      </c>
      <c r="K35" s="40">
        <f t="shared" si="20"/>
        <v>0</v>
      </c>
      <c r="L35" s="22">
        <f t="shared" si="21"/>
        <v>0</v>
      </c>
      <c r="M35" s="24">
        <f t="shared" si="22"/>
        <v>-2.7926671573478304E-4</v>
      </c>
      <c r="N35" s="2"/>
      <c r="O35" s="2"/>
      <c r="P35" s="2"/>
      <c r="Q35" s="56"/>
      <c r="R35" s="226"/>
      <c r="S35" s="226"/>
      <c r="T35" s="226"/>
      <c r="U35" s="56"/>
      <c r="V35" s="56"/>
      <c r="W35" s="116"/>
      <c r="X35" s="119"/>
      <c r="Y35" s="111"/>
      <c r="Z35" s="117">
        <v>0.25</v>
      </c>
      <c r="AA35" s="148">
        <f t="shared" si="30"/>
        <v>-3.8446335606868249</v>
      </c>
      <c r="AB35" s="117">
        <v>0.25</v>
      </c>
      <c r="AC35" s="148">
        <f t="shared" si="31"/>
        <v>-3.8446335606868249</v>
      </c>
      <c r="AD35" s="117">
        <v>0.25</v>
      </c>
      <c r="AE35" s="148">
        <f t="shared" si="32"/>
        <v>-3.8446335606868249</v>
      </c>
      <c r="AF35" s="123">
        <f t="shared" si="23"/>
        <v>0.25</v>
      </c>
      <c r="AG35" s="148">
        <f t="shared" si="26"/>
        <v>-3.8446335606868249</v>
      </c>
      <c r="AH35" s="124">
        <f t="shared" si="27"/>
        <v>1</v>
      </c>
      <c r="AI35" s="113">
        <f t="shared" si="27"/>
        <v>-15.3785342427473</v>
      </c>
      <c r="AJ35" s="149">
        <f t="shared" si="28"/>
        <v>-7.6892671213736499</v>
      </c>
      <c r="AK35" s="148">
        <f t="shared" si="29"/>
        <v>-7.6892671213736499</v>
      </c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5" ht="14" customHeight="1">
      <c r="A36" s="85" t="str">
        <f>IF([1]Summ!$A1071="","",[1]Summ!$A1071)</f>
        <v>Agricultural cash income -- see Data2</v>
      </c>
      <c r="B36" s="218">
        <f>IF([1]Summ!E1071="",0,[1]Summ!E1071)</f>
        <v>3380</v>
      </c>
      <c r="C36" s="218">
        <f>IF([1]Summ!F1071="",0,[1]Summ!F1071)</f>
        <v>0</v>
      </c>
      <c r="D36" s="38">
        <f t="shared" si="24"/>
        <v>3380</v>
      </c>
      <c r="E36" s="26">
        <v>0.87</v>
      </c>
      <c r="F36" s="26">
        <v>1.1100000000000001</v>
      </c>
      <c r="G36" s="22">
        <f t="shared" si="25"/>
        <v>1.1199999999999999</v>
      </c>
      <c r="H36" s="24">
        <f t="shared" si="17"/>
        <v>0.96570000000000011</v>
      </c>
      <c r="I36" s="39">
        <f t="shared" si="18"/>
        <v>3264.0660000000003</v>
      </c>
      <c r="J36" s="38">
        <f t="shared" si="19"/>
        <v>3264.0660000000007</v>
      </c>
      <c r="K36" s="40">
        <f t="shared" si="20"/>
        <v>6.1379159046235587E-2</v>
      </c>
      <c r="L36" s="22">
        <f t="shared" si="21"/>
        <v>5.9273853890949711E-2</v>
      </c>
      <c r="M36" s="24">
        <f t="shared" si="22"/>
        <v>5.9273853890949725E-2</v>
      </c>
      <c r="N36" s="2"/>
      <c r="O36" s="2"/>
      <c r="P36" s="2"/>
      <c r="Q36" s="59"/>
      <c r="R36" s="225"/>
      <c r="S36" s="225"/>
      <c r="T36" s="225"/>
      <c r="U36" s="56"/>
      <c r="V36" s="56"/>
      <c r="W36" s="118"/>
      <c r="X36" s="119"/>
      <c r="Y36" s="111"/>
      <c r="Z36" s="117">
        <v>0.25</v>
      </c>
      <c r="AA36" s="148">
        <f t="shared" si="30"/>
        <v>816.01650000000018</v>
      </c>
      <c r="AB36" s="117">
        <v>0.25</v>
      </c>
      <c r="AC36" s="148">
        <f t="shared" si="31"/>
        <v>816.01650000000018</v>
      </c>
      <c r="AD36" s="117">
        <v>0.25</v>
      </c>
      <c r="AE36" s="148">
        <f t="shared" si="32"/>
        <v>816.01650000000018</v>
      </c>
      <c r="AF36" s="123">
        <f t="shared" si="23"/>
        <v>0.25</v>
      </c>
      <c r="AG36" s="148">
        <f t="shared" si="26"/>
        <v>816.01650000000018</v>
      </c>
      <c r="AH36" s="124">
        <f t="shared" si="27"/>
        <v>1</v>
      </c>
      <c r="AI36" s="113">
        <f t="shared" si="27"/>
        <v>3264.0660000000007</v>
      </c>
      <c r="AJ36" s="149">
        <f t="shared" si="28"/>
        <v>1632.0330000000004</v>
      </c>
      <c r="AK36" s="148">
        <f t="shared" si="29"/>
        <v>1632.0330000000004</v>
      </c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5" ht="14" customHeight="1">
      <c r="A37" s="85" t="str">
        <f>IF([1]Summ!$A1072="","",[1]Summ!$A1072)</f>
        <v>Construction cash income -- see Data2</v>
      </c>
      <c r="B37" s="218">
        <f>IF([1]Summ!E1072="",0,[1]Summ!E1072)</f>
        <v>5140</v>
      </c>
      <c r="C37" s="218">
        <f>IF([1]Summ!F1072="",0,[1]Summ!F1072)</f>
        <v>0</v>
      </c>
      <c r="D37" s="38">
        <f t="shared" si="24"/>
        <v>5140</v>
      </c>
      <c r="E37" s="26">
        <v>1</v>
      </c>
      <c r="F37" s="239">
        <v>1.1000000000000001</v>
      </c>
      <c r="G37" s="22">
        <f t="shared" si="25"/>
        <v>1.1199999999999999</v>
      </c>
      <c r="H37" s="24">
        <f t="shared" si="17"/>
        <v>1.1000000000000001</v>
      </c>
      <c r="I37" s="39">
        <f t="shared" si="18"/>
        <v>5654.0000000000009</v>
      </c>
      <c r="J37" s="38">
        <f t="shared" si="19"/>
        <v>5654.0000000000009</v>
      </c>
      <c r="K37" s="40">
        <f t="shared" si="20"/>
        <v>9.3339904585103828E-2</v>
      </c>
      <c r="L37" s="22">
        <f t="shared" si="21"/>
        <v>0.10267389504361422</v>
      </c>
      <c r="M37" s="24">
        <f t="shared" si="22"/>
        <v>0.10267389504361422</v>
      </c>
      <c r="N37" s="2"/>
      <c r="O37" s="2"/>
      <c r="P37" s="2"/>
      <c r="Q37" s="240" t="s">
        <v>141</v>
      </c>
      <c r="R37" s="240">
        <f>IF(R24&gt;R$23,R24-R$23,0)</f>
        <v>0</v>
      </c>
      <c r="S37" s="240">
        <f t="shared" ref="S37:T40" si="33">IF(S24&gt;S$23,S24-S$23,0)</f>
        <v>0</v>
      </c>
      <c r="T37" s="240">
        <f t="shared" si="33"/>
        <v>0</v>
      </c>
      <c r="U37" s="56"/>
      <c r="V37" s="56"/>
      <c r="W37" s="111"/>
      <c r="X37" s="119"/>
      <c r="Y37" s="111"/>
      <c r="Z37" s="117">
        <v>0.25</v>
      </c>
      <c r="AA37" s="148">
        <f t="shared" si="30"/>
        <v>1413.5000000000002</v>
      </c>
      <c r="AB37" s="117">
        <v>0.25</v>
      </c>
      <c r="AC37" s="148">
        <f t="shared" si="31"/>
        <v>1413.5000000000002</v>
      </c>
      <c r="AD37" s="117">
        <v>0.25</v>
      </c>
      <c r="AE37" s="148">
        <f t="shared" si="32"/>
        <v>1413.5000000000002</v>
      </c>
      <c r="AF37" s="123">
        <f t="shared" si="23"/>
        <v>0.25</v>
      </c>
      <c r="AG37" s="148">
        <f t="shared" si="26"/>
        <v>1413.5000000000002</v>
      </c>
      <c r="AH37" s="124">
        <f t="shared" si="27"/>
        <v>1</v>
      </c>
      <c r="AI37" s="113">
        <f t="shared" si="27"/>
        <v>5654.0000000000009</v>
      </c>
      <c r="AJ37" s="149">
        <f t="shared" si="28"/>
        <v>2827.0000000000005</v>
      </c>
      <c r="AK37" s="148">
        <f t="shared" si="29"/>
        <v>2827.0000000000005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5" ht="14" customHeight="1">
      <c r="A38" s="85" t="str">
        <f>IF([1]Summ!$A1073="","",[1]Summ!$A1073)</f>
        <v>Domestic work cash income -- see Data2</v>
      </c>
      <c r="B38" s="218">
        <f>IF([1]Summ!E1073="",0,[1]Summ!E1073)</f>
        <v>3900</v>
      </c>
      <c r="C38" s="218">
        <f>IF([1]Summ!F1073="",0,[1]Summ!F1073)</f>
        <v>0</v>
      </c>
      <c r="D38" s="38">
        <f t="shared" si="24"/>
        <v>3900</v>
      </c>
      <c r="E38" s="26">
        <v>1</v>
      </c>
      <c r="F38" s="26">
        <v>1.1000000000000001</v>
      </c>
      <c r="G38" s="22">
        <f t="shared" si="25"/>
        <v>1.1199999999999999</v>
      </c>
      <c r="H38" s="24">
        <f t="shared" si="17"/>
        <v>1.1000000000000001</v>
      </c>
      <c r="I38" s="39">
        <f t="shared" si="18"/>
        <v>4290</v>
      </c>
      <c r="J38" s="38">
        <f t="shared" si="19"/>
        <v>4290.0000000000009</v>
      </c>
      <c r="K38" s="40">
        <f t="shared" si="20"/>
        <v>7.0822106591810291E-2</v>
      </c>
      <c r="L38" s="22">
        <f t="shared" si="21"/>
        <v>7.7904317250991326E-2</v>
      </c>
      <c r="M38" s="24">
        <f t="shared" si="22"/>
        <v>7.790431725099134E-2</v>
      </c>
      <c r="N38" s="2"/>
      <c r="O38" s="2"/>
      <c r="P38" s="2"/>
      <c r="Q38" s="244" t="s">
        <v>142</v>
      </c>
      <c r="R38" s="240">
        <f>IF(R25&gt;R$23,R25-R$23,0)</f>
        <v>0</v>
      </c>
      <c r="S38" s="240">
        <f t="shared" si="33"/>
        <v>0</v>
      </c>
      <c r="T38" s="240">
        <f t="shared" si="33"/>
        <v>0</v>
      </c>
      <c r="U38" s="56"/>
      <c r="V38" s="56"/>
      <c r="W38" s="111"/>
      <c r="X38" s="119"/>
      <c r="Y38" s="111"/>
      <c r="Z38" s="117">
        <v>0.25</v>
      </c>
      <c r="AA38" s="148">
        <f t="shared" si="30"/>
        <v>1072.5000000000002</v>
      </c>
      <c r="AB38" s="117">
        <v>0.25</v>
      </c>
      <c r="AC38" s="148">
        <f t="shared" si="31"/>
        <v>1072.5000000000002</v>
      </c>
      <c r="AD38" s="117">
        <v>0.25</v>
      </c>
      <c r="AE38" s="148">
        <f t="shared" si="32"/>
        <v>1072.5000000000002</v>
      </c>
      <c r="AF38" s="123">
        <f t="shared" si="23"/>
        <v>0.25</v>
      </c>
      <c r="AG38" s="148">
        <f t="shared" si="26"/>
        <v>1072.5000000000002</v>
      </c>
      <c r="AH38" s="124">
        <f t="shared" si="27"/>
        <v>1</v>
      </c>
      <c r="AI38" s="113">
        <f t="shared" si="27"/>
        <v>4290.0000000000009</v>
      </c>
      <c r="AJ38" s="149">
        <f t="shared" si="28"/>
        <v>2145.0000000000005</v>
      </c>
      <c r="AK38" s="148">
        <f t="shared" si="29"/>
        <v>2145.0000000000005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5" ht="14" customHeight="1">
      <c r="A39" s="85" t="str">
        <f>IF([1]Summ!$A1074="","",[1]Summ!$A1074)</f>
        <v>Labour migration(formal employment): no. people per HH</v>
      </c>
      <c r="B39" s="218">
        <f>IF([1]Summ!E1074="",0,[1]Summ!E1074)</f>
        <v>12000</v>
      </c>
      <c r="C39" s="218">
        <f>IF([1]Summ!F1074="",0,[1]Summ!F1074)</f>
        <v>0</v>
      </c>
      <c r="D39" s="38">
        <f t="shared" si="24"/>
        <v>12000</v>
      </c>
      <c r="E39" s="26">
        <v>1</v>
      </c>
      <c r="F39" s="26">
        <v>1.07</v>
      </c>
      <c r="G39" s="22">
        <f t="shared" si="25"/>
        <v>1.1199999999999999</v>
      </c>
      <c r="H39" s="24">
        <f t="shared" si="17"/>
        <v>1.07</v>
      </c>
      <c r="I39" s="39">
        <f t="shared" si="18"/>
        <v>12840</v>
      </c>
      <c r="J39" s="38">
        <f t="shared" si="19"/>
        <v>12840</v>
      </c>
      <c r="K39" s="40">
        <f t="shared" si="20"/>
        <v>0.21791417412864705</v>
      </c>
      <c r="L39" s="22">
        <f t="shared" si="21"/>
        <v>0.23316816631765236</v>
      </c>
      <c r="M39" s="24">
        <f t="shared" si="22"/>
        <v>0.23316816631765236</v>
      </c>
      <c r="N39" s="2"/>
      <c r="O39" s="2"/>
      <c r="P39" s="2"/>
      <c r="Q39" s="240" t="s">
        <v>143</v>
      </c>
      <c r="R39" s="240">
        <f>IF(R26&gt;R$23,R26-R$23,0)</f>
        <v>0</v>
      </c>
      <c r="S39" s="240">
        <f t="shared" si="33"/>
        <v>0</v>
      </c>
      <c r="T39" s="240">
        <f t="shared" si="33"/>
        <v>0</v>
      </c>
      <c r="U39" s="56"/>
      <c r="V39" s="56"/>
      <c r="W39" s="111"/>
      <c r="X39" s="119"/>
      <c r="Y39" s="111"/>
      <c r="Z39" s="117">
        <v>0.25</v>
      </c>
      <c r="AA39" s="148">
        <f t="shared" si="30"/>
        <v>3210</v>
      </c>
      <c r="AB39" s="117">
        <v>0.25</v>
      </c>
      <c r="AC39" s="148">
        <f t="shared" si="31"/>
        <v>3210</v>
      </c>
      <c r="AD39" s="117">
        <v>0.25</v>
      </c>
      <c r="AE39" s="148">
        <f t="shared" si="32"/>
        <v>3210</v>
      </c>
      <c r="AF39" s="123">
        <f t="shared" si="23"/>
        <v>0.25</v>
      </c>
      <c r="AG39" s="148">
        <f t="shared" si="26"/>
        <v>3210</v>
      </c>
      <c r="AH39" s="124">
        <f t="shared" si="27"/>
        <v>1</v>
      </c>
      <c r="AI39" s="113">
        <f t="shared" si="27"/>
        <v>12840</v>
      </c>
      <c r="AJ39" s="149">
        <f t="shared" si="28"/>
        <v>6420</v>
      </c>
      <c r="AK39" s="148">
        <f t="shared" si="29"/>
        <v>6420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5" ht="14" customHeight="1">
      <c r="A40" s="85" t="str">
        <f>IF([1]Summ!$A1075="","",[1]Summ!$A1075)</f>
        <v>Formal Employment (conservancies, etc.)</v>
      </c>
      <c r="B40" s="218">
        <f>IF([1]Summ!E1075="",0,[1]Summ!E1075)</f>
        <v>0</v>
      </c>
      <c r="C40" s="218">
        <f>IF([1]Summ!F1075="",0,[1]Summ!F1075)</f>
        <v>0</v>
      </c>
      <c r="D40" s="38">
        <f t="shared" si="24"/>
        <v>0</v>
      </c>
      <c r="E40" s="26">
        <v>1</v>
      </c>
      <c r="F40" s="26">
        <v>1.07</v>
      </c>
      <c r="G40" s="22">
        <f t="shared" si="25"/>
        <v>1.1199999999999999</v>
      </c>
      <c r="H40" s="24">
        <f t="shared" si="17"/>
        <v>1.07</v>
      </c>
      <c r="I40" s="39">
        <f t="shared" si="18"/>
        <v>0</v>
      </c>
      <c r="J40" s="38">
        <f t="shared" si="19"/>
        <v>0</v>
      </c>
      <c r="K40" s="40">
        <f t="shared" si="20"/>
        <v>0</v>
      </c>
      <c r="L40" s="22">
        <f t="shared" si="21"/>
        <v>0</v>
      </c>
      <c r="M40" s="24">
        <f t="shared" si="22"/>
        <v>0</v>
      </c>
      <c r="N40" s="2"/>
      <c r="O40" s="2"/>
      <c r="P40" s="2"/>
      <c r="Q40" s="244" t="s">
        <v>144</v>
      </c>
      <c r="R40" s="240">
        <f>IF(R27&gt;R$23,R27-R$23,0)</f>
        <v>0</v>
      </c>
      <c r="S40" s="240">
        <f t="shared" si="33"/>
        <v>0</v>
      </c>
      <c r="T40" s="240">
        <f t="shared" si="33"/>
        <v>0</v>
      </c>
      <c r="U40" s="56"/>
      <c r="V40" s="56"/>
      <c r="W40" s="111"/>
      <c r="X40" s="119"/>
      <c r="Y40" s="111"/>
      <c r="Z40" s="117">
        <v>0.25</v>
      </c>
      <c r="AA40" s="148">
        <f t="shared" si="30"/>
        <v>0</v>
      </c>
      <c r="AB40" s="117">
        <v>0.25</v>
      </c>
      <c r="AC40" s="148">
        <f t="shared" si="31"/>
        <v>0</v>
      </c>
      <c r="AD40" s="117">
        <v>0.25</v>
      </c>
      <c r="AE40" s="148">
        <f t="shared" si="32"/>
        <v>0</v>
      </c>
      <c r="AF40" s="123">
        <f t="shared" si="23"/>
        <v>0.25</v>
      </c>
      <c r="AG40" s="148">
        <f t="shared" si="26"/>
        <v>0</v>
      </c>
      <c r="AH40" s="124">
        <f t="shared" si="27"/>
        <v>1</v>
      </c>
      <c r="AI40" s="113">
        <f t="shared" si="27"/>
        <v>0</v>
      </c>
      <c r="AJ40" s="149">
        <f t="shared" si="28"/>
        <v>0</v>
      </c>
      <c r="AK40" s="148">
        <f t="shared" si="2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5" ht="14" customHeight="1">
      <c r="A41" s="85" t="str">
        <f>IF([1]Summ!$A1076="","",[1]Summ!$A1076)</f>
        <v>Self-employment -- see Data2</v>
      </c>
      <c r="B41" s="218">
        <f>IF([1]Summ!E1076="",0,[1]Summ!E1076)</f>
        <v>6290</v>
      </c>
      <c r="C41" s="218">
        <f>IF([1]Summ!F1076="",0,[1]Summ!F1076)</f>
        <v>1258</v>
      </c>
      <c r="D41" s="38">
        <f t="shared" si="24"/>
        <v>7548</v>
      </c>
      <c r="E41" s="26">
        <v>1</v>
      </c>
      <c r="F41" s="26">
        <v>1.1000000000000001</v>
      </c>
      <c r="G41" s="22">
        <f t="shared" si="25"/>
        <v>1.1199999999999999</v>
      </c>
      <c r="H41" s="24">
        <f t="shared" si="17"/>
        <v>1.1000000000000001</v>
      </c>
      <c r="I41" s="39">
        <f t="shared" si="18"/>
        <v>8302.8000000000011</v>
      </c>
      <c r="J41" s="38">
        <f t="shared" si="19"/>
        <v>6883.5319738581456</v>
      </c>
      <c r="K41" s="40">
        <f t="shared" si="20"/>
        <v>0.1142233462724325</v>
      </c>
      <c r="L41" s="22">
        <f t="shared" si="21"/>
        <v>0.12564568089967576</v>
      </c>
      <c r="M41" s="24">
        <f t="shared" si="22"/>
        <v>0.12500159876428613</v>
      </c>
      <c r="N41" s="2"/>
      <c r="O41" s="2"/>
      <c r="P41" s="2"/>
      <c r="Q41" s="56"/>
      <c r="R41" s="56"/>
      <c r="S41" s="56"/>
      <c r="T41" s="56"/>
      <c r="U41" s="56"/>
      <c r="V41" s="56"/>
      <c r="W41" s="111"/>
      <c r="X41" s="119"/>
      <c r="Y41" s="111"/>
      <c r="Z41" s="117">
        <v>0.25</v>
      </c>
      <c r="AA41" s="148">
        <f t="shared" si="30"/>
        <v>1720.8829934645364</v>
      </c>
      <c r="AB41" s="117">
        <v>0.25</v>
      </c>
      <c r="AC41" s="148">
        <f t="shared" si="31"/>
        <v>1720.8829934645364</v>
      </c>
      <c r="AD41" s="117">
        <v>0.25</v>
      </c>
      <c r="AE41" s="148">
        <f t="shared" si="32"/>
        <v>1720.8829934645364</v>
      </c>
      <c r="AF41" s="123">
        <f t="shared" si="23"/>
        <v>0.25</v>
      </c>
      <c r="AG41" s="148">
        <f t="shared" si="26"/>
        <v>1720.8829934645364</v>
      </c>
      <c r="AH41" s="124">
        <f t="shared" si="27"/>
        <v>1</v>
      </c>
      <c r="AI41" s="113">
        <f t="shared" si="27"/>
        <v>6883.5319738581456</v>
      </c>
      <c r="AJ41" s="149">
        <f t="shared" si="28"/>
        <v>3441.7659869290728</v>
      </c>
      <c r="AK41" s="148">
        <f t="shared" si="29"/>
        <v>3441.7659869290728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5" ht="14" customHeight="1">
      <c r="A42" s="85" t="str">
        <f>IF([1]Summ!$A1077="","",[1]Summ!$A1077)</f>
        <v>Small business -- see Data2</v>
      </c>
      <c r="B42" s="218">
        <f>IF([1]Summ!E1077="",0,[1]Summ!E1077)</f>
        <v>1920</v>
      </c>
      <c r="C42" s="218">
        <f>IF([1]Summ!F1077="",0,[1]Summ!F1077)</f>
        <v>0</v>
      </c>
      <c r="D42" s="38">
        <f t="shared" si="24"/>
        <v>1920</v>
      </c>
      <c r="E42" s="26">
        <v>1</v>
      </c>
      <c r="F42" s="26">
        <v>1.05</v>
      </c>
      <c r="G42" s="22">
        <f t="shared" si="25"/>
        <v>1.1199999999999999</v>
      </c>
      <c r="H42" s="24">
        <f t="shared" si="17"/>
        <v>1.05</v>
      </c>
      <c r="I42" s="39">
        <f t="shared" si="18"/>
        <v>2016</v>
      </c>
      <c r="J42" s="38">
        <f t="shared" si="19"/>
        <v>2016.0000000000002</v>
      </c>
      <c r="K42" s="40">
        <f t="shared" si="20"/>
        <v>3.4866267860583527E-2</v>
      </c>
      <c r="L42" s="22">
        <f t="shared" si="21"/>
        <v>3.6609581253612702E-2</v>
      </c>
      <c r="M42" s="24">
        <f t="shared" si="22"/>
        <v>3.6609581253612709E-2</v>
      </c>
      <c r="N42" s="2"/>
      <c r="O42" s="2"/>
      <c r="P42" s="2"/>
      <c r="Q42" s="56"/>
      <c r="R42" s="41"/>
      <c r="S42" s="56"/>
      <c r="T42" s="56"/>
      <c r="U42" s="56"/>
      <c r="V42" s="56"/>
      <c r="W42" s="111"/>
      <c r="X42" s="119"/>
      <c r="Y42" s="111"/>
      <c r="Z42" s="117">
        <v>0.25</v>
      </c>
      <c r="AA42" s="148">
        <f t="shared" si="30"/>
        <v>504.00000000000006</v>
      </c>
      <c r="AB42" s="117">
        <v>0.25</v>
      </c>
      <c r="AC42" s="148">
        <f t="shared" si="31"/>
        <v>504.00000000000006</v>
      </c>
      <c r="AD42" s="117">
        <v>0.25</v>
      </c>
      <c r="AE42" s="148">
        <f t="shared" si="32"/>
        <v>504.00000000000006</v>
      </c>
      <c r="AF42" s="123">
        <f t="shared" si="23"/>
        <v>0.25</v>
      </c>
      <c r="AG42" s="148">
        <f t="shared" si="26"/>
        <v>504.00000000000006</v>
      </c>
      <c r="AH42" s="124">
        <f t="shared" si="27"/>
        <v>1</v>
      </c>
      <c r="AI42" s="113">
        <f t="shared" si="27"/>
        <v>2016.0000000000002</v>
      </c>
      <c r="AJ42" s="149">
        <f t="shared" si="28"/>
        <v>1008.0000000000001</v>
      </c>
      <c r="AK42" s="148">
        <f t="shared" si="29"/>
        <v>1008.0000000000001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5" ht="14" customHeight="1">
      <c r="A43" s="85" t="str">
        <f>IF([1]Summ!$A1078="","",[1]Summ!$A1078)</f>
        <v>Social development -- see Data2</v>
      </c>
      <c r="B43" s="218">
        <f>IF([1]Summ!E1078="",0,[1]Summ!E1078)</f>
        <v>16248.051470588236</v>
      </c>
      <c r="C43" s="218">
        <f>IF([1]Summ!F1078="",0,[1]Summ!F1078)</f>
        <v>0</v>
      </c>
      <c r="D43" s="38">
        <f t="shared" si="24"/>
        <v>16248.051470588236</v>
      </c>
      <c r="E43" s="26">
        <v>1</v>
      </c>
      <c r="F43" s="26">
        <v>1.1100000000000001</v>
      </c>
      <c r="G43" s="22">
        <f t="shared" si="25"/>
        <v>1.1199999999999999</v>
      </c>
      <c r="H43" s="24">
        <f t="shared" si="17"/>
        <v>1.1100000000000001</v>
      </c>
      <c r="I43" s="39">
        <f t="shared" si="18"/>
        <v>18035.337132352943</v>
      </c>
      <c r="J43" s="38">
        <f t="shared" si="19"/>
        <v>18035.337132352943</v>
      </c>
      <c r="K43" s="40">
        <f t="shared" si="20"/>
        <v>0.29505672645108205</v>
      </c>
      <c r="L43" s="22">
        <f t="shared" si="21"/>
        <v>0.3275129663607011</v>
      </c>
      <c r="M43" s="24">
        <f t="shared" si="22"/>
        <v>0.3275129663607011</v>
      </c>
      <c r="N43" s="2"/>
      <c r="O43" s="2"/>
      <c r="P43" s="2"/>
      <c r="Q43" s="56"/>
      <c r="R43" s="56"/>
      <c r="S43" s="56"/>
      <c r="T43" s="56"/>
      <c r="U43" s="56"/>
      <c r="V43" s="56"/>
      <c r="W43" s="111"/>
      <c r="X43" s="119"/>
      <c r="Y43" s="111"/>
      <c r="Z43" s="117">
        <v>0.25</v>
      </c>
      <c r="AA43" s="148">
        <f t="shared" si="30"/>
        <v>4508.8342830882357</v>
      </c>
      <c r="AB43" s="117">
        <v>0.25</v>
      </c>
      <c r="AC43" s="148">
        <f t="shared" si="31"/>
        <v>4508.8342830882357</v>
      </c>
      <c r="AD43" s="117">
        <v>0.25</v>
      </c>
      <c r="AE43" s="148">
        <f t="shared" si="32"/>
        <v>4508.8342830882357</v>
      </c>
      <c r="AF43" s="123">
        <f t="shared" si="23"/>
        <v>0.25</v>
      </c>
      <c r="AG43" s="148">
        <f t="shared" si="26"/>
        <v>4508.8342830882357</v>
      </c>
      <c r="AH43" s="124">
        <f t="shared" si="27"/>
        <v>1</v>
      </c>
      <c r="AI43" s="113">
        <f t="shared" si="27"/>
        <v>18035.337132352943</v>
      </c>
      <c r="AJ43" s="149">
        <f t="shared" si="28"/>
        <v>9017.6685661764714</v>
      </c>
      <c r="AK43" s="148">
        <f t="shared" si="29"/>
        <v>9017.6685661764714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5" ht="14" customHeight="1">
      <c r="A44" s="85" t="str">
        <f>IF([1]Summ!$A1079="","",[1]Summ!$A1079)</f>
        <v>Public works -- see Data2</v>
      </c>
      <c r="B44" s="218">
        <f>IF([1]Summ!E1079="",0,[1]Summ!E1079)</f>
        <v>561</v>
      </c>
      <c r="C44" s="218">
        <f>IF([1]Summ!F1079="",0,[1]Summ!F1079)</f>
        <v>0</v>
      </c>
      <c r="D44" s="38">
        <f t="shared" si="24"/>
        <v>561</v>
      </c>
      <c r="E44" s="26">
        <v>1</v>
      </c>
      <c r="F44" s="26">
        <v>1.07</v>
      </c>
      <c r="G44" s="22">
        <f t="shared" si="25"/>
        <v>1.1199999999999999</v>
      </c>
      <c r="H44" s="24">
        <f t="shared" si="17"/>
        <v>1.07</v>
      </c>
      <c r="I44" s="39">
        <f t="shared" si="18"/>
        <v>600.27</v>
      </c>
      <c r="J44" s="38">
        <f t="shared" si="19"/>
        <v>600.27</v>
      </c>
      <c r="K44" s="40">
        <f t="shared" si="20"/>
        <v>1.018748764051425E-2</v>
      </c>
      <c r="L44" s="22">
        <f t="shared" si="21"/>
        <v>1.0900611775350247E-2</v>
      </c>
      <c r="M44" s="24">
        <f t="shared" si="22"/>
        <v>1.0900611775350247E-2</v>
      </c>
      <c r="N44" s="2"/>
      <c r="O44" s="2"/>
      <c r="P44" s="2"/>
      <c r="Q44" s="56"/>
      <c r="R44" s="56"/>
      <c r="S44" s="56"/>
      <c r="T44" s="56"/>
      <c r="U44" s="56"/>
      <c r="V44" s="56"/>
      <c r="W44" s="111"/>
      <c r="X44" s="119"/>
      <c r="Y44" s="111"/>
      <c r="Z44" s="117">
        <v>0.25</v>
      </c>
      <c r="AA44" s="148">
        <f t="shared" si="30"/>
        <v>150.0675</v>
      </c>
      <c r="AB44" s="117">
        <v>0.25</v>
      </c>
      <c r="AC44" s="148">
        <f t="shared" si="31"/>
        <v>150.0675</v>
      </c>
      <c r="AD44" s="117">
        <v>0.25</v>
      </c>
      <c r="AE44" s="148">
        <f t="shared" si="32"/>
        <v>150.0675</v>
      </c>
      <c r="AF44" s="123">
        <f t="shared" si="23"/>
        <v>0.25</v>
      </c>
      <c r="AG44" s="148">
        <f t="shared" si="26"/>
        <v>150.0675</v>
      </c>
      <c r="AH44" s="124">
        <f t="shared" si="27"/>
        <v>1</v>
      </c>
      <c r="AI44" s="113">
        <f t="shared" si="27"/>
        <v>600.27</v>
      </c>
      <c r="AJ44" s="149">
        <f t="shared" si="28"/>
        <v>300.13499999999999</v>
      </c>
      <c r="AK44" s="148">
        <f t="shared" si="29"/>
        <v>300.13499999999999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5" ht="14" customHeight="1">
      <c r="A45" s="85" t="str">
        <f>IF([1]Summ!$A1080="","",[1]Summ!$A1080)</f>
        <v>Remittances: no. times per year</v>
      </c>
      <c r="B45" s="218">
        <f>IF([1]Summ!E1080="",0,[1]Summ!E1080)</f>
        <v>1500</v>
      </c>
      <c r="C45" s="218">
        <f>IF([1]Summ!F1080="",0,[1]Summ!F1080)</f>
        <v>0</v>
      </c>
      <c r="D45" s="38">
        <f t="shared" si="24"/>
        <v>1500</v>
      </c>
      <c r="E45" s="26">
        <v>1</v>
      </c>
      <c r="F45" s="26">
        <v>1.05</v>
      </c>
      <c r="G45" s="22">
        <f t="shared" si="25"/>
        <v>1.1199999999999999</v>
      </c>
      <c r="H45" s="24">
        <f t="shared" si="17"/>
        <v>1.05</v>
      </c>
      <c r="I45" s="39">
        <f t="shared" si="18"/>
        <v>1575</v>
      </c>
      <c r="J45" s="38">
        <f t="shared" si="19"/>
        <v>1575.0000000000002</v>
      </c>
      <c r="K45" s="40">
        <f t="shared" si="20"/>
        <v>2.7239271766080882E-2</v>
      </c>
      <c r="L45" s="22">
        <f t="shared" si="21"/>
        <v>2.8601235354384927E-2</v>
      </c>
      <c r="M45" s="24">
        <f t="shared" si="22"/>
        <v>2.860123535438493E-2</v>
      </c>
      <c r="N45" s="2"/>
      <c r="O45" s="2"/>
      <c r="P45" s="2"/>
      <c r="Q45" s="56"/>
      <c r="R45" s="56"/>
      <c r="S45" s="56"/>
      <c r="T45" s="56"/>
      <c r="U45" s="56"/>
      <c r="V45" s="56"/>
      <c r="W45" s="111"/>
      <c r="X45" s="119"/>
      <c r="Y45" s="111"/>
      <c r="Z45" s="117">
        <v>0.25</v>
      </c>
      <c r="AA45" s="148">
        <f t="shared" si="30"/>
        <v>393.75000000000006</v>
      </c>
      <c r="AB45" s="117">
        <v>0.25</v>
      </c>
      <c r="AC45" s="148">
        <f t="shared" si="31"/>
        <v>393.75000000000006</v>
      </c>
      <c r="AD45" s="117">
        <v>0.25</v>
      </c>
      <c r="AE45" s="148">
        <f t="shared" si="32"/>
        <v>393.75000000000006</v>
      </c>
      <c r="AF45" s="123">
        <f t="shared" si="23"/>
        <v>0.25</v>
      </c>
      <c r="AG45" s="148">
        <f t="shared" si="26"/>
        <v>393.75000000000006</v>
      </c>
      <c r="AH45" s="124">
        <f t="shared" si="27"/>
        <v>1</v>
      </c>
      <c r="AI45" s="113">
        <f t="shared" si="27"/>
        <v>1575.0000000000002</v>
      </c>
      <c r="AJ45" s="149">
        <f t="shared" si="28"/>
        <v>787.50000000000011</v>
      </c>
      <c r="AK45" s="148">
        <f t="shared" si="29"/>
        <v>787.50000000000011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5" ht="14" customHeight="1">
      <c r="A46" s="85" t="str">
        <f>IF([1]Summ!$A1081="","",[1]Summ!$A1081)</f>
        <v/>
      </c>
      <c r="B46" s="218">
        <f>IF([1]Summ!E1081="",0,[1]Summ!E1081)</f>
        <v>0</v>
      </c>
      <c r="C46" s="218">
        <f>IF([1]Summ!F1081="",0,[1]Summ!F1081)</f>
        <v>0</v>
      </c>
      <c r="D46" s="38">
        <f t="shared" si="24"/>
        <v>0</v>
      </c>
      <c r="E46" s="26">
        <v>1</v>
      </c>
      <c r="F46" s="26">
        <v>1</v>
      </c>
      <c r="G46" s="22">
        <f t="shared" si="25"/>
        <v>1.1199999999999999</v>
      </c>
      <c r="H46" s="24">
        <f t="shared" si="17"/>
        <v>1</v>
      </c>
      <c r="I46" s="39">
        <f t="shared" si="18"/>
        <v>0</v>
      </c>
      <c r="J46" s="38">
        <f t="shared" si="19"/>
        <v>0</v>
      </c>
      <c r="K46" s="40">
        <f t="shared" si="20"/>
        <v>0</v>
      </c>
      <c r="L46" s="22">
        <f t="shared" si="21"/>
        <v>0</v>
      </c>
      <c r="M46" s="24">
        <f t="shared" si="22"/>
        <v>0</v>
      </c>
      <c r="N46" s="2"/>
      <c r="O46" s="2"/>
      <c r="P46" s="2"/>
      <c r="Q46" s="56"/>
      <c r="R46" s="56"/>
      <c r="S46" s="56"/>
      <c r="T46" s="56"/>
      <c r="U46" s="56"/>
      <c r="V46" s="56"/>
      <c r="W46" s="111"/>
      <c r="X46" s="119"/>
      <c r="Y46" s="111"/>
      <c r="Z46" s="117">
        <v>0.25</v>
      </c>
      <c r="AA46" s="148">
        <f t="shared" si="30"/>
        <v>0</v>
      </c>
      <c r="AB46" s="117">
        <v>0.25</v>
      </c>
      <c r="AC46" s="148">
        <f t="shared" si="31"/>
        <v>0</v>
      </c>
      <c r="AD46" s="117">
        <v>0.25</v>
      </c>
      <c r="AE46" s="148">
        <f t="shared" si="32"/>
        <v>0</v>
      </c>
      <c r="AF46" s="123">
        <f t="shared" si="23"/>
        <v>0.25</v>
      </c>
      <c r="AG46" s="148">
        <f t="shared" si="26"/>
        <v>0</v>
      </c>
      <c r="AH46" s="124">
        <f t="shared" ref="AH46:AI51" si="34">SUM(Z46,AB46,AD46,AF46)</f>
        <v>1</v>
      </c>
      <c r="AI46" s="113">
        <f t="shared" si="34"/>
        <v>0</v>
      </c>
      <c r="AJ46" s="149">
        <f t="shared" si="28"/>
        <v>0</v>
      </c>
      <c r="AK46" s="148">
        <f t="shared" si="2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5" ht="14" customHeight="1">
      <c r="A47" s="85" t="str">
        <f>IF([1]Summ!$A1082="","",[1]Summ!$A1082)</f>
        <v/>
      </c>
      <c r="B47" s="218">
        <f>IF([1]Summ!E1082="",0,[1]Summ!E1082)</f>
        <v>0</v>
      </c>
      <c r="C47" s="218">
        <f>IF([1]Summ!F1082="",0,[1]Summ!F1082)</f>
        <v>0</v>
      </c>
      <c r="D47" s="38">
        <f t="shared" si="24"/>
        <v>0</v>
      </c>
      <c r="E47" s="26">
        <v>1</v>
      </c>
      <c r="F47" s="26">
        <v>1</v>
      </c>
      <c r="G47" s="22">
        <f t="shared" si="25"/>
        <v>1.1199999999999999</v>
      </c>
      <c r="H47" s="24">
        <f t="shared" si="17"/>
        <v>1</v>
      </c>
      <c r="I47" s="39">
        <f t="shared" si="18"/>
        <v>0</v>
      </c>
      <c r="J47" s="38">
        <f t="shared" si="19"/>
        <v>0</v>
      </c>
      <c r="K47" s="40">
        <f t="shared" si="20"/>
        <v>0</v>
      </c>
      <c r="L47" s="22">
        <f t="shared" si="21"/>
        <v>0</v>
      </c>
      <c r="M47" s="24">
        <f t="shared" si="22"/>
        <v>0</v>
      </c>
      <c r="N47" s="2"/>
      <c r="O47" s="2"/>
      <c r="P47" s="2"/>
      <c r="Q47" s="56"/>
      <c r="R47" s="56"/>
      <c r="S47" s="56"/>
      <c r="T47" s="56"/>
      <c r="U47" s="56"/>
      <c r="V47" s="56"/>
      <c r="W47" s="111"/>
      <c r="X47" s="119"/>
      <c r="Y47" s="111"/>
      <c r="Z47" s="117">
        <v>0.25</v>
      </c>
      <c r="AA47" s="148">
        <f t="shared" si="30"/>
        <v>0</v>
      </c>
      <c r="AB47" s="117">
        <v>0.25</v>
      </c>
      <c r="AC47" s="148">
        <f t="shared" si="31"/>
        <v>0</v>
      </c>
      <c r="AD47" s="117">
        <v>0.25</v>
      </c>
      <c r="AE47" s="148">
        <f t="shared" si="32"/>
        <v>0</v>
      </c>
      <c r="AF47" s="123">
        <f t="shared" si="23"/>
        <v>0.25</v>
      </c>
      <c r="AG47" s="148">
        <f t="shared" si="26"/>
        <v>0</v>
      </c>
      <c r="AH47" s="124">
        <f t="shared" si="34"/>
        <v>1</v>
      </c>
      <c r="AI47" s="113">
        <f t="shared" si="34"/>
        <v>0</v>
      </c>
      <c r="AJ47" s="149">
        <f t="shared" si="28"/>
        <v>0</v>
      </c>
      <c r="AK47" s="148">
        <f t="shared" si="2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5" ht="14" customHeight="1">
      <c r="A48" s="85" t="str">
        <f>IF([1]Summ!$A1083="","",[1]Summ!$A1083)</f>
        <v/>
      </c>
      <c r="B48" s="218">
        <f>IF([1]Summ!E1083="",0,[1]Summ!E1083)</f>
        <v>0</v>
      </c>
      <c r="C48" s="218">
        <f>IF([1]Summ!F1083="",0,[1]Summ!F1083)</f>
        <v>0</v>
      </c>
      <c r="D48" s="38">
        <f t="shared" si="24"/>
        <v>0</v>
      </c>
      <c r="E48" s="26">
        <v>1</v>
      </c>
      <c r="F48" s="26">
        <v>1</v>
      </c>
      <c r="G48" s="22">
        <f t="shared" si="25"/>
        <v>1.1199999999999999</v>
      </c>
      <c r="H48" s="24">
        <f t="shared" si="17"/>
        <v>1</v>
      </c>
      <c r="I48" s="39">
        <f t="shared" si="18"/>
        <v>0</v>
      </c>
      <c r="J48" s="38">
        <f t="shared" si="19"/>
        <v>0</v>
      </c>
      <c r="K48" s="40">
        <f t="shared" si="20"/>
        <v>0</v>
      </c>
      <c r="L48" s="22">
        <f t="shared" si="21"/>
        <v>0</v>
      </c>
      <c r="M48" s="24">
        <f t="shared" si="22"/>
        <v>0</v>
      </c>
      <c r="N48" s="2"/>
      <c r="O48" s="2"/>
      <c r="P48" s="2"/>
      <c r="Q48" s="56"/>
      <c r="R48" s="56"/>
      <c r="S48" s="56"/>
      <c r="T48" s="56"/>
      <c r="U48" s="56"/>
      <c r="V48" s="56"/>
      <c r="W48" s="111"/>
      <c r="X48" s="119"/>
      <c r="Y48" s="111"/>
      <c r="Z48" s="117">
        <v>0.25</v>
      </c>
      <c r="AA48" s="148">
        <f t="shared" si="30"/>
        <v>0</v>
      </c>
      <c r="AB48" s="117">
        <v>0.25</v>
      </c>
      <c r="AC48" s="148">
        <f t="shared" si="31"/>
        <v>0</v>
      </c>
      <c r="AD48" s="117">
        <v>0.25</v>
      </c>
      <c r="AE48" s="148">
        <f t="shared" si="32"/>
        <v>0</v>
      </c>
      <c r="AF48" s="123">
        <f t="shared" si="23"/>
        <v>0.25</v>
      </c>
      <c r="AG48" s="148">
        <f t="shared" si="26"/>
        <v>0</v>
      </c>
      <c r="AH48" s="124">
        <f t="shared" si="34"/>
        <v>1</v>
      </c>
      <c r="AI48" s="113">
        <f t="shared" si="34"/>
        <v>0</v>
      </c>
      <c r="AJ48" s="149">
        <f t="shared" si="28"/>
        <v>0</v>
      </c>
      <c r="AK48" s="148">
        <f t="shared" si="2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8">
        <f>IF([1]Summ!E1084="",0,[1]Summ!E1084)</f>
        <v>0</v>
      </c>
      <c r="C49" s="218">
        <f>IF([1]Summ!F1084="",0,[1]Summ!F1084)</f>
        <v>0</v>
      </c>
      <c r="D49" s="38">
        <f t="shared" si="24"/>
        <v>0</v>
      </c>
      <c r="E49" s="26">
        <v>1</v>
      </c>
      <c r="F49" s="26">
        <v>1</v>
      </c>
      <c r="G49" s="22">
        <f t="shared" si="25"/>
        <v>1.1199999999999999</v>
      </c>
      <c r="H49" s="24">
        <f t="shared" si="17"/>
        <v>1</v>
      </c>
      <c r="I49" s="39">
        <f t="shared" si="18"/>
        <v>0</v>
      </c>
      <c r="J49" s="38">
        <f t="shared" si="19"/>
        <v>0</v>
      </c>
      <c r="K49" s="40">
        <f t="shared" si="20"/>
        <v>0</v>
      </c>
      <c r="L49" s="22">
        <f t="shared" si="21"/>
        <v>0</v>
      </c>
      <c r="M49" s="24">
        <f t="shared" si="22"/>
        <v>0</v>
      </c>
      <c r="N49" s="2"/>
      <c r="O49" s="2"/>
      <c r="P49" s="2"/>
      <c r="Q49" s="56"/>
      <c r="R49" s="56"/>
      <c r="S49" s="56"/>
      <c r="T49" s="56"/>
      <c r="U49" s="56"/>
      <c r="V49" s="56"/>
      <c r="W49" s="111"/>
      <c r="X49" s="119"/>
      <c r="Y49" s="111"/>
      <c r="Z49" s="117">
        <v>0.25</v>
      </c>
      <c r="AA49" s="148">
        <f t="shared" si="30"/>
        <v>0</v>
      </c>
      <c r="AB49" s="117">
        <v>0.25</v>
      </c>
      <c r="AC49" s="148">
        <f t="shared" si="31"/>
        <v>0</v>
      </c>
      <c r="AD49" s="117">
        <v>0.25</v>
      </c>
      <c r="AE49" s="148">
        <f t="shared" si="32"/>
        <v>0</v>
      </c>
      <c r="AF49" s="123">
        <f t="shared" si="23"/>
        <v>0.25</v>
      </c>
      <c r="AG49" s="148">
        <f t="shared" si="26"/>
        <v>0</v>
      </c>
      <c r="AH49" s="124">
        <f t="shared" si="34"/>
        <v>1</v>
      </c>
      <c r="AI49" s="113">
        <f t="shared" si="34"/>
        <v>0</v>
      </c>
      <c r="AJ49" s="149">
        <f t="shared" si="28"/>
        <v>0</v>
      </c>
      <c r="AK49" s="148">
        <f t="shared" si="2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8">
        <f>IF([1]Summ!E1085="",0,[1]Summ!E1085)</f>
        <v>0</v>
      </c>
      <c r="C50" s="218">
        <f>IF([1]Summ!F1085="",0,[1]Summ!F1085)</f>
        <v>0</v>
      </c>
      <c r="D50" s="38">
        <f t="shared" si="24"/>
        <v>0</v>
      </c>
      <c r="E50" s="26">
        <v>1</v>
      </c>
      <c r="F50" s="26">
        <v>1</v>
      </c>
      <c r="G50" s="22">
        <f t="shared" si="25"/>
        <v>1.1199999999999999</v>
      </c>
      <c r="H50" s="24">
        <f t="shared" si="17"/>
        <v>1</v>
      </c>
      <c r="I50" s="39">
        <f t="shared" si="18"/>
        <v>0</v>
      </c>
      <c r="J50" s="38">
        <f t="shared" si="19"/>
        <v>0</v>
      </c>
      <c r="K50" s="40">
        <f t="shared" si="20"/>
        <v>0</v>
      </c>
      <c r="L50" s="22">
        <f t="shared" si="21"/>
        <v>0</v>
      </c>
      <c r="M50" s="24">
        <f t="shared" si="22"/>
        <v>0</v>
      </c>
      <c r="N50" s="2"/>
      <c r="O50" s="2"/>
      <c r="P50" s="2"/>
      <c r="Q50" s="56"/>
      <c r="R50" s="56"/>
      <c r="S50" s="56"/>
      <c r="T50" s="56"/>
      <c r="U50" s="56"/>
      <c r="V50" s="56"/>
      <c r="W50" s="111"/>
      <c r="X50" s="119"/>
      <c r="Y50" s="111"/>
      <c r="Z50" s="117">
        <v>0.25</v>
      </c>
      <c r="AA50" s="148">
        <f t="shared" si="30"/>
        <v>0</v>
      </c>
      <c r="AB50" s="117">
        <v>0.25</v>
      </c>
      <c r="AC50" s="148">
        <f t="shared" si="31"/>
        <v>0</v>
      </c>
      <c r="AD50" s="117">
        <v>0.25</v>
      </c>
      <c r="AE50" s="148">
        <f t="shared" si="32"/>
        <v>0</v>
      </c>
      <c r="AF50" s="123">
        <f t="shared" si="23"/>
        <v>0.25</v>
      </c>
      <c r="AG50" s="148">
        <f t="shared" si="26"/>
        <v>0</v>
      </c>
      <c r="AH50" s="124">
        <f t="shared" si="34"/>
        <v>1</v>
      </c>
      <c r="AI50" s="113">
        <f t="shared" si="34"/>
        <v>0</v>
      </c>
      <c r="AJ50" s="149">
        <f t="shared" si="28"/>
        <v>0</v>
      </c>
      <c r="AK50" s="148">
        <f t="shared" si="2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8">
        <f>IF([1]Summ!E1086="",0,[1]Summ!E1086)</f>
        <v>0</v>
      </c>
      <c r="C51" s="218">
        <f>IF([1]Summ!F1086="",0,[1]Summ!F1086)</f>
        <v>0</v>
      </c>
      <c r="D51" s="38">
        <f t="shared" si="24"/>
        <v>0</v>
      </c>
      <c r="E51" s="26">
        <v>1</v>
      </c>
      <c r="F51" s="26">
        <v>1</v>
      </c>
      <c r="G51" s="22">
        <f t="shared" si="25"/>
        <v>1.1199999999999999</v>
      </c>
      <c r="H51" s="24">
        <f t="shared" si="17"/>
        <v>1</v>
      </c>
      <c r="I51" s="39">
        <f t="shared" si="18"/>
        <v>0</v>
      </c>
      <c r="J51" s="38">
        <f t="shared" si="19"/>
        <v>0</v>
      </c>
      <c r="K51" s="40">
        <f t="shared" si="20"/>
        <v>0</v>
      </c>
      <c r="L51" s="22">
        <f t="shared" si="21"/>
        <v>0</v>
      </c>
      <c r="M51" s="24">
        <f t="shared" si="22"/>
        <v>0</v>
      </c>
      <c r="N51" s="2"/>
      <c r="O51" s="2"/>
      <c r="P51" s="2"/>
      <c r="Q51" s="56"/>
      <c r="R51" s="56"/>
      <c r="S51" s="56"/>
      <c r="T51" s="56"/>
      <c r="U51" s="56"/>
      <c r="V51" s="56"/>
      <c r="W51" s="111"/>
      <c r="X51" s="119"/>
      <c r="Y51" s="111"/>
      <c r="Z51" s="117">
        <v>0.25</v>
      </c>
      <c r="AA51" s="150">
        <f t="shared" si="30"/>
        <v>0</v>
      </c>
      <c r="AB51" s="117">
        <v>0.25</v>
      </c>
      <c r="AC51" s="150">
        <f t="shared" si="31"/>
        <v>0</v>
      </c>
      <c r="AD51" s="117">
        <v>0.25</v>
      </c>
      <c r="AE51" s="150">
        <f t="shared" si="32"/>
        <v>0</v>
      </c>
      <c r="AF51" s="151">
        <f t="shared" si="23"/>
        <v>0.25</v>
      </c>
      <c r="AG51" s="150">
        <f t="shared" si="26"/>
        <v>0</v>
      </c>
      <c r="AH51" s="124">
        <f t="shared" si="34"/>
        <v>1</v>
      </c>
      <c r="AI51" s="113">
        <f t="shared" si="34"/>
        <v>0</v>
      </c>
      <c r="AJ51" s="152">
        <f t="shared" si="28"/>
        <v>0</v>
      </c>
      <c r="AK51" s="150">
        <f t="shared" si="2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41" t="s">
        <v>32</v>
      </c>
      <c r="B52" s="41">
        <f>SUM(B29:B51)</f>
        <v>55067.551470588238</v>
      </c>
      <c r="C52" s="41">
        <f>SUM(C29:C51)</f>
        <v>1608</v>
      </c>
      <c r="D52" s="42">
        <f>SUM(D29:D51)</f>
        <v>56675.551470588238</v>
      </c>
      <c r="E52" s="32"/>
      <c r="F52" s="32"/>
      <c r="G52" s="32"/>
      <c r="H52" s="31"/>
      <c r="I52" s="39">
        <f>SUM(I29:I51)</f>
        <v>61305.288132352944</v>
      </c>
      <c r="J52" s="39">
        <f>SUM(J29:J51)</f>
        <v>59771.149446485775</v>
      </c>
      <c r="K52" s="40">
        <f>SUM(K29:K51)</f>
        <v>0.99999999999999989</v>
      </c>
      <c r="L52" s="22">
        <f>SUM(L29:L51)</f>
        <v>1.0861112676182343</v>
      </c>
      <c r="M52" s="24">
        <f>SUM(M29:M51)</f>
        <v>1.0854150556959072</v>
      </c>
      <c r="N52" s="2"/>
      <c r="O52" s="2"/>
      <c r="P52" s="2"/>
      <c r="Q52" s="56"/>
      <c r="R52" s="56"/>
      <c r="S52" s="56"/>
      <c r="T52" s="56"/>
      <c r="U52" s="56"/>
      <c r="V52" s="56"/>
      <c r="W52" s="111"/>
      <c r="X52" s="153"/>
      <c r="Y52" s="111"/>
      <c r="Z52" s="138"/>
      <c r="AA52" s="154">
        <f>SUM(AA29:AA51)</f>
        <v>13916.088705515975</v>
      </c>
      <c r="AB52" s="138"/>
      <c r="AC52" s="154">
        <f>SUM(AC29:AC51)</f>
        <v>13788.790770550011</v>
      </c>
      <c r="AD52" s="138"/>
      <c r="AE52" s="154">
        <f>SUM(AE29:AE51)</f>
        <v>14039.611358798347</v>
      </c>
      <c r="AF52" s="138"/>
      <c r="AG52" s="154">
        <f>SUM(AG29:AG51)</f>
        <v>18026.658611621446</v>
      </c>
      <c r="AH52" s="138"/>
      <c r="AI52" s="154">
        <f>SUM(AI29:AI51)</f>
        <v>59771.149446485775</v>
      </c>
      <c r="AJ52" s="154">
        <f>SUM(AJ29:AJ51)</f>
        <v>27704.879476065984</v>
      </c>
      <c r="AK52" s="154">
        <f>SUM(AK29:AK51)</f>
        <v>32066.269970419791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3.5" customHeight="1">
      <c r="A53" s="43"/>
      <c r="B53" s="43"/>
      <c r="C53" s="43"/>
      <c r="D53" s="44"/>
      <c r="E53" s="14"/>
      <c r="F53" s="14"/>
      <c r="G53" s="14"/>
      <c r="H53" s="44"/>
      <c r="I53" s="14"/>
      <c r="J53" s="44"/>
      <c r="K53" s="45"/>
      <c r="L53" s="11"/>
      <c r="M53" s="10"/>
      <c r="N53" s="2"/>
      <c r="O53" s="2"/>
      <c r="P53" s="2"/>
      <c r="Q53" s="56"/>
      <c r="R53" s="56"/>
      <c r="S53" s="56"/>
      <c r="T53" s="56"/>
      <c r="U53" s="56"/>
      <c r="V53" s="56"/>
      <c r="W53" s="111"/>
      <c r="X53" s="119"/>
      <c r="Y53" s="111"/>
      <c r="Z53" s="144"/>
      <c r="AA53" s="155"/>
      <c r="AB53" s="144"/>
      <c r="AC53" s="155"/>
      <c r="AD53" s="144"/>
      <c r="AE53" s="155"/>
      <c r="AF53" s="144"/>
      <c r="AG53" s="155"/>
      <c r="AH53" s="144"/>
      <c r="AI53" s="155"/>
      <c r="AJ53" s="144"/>
      <c r="AK53" s="145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5.75" customHeight="1">
      <c r="A54" s="15" t="s">
        <v>33</v>
      </c>
      <c r="B54" s="46"/>
      <c r="C54" s="46"/>
      <c r="D54" s="38"/>
      <c r="E54" s="32"/>
      <c r="F54" s="32"/>
      <c r="G54" s="32"/>
      <c r="H54" s="31"/>
      <c r="I54" s="47"/>
      <c r="J54" s="48"/>
      <c r="K54" s="34" t="s">
        <v>34</v>
      </c>
      <c r="L54" s="2"/>
      <c r="M54" s="31"/>
      <c r="N54" s="2"/>
      <c r="O54" s="2"/>
      <c r="P54" s="2"/>
      <c r="Q54" s="56"/>
      <c r="R54" s="56"/>
      <c r="S54" s="56"/>
      <c r="T54" s="56"/>
      <c r="U54" s="56"/>
      <c r="V54" s="56"/>
      <c r="W54" s="111"/>
      <c r="X54" s="119"/>
      <c r="Y54" s="111"/>
      <c r="Z54" s="146"/>
      <c r="AA54" s="148"/>
      <c r="AB54" s="146"/>
      <c r="AC54" s="148"/>
      <c r="AD54" s="146"/>
      <c r="AE54" s="148"/>
      <c r="AF54" s="146"/>
      <c r="AG54" s="148"/>
      <c r="AH54" s="146"/>
      <c r="AI54" s="148"/>
      <c r="AJ54" s="146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49"/>
      <c r="B55" s="46" t="s">
        <v>7</v>
      </c>
      <c r="C55" s="46"/>
      <c r="D55" s="50"/>
      <c r="E55" s="19" t="s">
        <v>10</v>
      </c>
      <c r="F55" s="2" t="s">
        <v>28</v>
      </c>
      <c r="G55" s="2"/>
      <c r="H55" s="16" t="s">
        <v>12</v>
      </c>
      <c r="I55" s="19" t="s">
        <v>13</v>
      </c>
      <c r="J55" s="16" t="s">
        <v>14</v>
      </c>
      <c r="K55" s="37" t="s">
        <v>7</v>
      </c>
      <c r="L55" s="19" t="s">
        <v>15</v>
      </c>
      <c r="M55" s="16" t="s">
        <v>14</v>
      </c>
      <c r="N55" s="2"/>
      <c r="O55" s="2"/>
      <c r="P55" s="2"/>
      <c r="Q55" s="56"/>
      <c r="R55" s="56"/>
      <c r="S55" s="56"/>
      <c r="T55" s="56"/>
      <c r="U55" s="56"/>
      <c r="V55" s="56"/>
      <c r="W55" s="113"/>
      <c r="X55" s="119"/>
      <c r="Y55" s="111"/>
      <c r="Z55" s="146"/>
      <c r="AA55" s="148"/>
      <c r="AB55" s="146"/>
      <c r="AC55" s="148"/>
      <c r="AD55" s="146"/>
      <c r="AE55" s="148"/>
      <c r="AF55" s="146"/>
      <c r="AG55" s="148"/>
      <c r="AH55" s="146"/>
      <c r="AI55" s="148"/>
      <c r="AJ55" s="146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46" t="s">
        <v>30</v>
      </c>
      <c r="B56" s="46" t="s">
        <v>35</v>
      </c>
      <c r="C56" s="46"/>
      <c r="D56" s="38"/>
      <c r="E56" s="19" t="s">
        <v>18</v>
      </c>
      <c r="F56" s="2" t="s">
        <v>31</v>
      </c>
      <c r="G56" s="2"/>
      <c r="H56" s="16" t="s">
        <v>18</v>
      </c>
      <c r="I56" s="19" t="s">
        <v>35</v>
      </c>
      <c r="J56" s="16" t="s">
        <v>35</v>
      </c>
      <c r="K56" s="37" t="s">
        <v>35</v>
      </c>
      <c r="L56" s="19" t="s">
        <v>19</v>
      </c>
      <c r="M56" s="16" t="s">
        <v>35</v>
      </c>
      <c r="N56" s="2"/>
      <c r="O56" s="2"/>
      <c r="P56" s="2"/>
      <c r="Q56" s="56"/>
      <c r="R56" s="56"/>
      <c r="S56" s="56"/>
      <c r="T56" s="56"/>
      <c r="U56" s="56"/>
      <c r="V56" s="56"/>
      <c r="W56" s="111"/>
      <c r="X56" s="119"/>
      <c r="Y56" s="111"/>
      <c r="Z56" s="146"/>
      <c r="AA56" s="148"/>
      <c r="AB56" s="146"/>
      <c r="AC56" s="148"/>
      <c r="AD56" s="146"/>
      <c r="AE56" s="148"/>
      <c r="AF56" s="146"/>
      <c r="AG56" s="148"/>
      <c r="AH56" s="146"/>
      <c r="AI56" s="148"/>
      <c r="AJ56" s="146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111" t="s">
        <v>131</v>
      </c>
      <c r="B57" s="105">
        <f>SUM([1]Summ!E1031)</f>
        <v>15324.027716993891</v>
      </c>
      <c r="C57" s="46"/>
      <c r="D57" s="38"/>
      <c r="E57" s="26">
        <v>1</v>
      </c>
      <c r="F57" s="26">
        <v>1.1399999999999999</v>
      </c>
      <c r="G57" s="22"/>
      <c r="H57" s="24">
        <f>(E57*F57)</f>
        <v>1.1399999999999999</v>
      </c>
      <c r="I57" s="39">
        <f>I106*I$70</f>
        <v>17469.391597373033</v>
      </c>
      <c r="J57" s="51">
        <f>J106*I$70</f>
        <v>17469.391597373033</v>
      </c>
      <c r="K57" s="40">
        <f>B57/B$63</f>
        <v>0.27827690368943503</v>
      </c>
      <c r="L57" s="22">
        <f>(L106*G$29*F$9/F$7)/B$112</f>
        <v>0.31723567020595589</v>
      </c>
      <c r="M57" s="24">
        <f>J57/B$63</f>
        <v>0.31723567020595589</v>
      </c>
      <c r="N57" s="2"/>
      <c r="O57" s="2"/>
      <c r="P57" s="2"/>
      <c r="Q57" s="56"/>
      <c r="R57" s="56"/>
      <c r="S57" s="56"/>
      <c r="T57" s="56"/>
      <c r="U57" s="56"/>
      <c r="V57" s="56"/>
      <c r="W57" s="111"/>
      <c r="X57" s="119"/>
      <c r="Y57" s="111"/>
      <c r="Z57" s="117">
        <v>0.25</v>
      </c>
      <c r="AA57" s="148">
        <f>$J57*Z57</f>
        <v>4367.3478993432582</v>
      </c>
      <c r="AB57" s="117">
        <v>0.25</v>
      </c>
      <c r="AC57" s="148">
        <f>$J57*AB57</f>
        <v>4367.3478993432582</v>
      </c>
      <c r="AD57" s="117">
        <v>0.25</v>
      </c>
      <c r="AE57" s="148">
        <f>$J57*AD57</f>
        <v>4367.3478993432582</v>
      </c>
      <c r="AF57" s="123">
        <f>1-SUM(Z57,AB57,AD57)</f>
        <v>0.25</v>
      </c>
      <c r="AG57" s="148">
        <f>$J57*AF57</f>
        <v>4367.3478993432582</v>
      </c>
      <c r="AH57" s="156">
        <f>SUM(Z57,AB57,AD57,AF57)</f>
        <v>1</v>
      </c>
      <c r="AI57" s="148">
        <f>SUM(AA57,AC57,AE57,AG57)</f>
        <v>17469.391597373033</v>
      </c>
      <c r="AJ57" s="149">
        <f>(AA57+AC57)</f>
        <v>8734.6957986865164</v>
      </c>
      <c r="AK57" s="148">
        <f>(AE57+AG57)</f>
        <v>8734.6957986865164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111" t="s">
        <v>132</v>
      </c>
      <c r="B58" s="105">
        <f>SUM([1]Summ!E1032)</f>
        <v>11684</v>
      </c>
      <c r="C58" s="46"/>
      <c r="D58" s="38"/>
      <c r="E58" s="26">
        <v>1</v>
      </c>
      <c r="F58" s="26">
        <v>1.1100000000000001</v>
      </c>
      <c r="G58" s="22"/>
      <c r="H58" s="24">
        <f t="shared" ref="H58:H59" si="35">(E58*F58)</f>
        <v>1.1100000000000001</v>
      </c>
      <c r="I58" s="39">
        <f t="shared" ref="I58:I59" si="36">I107*I$70</f>
        <v>0</v>
      </c>
      <c r="J58" s="51">
        <f t="shared" ref="J58:J59" si="37">J107*I$70</f>
        <v>0</v>
      </c>
      <c r="K58" s="40">
        <f t="shared" ref="K58:K59" si="38">B58/B$63</f>
        <v>0.21217576754325937</v>
      </c>
      <c r="L58" s="22">
        <f t="shared" ref="L58:L59" si="39">(L107*G$29*F$9/F$7)/B$112</f>
        <v>0</v>
      </c>
      <c r="M58" s="24">
        <f t="shared" ref="M58:M59" si="40">J58/B$63</f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1"/>
      <c r="X58" s="119"/>
      <c r="Y58" s="111"/>
      <c r="Z58" s="117"/>
      <c r="AA58" s="148"/>
      <c r="AB58" s="117"/>
      <c r="AC58" s="148"/>
      <c r="AD58" s="117"/>
      <c r="AE58" s="148"/>
      <c r="AF58" s="123"/>
      <c r="AG58" s="148"/>
      <c r="AH58" s="156"/>
      <c r="AI58" s="148"/>
      <c r="AJ58" s="149"/>
      <c r="AK58" s="148"/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111" t="s">
        <v>133</v>
      </c>
      <c r="B59" s="105">
        <f>SUM([1]Summ!E1033)</f>
        <v>20808</v>
      </c>
      <c r="C59" s="46"/>
      <c r="D59" s="38"/>
      <c r="E59" s="26">
        <v>1</v>
      </c>
      <c r="F59" s="26">
        <v>1.1100000000000001</v>
      </c>
      <c r="G59" s="22"/>
      <c r="H59" s="24">
        <f t="shared" si="35"/>
        <v>1.1100000000000001</v>
      </c>
      <c r="I59" s="39">
        <f t="shared" si="36"/>
        <v>0</v>
      </c>
      <c r="J59" s="51">
        <f t="shared" si="37"/>
        <v>0</v>
      </c>
      <c r="K59" s="40">
        <f t="shared" si="38"/>
        <v>0.37786317793907404</v>
      </c>
      <c r="L59" s="22">
        <f t="shared" si="39"/>
        <v>0</v>
      </c>
      <c r="M59" s="24">
        <f t="shared" si="40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1"/>
      <c r="X59" s="119"/>
      <c r="Y59" s="111"/>
      <c r="Z59" s="117"/>
      <c r="AA59" s="148"/>
      <c r="AB59" s="117"/>
      <c r="AC59" s="148"/>
      <c r="AD59" s="117"/>
      <c r="AE59" s="148"/>
      <c r="AF59" s="123"/>
      <c r="AG59" s="148"/>
      <c r="AH59" s="156"/>
      <c r="AI59" s="148"/>
      <c r="AJ59" s="149"/>
      <c r="AK59" s="148"/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3.5" customHeight="1">
      <c r="A60" s="111" t="s">
        <v>134</v>
      </c>
      <c r="B60" s="105">
        <f>SUM([1]Summ!E1034)</f>
        <v>3780</v>
      </c>
      <c r="C60" s="46"/>
      <c r="D60" s="38"/>
      <c r="E60" s="26">
        <v>1</v>
      </c>
      <c r="F60" s="26">
        <v>1.1100000000000001</v>
      </c>
      <c r="G60" s="22"/>
      <c r="H60" s="24">
        <f>(E60*F60)</f>
        <v>1.1100000000000001</v>
      </c>
      <c r="I60" s="39">
        <f>I109*I$70</f>
        <v>0</v>
      </c>
      <c r="J60" s="51">
        <f>J109*I$70</f>
        <v>4195.8</v>
      </c>
      <c r="K60" s="40">
        <f>B60/B$63</f>
        <v>6.8642964850523819E-2</v>
      </c>
      <c r="L60" s="22">
        <f>(L109*G$29*F$9/F$7)/B$112</f>
        <v>7.3127631466134546E-2</v>
      </c>
      <c r="M60" s="24">
        <f>J60/B$63</f>
        <v>7.619369098408145E-2</v>
      </c>
      <c r="O60" s="2"/>
      <c r="P60" s="2"/>
      <c r="Q60" s="56"/>
      <c r="R60" s="56"/>
      <c r="S60" s="56"/>
      <c r="T60" s="56"/>
      <c r="U60" s="56"/>
      <c r="V60" s="56"/>
      <c r="W60" s="111"/>
      <c r="X60" s="119"/>
      <c r="Y60" s="111"/>
      <c r="Z60" s="117">
        <v>0.09</v>
      </c>
      <c r="AA60" s="148">
        <f>$H$60*$B$60*Z60</f>
        <v>377.62200000000001</v>
      </c>
      <c r="AB60" s="117">
        <v>0.09</v>
      </c>
      <c r="AC60" s="148">
        <f>$H$60*$B$60*AB60</f>
        <v>377.62200000000001</v>
      </c>
      <c r="AD60" s="117">
        <v>0.23</v>
      </c>
      <c r="AE60" s="148">
        <f>$H$60*$B$60*AD60</f>
        <v>965.03400000000011</v>
      </c>
      <c r="AF60" s="123">
        <f>1-SUM(Z60,AB60,AD60)</f>
        <v>0.59</v>
      </c>
      <c r="AG60" s="148">
        <f>$H$60*$B$60*AF60</f>
        <v>2475.5219999999999</v>
      </c>
      <c r="AH60" s="156">
        <f>SUM(Z60,AB60,AD60,AF60)</f>
        <v>1</v>
      </c>
      <c r="AI60" s="148">
        <f>SUM(AA60,AC60,AE60,AG60)</f>
        <v>4195.8</v>
      </c>
      <c r="AJ60" s="149">
        <f>(AA60+AC60)</f>
        <v>755.24400000000003</v>
      </c>
      <c r="AK60" s="148">
        <f>(AE60+AG60)</f>
        <v>3440.556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1" t="s">
        <v>135</v>
      </c>
      <c r="B61" s="52">
        <f>B22*B70</f>
        <v>2400.0000000000009</v>
      </c>
      <c r="C61" s="46"/>
      <c r="D61" s="38"/>
      <c r="E61" s="32"/>
      <c r="F61" s="32"/>
      <c r="G61" s="32"/>
      <c r="H61" s="31"/>
      <c r="I61" s="39">
        <f>I110*I$70</f>
        <v>43835.896534979904</v>
      </c>
      <c r="J61" s="51">
        <f>J110*I$70</f>
        <v>2833.1403350649052</v>
      </c>
      <c r="K61" s="40">
        <f>B61/B$63</f>
        <v>4.358283482572943E-2</v>
      </c>
      <c r="L61" s="22">
        <f>(L110*G$29*F$9/F$7)/B$112</f>
        <v>4.6430242200720354E-2</v>
      </c>
      <c r="M61" s="24">
        <f>J61/B$63</f>
        <v>5.1448453025518939E-2</v>
      </c>
      <c r="O61" s="2"/>
      <c r="P61" s="2"/>
      <c r="Q61" s="56"/>
      <c r="R61" s="56"/>
      <c r="S61" s="56"/>
      <c r="T61" s="56"/>
      <c r="U61" s="56"/>
      <c r="V61" s="56"/>
      <c r="W61" s="111"/>
      <c r="X61" s="119"/>
      <c r="Y61" s="111"/>
      <c r="Z61" s="157"/>
      <c r="AA61" s="148">
        <f>AA22*$I$70/4</f>
        <v>0</v>
      </c>
      <c r="AB61" s="157"/>
      <c r="AC61" s="148">
        <f>AC22*$I$70/4</f>
        <v>0</v>
      </c>
      <c r="AD61" s="157"/>
      <c r="AE61" s="148">
        <f>AE22*$I$70/4</f>
        <v>325.24571658339954</v>
      </c>
      <c r="AF61" s="157"/>
      <c r="AG61" s="148">
        <f>AG22*$I$70/4</f>
        <v>1107.9082000597398</v>
      </c>
      <c r="AH61" s="156"/>
      <c r="AI61" s="148">
        <f>SUM(AA61,AC61,AE61,AG61)</f>
        <v>1433.1539166431394</v>
      </c>
      <c r="AJ61" s="149">
        <f>(AA61+AC61)</f>
        <v>0</v>
      </c>
      <c r="AK61" s="148">
        <f>(AE61+AG61)</f>
        <v>1433.1539166431394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1" t="s">
        <v>55</v>
      </c>
      <c r="B62" s="52">
        <f>B63-B57-B60-B61</f>
        <v>33563.523753594345</v>
      </c>
      <c r="C62" s="46"/>
      <c r="D62" s="38"/>
      <c r="E62" s="32"/>
      <c r="F62" s="32"/>
      <c r="G62" s="32"/>
      <c r="H62" s="31"/>
      <c r="I62" s="47"/>
      <c r="J62" s="51">
        <f>J111*I$70</f>
        <v>35272.817514047834</v>
      </c>
      <c r="K62" s="40">
        <f>B62/B$63</f>
        <v>0.60949729663431162</v>
      </c>
      <c r="L62" s="22">
        <f>(L111*G$29*F$9/F$7)/B$112</f>
        <v>0.6493177237454234</v>
      </c>
      <c r="M62" s="24">
        <f>J62/B$63</f>
        <v>0.64053724148035096</v>
      </c>
      <c r="O62" s="2"/>
      <c r="P62" s="2"/>
      <c r="Q62" s="56"/>
      <c r="R62" s="56"/>
      <c r="S62" s="56"/>
      <c r="T62" s="56"/>
      <c r="U62" s="56"/>
      <c r="V62" s="56"/>
      <c r="W62" s="111"/>
      <c r="X62" s="158"/>
      <c r="Y62" s="162" t="s">
        <v>104</v>
      </c>
      <c r="Z62" s="159"/>
      <c r="AA62" s="150">
        <f>AA66-AA61</f>
        <v>9548.7408061727165</v>
      </c>
      <c r="AB62" s="159"/>
      <c r="AC62" s="150">
        <f>AA62+AC52-SUM(AC57,AC61)</f>
        <v>18970.183677379471</v>
      </c>
      <c r="AD62" s="159"/>
      <c r="AE62" s="150">
        <f>AC62+AE52-SUM(AE57,AE61)</f>
        <v>28317.201420251164</v>
      </c>
      <c r="AF62" s="159"/>
      <c r="AG62" s="150">
        <f>IF(SUM(AG6:AG21)+((AG52-AG57-$J$62)*4/I$70)&lt;1,0,AG52-AG57-$J$62-(1-SUM(AG6:AG21))*I$70/4)</f>
        <v>0</v>
      </c>
      <c r="AH62" s="135"/>
      <c r="AI62" s="150">
        <f>AI63-SUM(AI57,AI61)</f>
        <v>40868.60393246961</v>
      </c>
      <c r="AJ62" s="152">
        <f>AJ63-SUM(AJ57,AJ61)</f>
        <v>18970.183677379471</v>
      </c>
      <c r="AK62" s="150">
        <f>AJ62+AK63-SUM(AK57,AK61)</f>
        <v>40868.60393246961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 thickBot="1">
      <c r="A63" s="1" t="s">
        <v>32</v>
      </c>
      <c r="B63" s="52">
        <f>B52</f>
        <v>55067.551470588238</v>
      </c>
      <c r="C63" s="46"/>
      <c r="D63" s="38"/>
      <c r="E63" s="32"/>
      <c r="F63" s="32"/>
      <c r="G63" s="32"/>
      <c r="H63" s="31"/>
      <c r="I63" s="39">
        <f>I112*I$70</f>
        <v>61305.288132352936</v>
      </c>
      <c r="J63" s="51">
        <f>J112*I$70</f>
        <v>59771.149446485768</v>
      </c>
      <c r="K63" s="40">
        <f>SUM(K57:K62)</f>
        <v>1.5900389454823332</v>
      </c>
      <c r="L63" s="22">
        <f>SUM(L57:L62)</f>
        <v>1.0861112676182341</v>
      </c>
      <c r="M63" s="24">
        <f>SUM(M57:M62)</f>
        <v>1.0854150556959072</v>
      </c>
      <c r="O63" s="2"/>
      <c r="P63" s="2"/>
      <c r="Q63" s="56"/>
      <c r="R63" s="56"/>
      <c r="S63" s="56"/>
      <c r="T63" s="56"/>
      <c r="U63" s="56"/>
      <c r="V63" s="56"/>
      <c r="W63" s="111"/>
      <c r="X63" s="191"/>
      <c r="Y63" s="191"/>
      <c r="Z63" s="138"/>
      <c r="AA63" s="155">
        <f>AA52</f>
        <v>13916.088705515975</v>
      </c>
      <c r="AB63" s="138"/>
      <c r="AC63" s="154">
        <f>AC52</f>
        <v>13788.790770550011</v>
      </c>
      <c r="AD63" s="138"/>
      <c r="AE63" s="154">
        <f>AE52</f>
        <v>14039.611358798347</v>
      </c>
      <c r="AF63" s="138"/>
      <c r="AG63" s="154">
        <f>AG52</f>
        <v>18026.658611621446</v>
      </c>
      <c r="AH63" s="138"/>
      <c r="AI63" s="154">
        <f>SUM(AA63,AC63,AE63,AG63)</f>
        <v>59771.149446485782</v>
      </c>
      <c r="AJ63" s="155">
        <f>SUM(AA63,AC63)</f>
        <v>27704.879476065988</v>
      </c>
      <c r="AK63" s="155">
        <f>SUM(AE63,AG63)</f>
        <v>32066.269970419795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 thickBot="1">
      <c r="A64" s="100" t="s">
        <v>36</v>
      </c>
      <c r="B64" s="52"/>
      <c r="C64" s="46"/>
      <c r="D64" s="38"/>
      <c r="E64" s="32"/>
      <c r="F64" s="32"/>
      <c r="G64" s="32"/>
      <c r="H64" s="31"/>
      <c r="I64" s="39">
        <f>I113*I$70</f>
        <v>4195.8000000000056</v>
      </c>
      <c r="J64" s="101">
        <f>J113*I$70</f>
        <v>0</v>
      </c>
      <c r="K64" s="40"/>
      <c r="L64" s="22">
        <f>-(L113*G$29*F$9/F$7)/B$112</f>
        <v>-3.0660595179470107E-3</v>
      </c>
      <c r="M64" s="24">
        <f>-J64/B$63</f>
        <v>0</v>
      </c>
      <c r="O64" s="2"/>
      <c r="P64" s="2"/>
      <c r="Q64" s="56"/>
      <c r="R64" s="56"/>
      <c r="S64" s="56"/>
      <c r="T64" s="56"/>
      <c r="U64" s="56"/>
      <c r="V64" s="56"/>
      <c r="W64" s="111"/>
      <c r="X64" s="111"/>
      <c r="Y64" s="162" t="s">
        <v>102</v>
      </c>
      <c r="Z64" s="160"/>
      <c r="AA64" s="112">
        <f>AA23*$I$70/4</f>
        <v>0</v>
      </c>
      <c r="AB64" s="113"/>
      <c r="AC64" s="112">
        <f>AC23*$I$70/4</f>
        <v>0</v>
      </c>
      <c r="AD64" s="113"/>
      <c r="AE64" s="112">
        <f>AE23*$I$70/4</f>
        <v>0</v>
      </c>
      <c r="AF64" s="113"/>
      <c r="AG64" s="112">
        <f>AG23*$I$70/4</f>
        <v>0</v>
      </c>
      <c r="AH64" s="111"/>
      <c r="AI64" s="155">
        <f>SUM(AA64,AC64,AE64,AG64)</f>
        <v>0</v>
      </c>
      <c r="AJ64" s="154">
        <f>SUM(AA64,AC64)</f>
        <v>0</v>
      </c>
      <c r="AK64" s="161">
        <f>SUM(AE64,AG64)</f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53" t="s">
        <v>37</v>
      </c>
      <c r="B65" s="46"/>
      <c r="C65" s="46"/>
      <c r="D65" s="38"/>
      <c r="E65" s="32"/>
      <c r="F65" s="32"/>
      <c r="G65" s="32"/>
      <c r="H65" s="31"/>
      <c r="I65" s="47"/>
      <c r="J65" s="48"/>
      <c r="K65" s="32"/>
      <c r="L65" s="32"/>
      <c r="M65" s="48"/>
      <c r="N65" s="2"/>
      <c r="O65" s="2"/>
      <c r="P65" s="2"/>
      <c r="Q65" s="56"/>
      <c r="R65" s="56"/>
      <c r="S65" s="56"/>
      <c r="T65" s="56"/>
      <c r="U65" s="56"/>
      <c r="V65" s="56"/>
      <c r="W65" s="111"/>
      <c r="X65" s="111"/>
      <c r="Y65" s="162" t="s">
        <v>103</v>
      </c>
      <c r="Z65" s="111"/>
      <c r="AA65" s="113">
        <f>IF(SUM(AG6:AG21)+((AG52-AG57-$J$62)*4/I$70)&lt;1,0,AG52-AG57-$J$62-(1-SUM(AG6:AG21))*I$70/4)</f>
        <v>0</v>
      </c>
      <c r="AB65" s="113"/>
      <c r="AC65" s="113">
        <f>IF(AA62&lt;0,0,AA62)</f>
        <v>9548.7408061727165</v>
      </c>
      <c r="AD65" s="113"/>
      <c r="AE65" s="113">
        <f>AC62</f>
        <v>18970.183677379471</v>
      </c>
      <c r="AF65" s="113"/>
      <c r="AG65" s="113">
        <f>AE62</f>
        <v>28317.201420251164</v>
      </c>
      <c r="AH65" s="111"/>
      <c r="AI65" s="147"/>
      <c r="AJ65" s="111"/>
      <c r="AK65" s="147"/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4" customHeight="1">
      <c r="A66" s="46" t="s">
        <v>38</v>
      </c>
      <c r="B66" s="236" t="str">
        <f>[1]Summ!E1037</f>
        <v>maize</v>
      </c>
      <c r="C66" s="46"/>
      <c r="D66" s="38"/>
      <c r="E66" s="32"/>
      <c r="F66" s="32"/>
      <c r="G66" s="32"/>
      <c r="H66" s="31"/>
      <c r="I66" s="47"/>
      <c r="J66" s="48"/>
      <c r="K66" s="32"/>
      <c r="L66" s="32"/>
      <c r="M66" s="48"/>
      <c r="N66" s="32"/>
      <c r="O66" s="2"/>
      <c r="P66" s="2"/>
      <c r="Q66" s="56"/>
      <c r="R66" s="56"/>
      <c r="S66" s="56"/>
      <c r="T66" s="56"/>
      <c r="U66" s="56"/>
      <c r="V66" s="56"/>
      <c r="W66" s="111"/>
      <c r="X66" s="111"/>
      <c r="Y66" s="162" t="s">
        <v>63</v>
      </c>
      <c r="Z66" s="111"/>
      <c r="AA66" s="113">
        <f>AA52-AA57+IF(SUM(AG6:AG21)+((AG52-AG57-$J$62)*4/I$70)&lt;1,0,AG52-AG57-$J$62-(1-SUM(AG6:AG21))*I$70/4)</f>
        <v>9548.7408061727165</v>
      </c>
      <c r="AB66" s="113"/>
      <c r="AC66" s="113">
        <f>AA66-AA61+AC52-AC57</f>
        <v>18970.183677379471</v>
      </c>
      <c r="AD66" s="113"/>
      <c r="AE66" s="113">
        <f>AC66-AC61+AE52-AE57</f>
        <v>28642.447136834562</v>
      </c>
      <c r="AF66" s="113"/>
      <c r="AG66" s="113">
        <f>AE66-AE61+AG52-AG57</f>
        <v>41976.512132529351</v>
      </c>
      <c r="AH66" s="111"/>
      <c r="AI66" s="147"/>
      <c r="AJ66" s="111"/>
      <c r="AK66" s="147"/>
      <c r="AS66" s="25"/>
      <c r="AT66" s="25"/>
      <c r="AU66" s="25"/>
      <c r="AV66" s="25"/>
      <c r="AW66" s="25"/>
      <c r="AX66" s="25"/>
      <c r="AZ66" s="25"/>
      <c r="BA66" s="25"/>
      <c r="BB66" s="25"/>
      <c r="BC66" s="25"/>
      <c r="BD66" s="25"/>
      <c r="BE66" s="25"/>
      <c r="BI66" s="25"/>
      <c r="BJ66" s="25"/>
      <c r="BK66" s="25"/>
      <c r="BL66" s="25"/>
      <c r="BM66" s="25"/>
      <c r="BN66" s="25"/>
      <c r="BP66" s="25"/>
      <c r="BQ66" s="25"/>
      <c r="BR66" s="25"/>
      <c r="BS66" s="25"/>
      <c r="BT66" s="25"/>
      <c r="BU66" s="25"/>
      <c r="BX66" s="25"/>
      <c r="BY66" s="25"/>
      <c r="BZ66" s="25"/>
      <c r="CA66" s="25"/>
      <c r="CB66" s="25"/>
      <c r="CC66" s="25"/>
      <c r="CE66" s="25"/>
      <c r="CF66" s="25"/>
      <c r="CG66" s="25"/>
      <c r="CH66" s="25"/>
      <c r="CI66" s="25"/>
      <c r="CJ66" s="25"/>
    </row>
    <row r="67" spans="1:88" ht="14" customHeight="1">
      <c r="A67" s="46" t="s">
        <v>39</v>
      </c>
      <c r="B67" s="106">
        <f>[1]Summ!E1038</f>
        <v>0.58061985920496251</v>
      </c>
      <c r="C67" s="46"/>
      <c r="D67" s="38"/>
      <c r="E67" s="32"/>
      <c r="F67" s="32"/>
      <c r="G67" s="32"/>
      <c r="H67" s="31"/>
      <c r="I67" s="47"/>
      <c r="J67" s="48"/>
      <c r="K67" s="32"/>
      <c r="L67" s="32"/>
      <c r="M67" s="48"/>
      <c r="N67" s="32"/>
      <c r="O67" s="2"/>
      <c r="P67" s="2"/>
      <c r="Q67" s="56"/>
      <c r="R67" s="56"/>
      <c r="S67" s="56"/>
      <c r="T67" s="56"/>
      <c r="U67" s="56"/>
      <c r="V67" s="56"/>
      <c r="W67" s="111"/>
      <c r="X67" s="111"/>
      <c r="Y67" s="162"/>
      <c r="Z67" s="111"/>
      <c r="AA67" s="111"/>
      <c r="AB67" s="111"/>
      <c r="AC67" s="111"/>
      <c r="AD67" s="111"/>
      <c r="AE67" s="111"/>
      <c r="AF67" s="111"/>
      <c r="AG67" s="111"/>
      <c r="AH67" s="111"/>
      <c r="AI67" s="147"/>
      <c r="AJ67" s="111"/>
      <c r="AK67" s="147"/>
      <c r="AS67" s="25"/>
      <c r="AT67" s="25"/>
      <c r="AU67" s="25"/>
      <c r="AV67" s="25"/>
      <c r="AW67" s="25"/>
      <c r="AX67" s="25"/>
      <c r="AZ67" s="25"/>
      <c r="BA67" s="25"/>
      <c r="BB67" s="25"/>
      <c r="BC67" s="25"/>
      <c r="BD67" s="25"/>
      <c r="BE67" s="25"/>
      <c r="BI67" s="25"/>
      <c r="BJ67" s="25"/>
      <c r="BK67" s="25"/>
      <c r="BL67" s="25"/>
      <c r="BM67" s="25"/>
      <c r="BN67" s="25"/>
      <c r="BP67" s="25"/>
      <c r="BQ67" s="25"/>
      <c r="BR67" s="25"/>
      <c r="BS67" s="25"/>
      <c r="BT67" s="25"/>
      <c r="BU67" s="25"/>
      <c r="BX67" s="25"/>
      <c r="BY67" s="25"/>
      <c r="BZ67" s="25"/>
      <c r="CA67" s="25"/>
      <c r="CB67" s="25"/>
      <c r="CC67" s="25"/>
      <c r="CE67" s="25"/>
      <c r="CF67" s="25"/>
      <c r="CG67" s="25"/>
      <c r="CH67" s="25"/>
      <c r="CI67" s="25"/>
      <c r="CJ67" s="25"/>
    </row>
    <row r="68" spans="1:88" ht="14" customHeight="1">
      <c r="A68" s="46" t="s">
        <v>40</v>
      </c>
      <c r="B68" s="236">
        <f>[1]Summ!E1039</f>
        <v>6</v>
      </c>
      <c r="C68" s="46"/>
      <c r="D68" s="38"/>
      <c r="E68" s="32"/>
      <c r="F68" s="32"/>
      <c r="G68" s="32"/>
      <c r="H68" s="31"/>
      <c r="I68" s="47"/>
      <c r="J68" s="48"/>
      <c r="K68" s="32"/>
      <c r="L68" s="32"/>
      <c r="M68" s="48"/>
      <c r="N68" s="32"/>
      <c r="O68" s="2"/>
      <c r="P68" s="2"/>
      <c r="Q68" s="56"/>
      <c r="R68" s="56"/>
      <c r="S68" s="56"/>
      <c r="T68" s="56"/>
      <c r="U68" s="56"/>
      <c r="V68" s="56"/>
      <c r="W68" s="111"/>
      <c r="X68" s="111"/>
      <c r="Y68" s="162"/>
      <c r="Z68" s="144" t="s">
        <v>64</v>
      </c>
      <c r="AA68" s="160"/>
      <c r="AB68" s="160"/>
      <c r="AC68" s="160"/>
      <c r="AD68" s="160"/>
      <c r="AE68" s="160"/>
      <c r="AF68" s="160"/>
      <c r="AG68" s="145"/>
      <c r="AH68" s="115" t="s">
        <v>65</v>
      </c>
      <c r="AI68" s="147"/>
      <c r="AJ68" s="111"/>
      <c r="AK68" s="147"/>
      <c r="AS68" s="25"/>
      <c r="AT68" s="25"/>
      <c r="AU68" s="25"/>
      <c r="AV68" s="25"/>
      <c r="AW68" s="25"/>
      <c r="AX68" s="25"/>
      <c r="AZ68" s="25"/>
      <c r="BA68" s="25"/>
      <c r="BB68" s="25"/>
      <c r="BC68" s="25"/>
      <c r="BD68" s="25"/>
      <c r="BE68" s="25"/>
      <c r="BI68" s="25"/>
      <c r="BJ68" s="25"/>
      <c r="BK68" s="25"/>
      <c r="BL68" s="25"/>
      <c r="BM68" s="25"/>
      <c r="BN68" s="25"/>
      <c r="BP68" s="25"/>
      <c r="BQ68" s="25"/>
      <c r="BR68" s="25"/>
      <c r="BS68" s="25"/>
      <c r="BT68" s="25"/>
      <c r="BU68" s="25"/>
      <c r="BX68" s="25"/>
      <c r="BY68" s="25"/>
      <c r="BZ68" s="25"/>
      <c r="CA68" s="25"/>
      <c r="CB68" s="25"/>
      <c r="CC68" s="25"/>
      <c r="CE68" s="25"/>
      <c r="CF68" s="25"/>
      <c r="CG68" s="25"/>
      <c r="CH68" s="25"/>
      <c r="CI68" s="25"/>
      <c r="CJ68" s="25"/>
    </row>
    <row r="69" spans="1:88" ht="14" customHeight="1">
      <c r="A69" s="46" t="s">
        <v>41</v>
      </c>
      <c r="B69" s="106">
        <f>[1]Summ!E1040</f>
        <v>5</v>
      </c>
      <c r="C69" s="46"/>
      <c r="D69" s="38"/>
      <c r="E69" s="32"/>
      <c r="F69" s="32"/>
      <c r="G69" s="32"/>
      <c r="H69" s="31"/>
      <c r="I69" s="47"/>
      <c r="J69" s="48"/>
      <c r="K69" s="32"/>
      <c r="L69" s="32"/>
      <c r="M69" s="48"/>
      <c r="N69" s="32"/>
      <c r="O69" s="2"/>
      <c r="P69" s="2"/>
      <c r="Q69" s="56"/>
      <c r="R69" s="56"/>
      <c r="S69" s="56"/>
      <c r="T69" s="56"/>
      <c r="U69" s="56"/>
      <c r="V69" s="56"/>
      <c r="X69" s="111"/>
      <c r="Y69" s="162" t="s">
        <v>66</v>
      </c>
      <c r="Z69" s="163">
        <f>IF($AH$69=0,0,AA69/$AH$69)</f>
        <v>1</v>
      </c>
      <c r="AA69" s="164">
        <v>5.6</v>
      </c>
      <c r="AB69" s="163">
        <f>IF($AH$69=0,0,AC69/$AH$69)</f>
        <v>1</v>
      </c>
      <c r="AC69" s="164">
        <v>5.6</v>
      </c>
      <c r="AD69" s="163">
        <f>IF($AH$69=0,0,AE69/$AH$69)</f>
        <v>1</v>
      </c>
      <c r="AE69" s="164">
        <v>5.6</v>
      </c>
      <c r="AF69" s="163">
        <f>IF($AH$69=0,0,AG69/$AH$69)</f>
        <v>1</v>
      </c>
      <c r="AG69" s="164">
        <v>5.6</v>
      </c>
      <c r="AH69" s="165">
        <f>IF(PRODUCT(AA69,AC69,AE69,AG69)=0,0,SUM(AA69,AC69,AE69,AG69)/4)</f>
        <v>5.6</v>
      </c>
      <c r="AI69" s="147"/>
      <c r="AJ69" s="111"/>
      <c r="AK69" s="147"/>
      <c r="AS69" s="25"/>
      <c r="AT69" s="25"/>
      <c r="AU69" s="25"/>
      <c r="AV69" s="25"/>
      <c r="AW69" s="25"/>
      <c r="AX69" s="25"/>
      <c r="AZ69" s="25"/>
      <c r="BA69" s="25"/>
      <c r="BB69" s="25"/>
      <c r="BC69" s="25"/>
      <c r="BD69" s="25"/>
      <c r="BE69" s="25"/>
      <c r="BI69" s="25"/>
      <c r="BJ69" s="25"/>
      <c r="BK69" s="25"/>
      <c r="BL69" s="25"/>
      <c r="BM69" s="25"/>
      <c r="BN69" s="25"/>
      <c r="BP69" s="25"/>
      <c r="BQ69" s="25"/>
      <c r="BR69" s="25"/>
      <c r="BS69" s="25"/>
      <c r="BT69" s="25"/>
      <c r="BU69" s="25"/>
      <c r="BX69" s="25"/>
      <c r="BY69" s="25"/>
      <c r="BZ69" s="25"/>
      <c r="CA69" s="25"/>
      <c r="CB69" s="25"/>
      <c r="CC69" s="25"/>
      <c r="CE69" s="25"/>
      <c r="CF69" s="25"/>
      <c r="CG69" s="25"/>
      <c r="CH69" s="25"/>
      <c r="CI69" s="25"/>
      <c r="CJ69" s="25"/>
    </row>
    <row r="70" spans="1:88" ht="14" customHeight="1">
      <c r="A70" s="46" t="s">
        <v>42</v>
      </c>
      <c r="B70" s="46">
        <f>365*B67*B68*B69</f>
        <v>6357.7874582943405</v>
      </c>
      <c r="C70" s="46"/>
      <c r="D70" s="38"/>
      <c r="E70" s="32"/>
      <c r="F70" s="32"/>
      <c r="G70" s="32"/>
      <c r="H70" s="24">
        <f>G$29*F$9/F$7</f>
        <v>1.1199999999999999</v>
      </c>
      <c r="I70" s="39">
        <f xml:space="preserve"> B70*H70</f>
        <v>7120.7219532896606</v>
      </c>
      <c r="J70" s="48"/>
      <c r="K70" s="32"/>
      <c r="L70" s="32"/>
      <c r="M70" s="48"/>
      <c r="N70" s="32"/>
      <c r="O70" s="2"/>
      <c r="P70" s="2"/>
      <c r="Q70" s="56"/>
      <c r="R70" s="56"/>
      <c r="S70" s="56"/>
      <c r="T70" s="56"/>
      <c r="U70" s="56"/>
      <c r="V70" s="56"/>
      <c r="X70" s="111"/>
      <c r="Y70" s="162" t="s">
        <v>130</v>
      </c>
      <c r="Z70" s="111"/>
      <c r="AA70" s="166">
        <f>$I$70*Z69/4</f>
        <v>1780.1804883224152</v>
      </c>
      <c r="AB70" s="113"/>
      <c r="AC70" s="166">
        <f>$I$70*AB69/4</f>
        <v>1780.1804883224152</v>
      </c>
      <c r="AD70" s="113"/>
      <c r="AE70" s="166">
        <f>$I$70*AD69/4</f>
        <v>1780.1804883224152</v>
      </c>
      <c r="AF70" s="113"/>
      <c r="AG70" s="166">
        <f>$I$70*AF69/4</f>
        <v>1780.1804883224152</v>
      </c>
      <c r="AH70" s="166">
        <f>SUM(AA70,AC70,AE70,AG70)</f>
        <v>7120.7219532896606</v>
      </c>
      <c r="AI70" s="147"/>
      <c r="AJ70" s="111"/>
      <c r="AK70" s="147"/>
      <c r="AS70" s="25"/>
      <c r="AT70" s="25"/>
      <c r="AU70" s="25"/>
      <c r="AV70" s="25"/>
      <c r="AW70" s="25"/>
      <c r="AX70" s="25"/>
      <c r="AZ70" s="25"/>
      <c r="BA70" s="25"/>
      <c r="BB70" s="25"/>
      <c r="BC70" s="25"/>
      <c r="BD70" s="25"/>
      <c r="BE70" s="25"/>
      <c r="BI70" s="25"/>
      <c r="BJ70" s="25"/>
      <c r="BK70" s="25"/>
      <c r="BL70" s="25"/>
      <c r="BM70" s="25"/>
      <c r="BN70" s="25"/>
      <c r="BP70" s="25"/>
      <c r="BQ70" s="25"/>
      <c r="BR70" s="25"/>
      <c r="BS70" s="25"/>
      <c r="BT70" s="25"/>
      <c r="BU70" s="25"/>
      <c r="BX70" s="25"/>
      <c r="BY70" s="25"/>
      <c r="BZ70" s="25"/>
      <c r="CA70" s="25"/>
      <c r="CB70" s="25"/>
      <c r="CC70" s="25"/>
      <c r="CE70" s="25"/>
      <c r="CF70" s="25"/>
      <c r="CG70" s="25"/>
      <c r="CH70" s="25"/>
      <c r="CI70" s="25"/>
      <c r="CJ70" s="25"/>
    </row>
    <row r="71" spans="1:88" ht="14" customHeight="1" thickBot="1">
      <c r="A71" s="46" t="s">
        <v>136</v>
      </c>
      <c r="B71" s="240">
        <f>B57+((1-D21)*B70)</f>
        <v>19302.743580654889</v>
      </c>
      <c r="C71" s="46"/>
      <c r="D71" s="241"/>
      <c r="E71" s="64"/>
      <c r="F71" s="64"/>
      <c r="G71" s="64"/>
      <c r="H71" s="242">
        <f>IF(B71=0,0,I71/B71)</f>
        <v>1.1358775644021415</v>
      </c>
      <c r="I71" s="240">
        <f>(B57*H57)+((1-(D21*H21))*I70)</f>
        <v>21925.553364673349</v>
      </c>
      <c r="J71" s="48"/>
      <c r="K71" s="32"/>
      <c r="L71" s="32"/>
      <c r="M71" s="48"/>
      <c r="N71" s="32"/>
      <c r="O71" s="2"/>
      <c r="P71" s="2"/>
      <c r="Q71" s="56"/>
      <c r="R71" s="56"/>
      <c r="S71" s="56"/>
      <c r="T71" s="56"/>
      <c r="U71" s="56"/>
      <c r="V71" s="56"/>
      <c r="X71" s="111"/>
      <c r="Y71" s="162"/>
      <c r="Z71" s="111"/>
      <c r="AA71" s="111"/>
      <c r="AB71" s="111"/>
      <c r="AC71" s="111"/>
      <c r="AD71" s="111"/>
      <c r="AE71" s="111"/>
      <c r="AF71" s="111"/>
      <c r="AG71" s="111"/>
      <c r="AH71" s="111"/>
      <c r="AI71" s="147"/>
      <c r="AJ71" s="111"/>
      <c r="AK71" s="147"/>
      <c r="AS71" s="25"/>
      <c r="AT71" s="25"/>
      <c r="AU71" s="25"/>
      <c r="AV71" s="25"/>
      <c r="AW71" s="25"/>
      <c r="AX71" s="25"/>
      <c r="AZ71" s="25"/>
      <c r="BA71" s="25"/>
      <c r="BB71" s="25"/>
      <c r="BC71" s="25"/>
      <c r="BD71" s="25"/>
      <c r="BE71" s="25"/>
      <c r="BI71" s="25"/>
      <c r="BJ71" s="25"/>
      <c r="BK71" s="25"/>
      <c r="BL71" s="25"/>
      <c r="BM71" s="25"/>
      <c r="BN71" s="25"/>
      <c r="BP71" s="25"/>
      <c r="BQ71" s="25"/>
      <c r="BR71" s="25"/>
      <c r="BS71" s="25"/>
      <c r="BT71" s="25"/>
      <c r="BU71" s="25"/>
      <c r="BX71" s="25"/>
      <c r="BY71" s="25"/>
      <c r="BZ71" s="25"/>
      <c r="CA71" s="25"/>
      <c r="CB71" s="25"/>
      <c r="CC71" s="25"/>
      <c r="CE71" s="25"/>
      <c r="CF71" s="25"/>
      <c r="CG71" s="25"/>
      <c r="CH71" s="25"/>
      <c r="CI71" s="25"/>
      <c r="CJ71" s="25"/>
    </row>
    <row r="72" spans="1:88" ht="14" customHeight="1" thickBot="1">
      <c r="A72" s="46" t="s">
        <v>43</v>
      </c>
      <c r="B72" s="46"/>
      <c r="C72" s="46"/>
      <c r="D72" s="38"/>
      <c r="E72" s="32"/>
      <c r="F72" s="32"/>
      <c r="G72" s="32"/>
      <c r="H72" s="31"/>
      <c r="I72" s="47"/>
      <c r="J72" s="48"/>
      <c r="K72" s="32"/>
      <c r="L72" s="32"/>
      <c r="M72" s="48"/>
      <c r="N72" s="32"/>
      <c r="O72" s="2"/>
      <c r="P72" s="2"/>
      <c r="Q72" s="56"/>
      <c r="R72" s="56"/>
      <c r="S72" s="56"/>
      <c r="T72" s="56"/>
      <c r="U72" s="56"/>
      <c r="V72" s="56"/>
      <c r="X72" s="111"/>
      <c r="Y72" s="162"/>
      <c r="Z72" s="111"/>
      <c r="AA72" s="114"/>
      <c r="AB72" s="111"/>
      <c r="AC72" s="114"/>
      <c r="AD72" s="111"/>
      <c r="AE72" s="114"/>
      <c r="AF72" s="111"/>
      <c r="AG72" s="114"/>
      <c r="AH72" s="111"/>
      <c r="AI72" s="192"/>
      <c r="AJ72" s="193"/>
      <c r="AK72" s="194"/>
      <c r="AS72" s="25"/>
      <c r="AT72" s="25"/>
      <c r="AU72" s="25"/>
      <c r="AV72" s="25"/>
      <c r="AW72" s="25"/>
      <c r="AX72" s="25"/>
      <c r="AZ72" s="25"/>
      <c r="BA72" s="25"/>
      <c r="BB72" s="25"/>
      <c r="BC72" s="25"/>
      <c r="BD72" s="25"/>
      <c r="BE72" s="25"/>
      <c r="BI72" s="25"/>
      <c r="BJ72" s="25"/>
      <c r="BK72" s="25"/>
      <c r="BL72" s="25"/>
      <c r="BM72" s="25"/>
      <c r="BN72" s="25"/>
      <c r="BP72" s="25"/>
      <c r="BQ72" s="25"/>
      <c r="BR72" s="25"/>
      <c r="BS72" s="25"/>
      <c r="BT72" s="25"/>
      <c r="BU72" s="25"/>
      <c r="BX72" s="25"/>
      <c r="BY72" s="25"/>
      <c r="BZ72" s="25"/>
      <c r="CA72" s="25"/>
      <c r="CB72" s="25"/>
      <c r="CC72" s="25"/>
      <c r="CE72" s="25"/>
      <c r="CF72" s="25"/>
      <c r="CG72" s="25"/>
      <c r="CH72" s="25"/>
      <c r="CI72" s="25"/>
      <c r="CJ72" s="25"/>
    </row>
    <row r="73" spans="1:88" ht="14" customHeight="1">
      <c r="A73" s="107"/>
      <c r="B73" s="108"/>
      <c r="C73" s="46"/>
      <c r="D73" s="38"/>
      <c r="E73" s="32"/>
      <c r="F73" s="32"/>
      <c r="G73" s="32"/>
      <c r="H73" s="31"/>
      <c r="I73" s="47"/>
      <c r="J73" s="48"/>
      <c r="K73" s="32"/>
      <c r="L73" s="32"/>
      <c r="M73" s="48"/>
      <c r="N73" s="3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I73" s="79"/>
      <c r="AS73" s="25"/>
      <c r="AT73" s="25"/>
      <c r="AU73" s="25"/>
      <c r="AV73" s="25"/>
      <c r="AW73" s="25"/>
      <c r="AX73" s="25"/>
      <c r="AZ73" s="25"/>
      <c r="BA73" s="25"/>
      <c r="BB73" s="25"/>
      <c r="BC73" s="25"/>
      <c r="BD73" s="25"/>
      <c r="BE73" s="25"/>
      <c r="BI73" s="25"/>
      <c r="BJ73" s="25"/>
      <c r="BK73" s="25"/>
      <c r="BL73" s="25"/>
      <c r="BM73" s="25"/>
      <c r="BN73" s="25"/>
      <c r="BP73" s="25"/>
      <c r="BQ73" s="25"/>
      <c r="BR73" s="25"/>
      <c r="BS73" s="25"/>
      <c r="BT73" s="25"/>
      <c r="BU73" s="25"/>
      <c r="BX73" s="25"/>
      <c r="BY73" s="25"/>
      <c r="BZ73" s="25"/>
      <c r="CA73" s="25"/>
      <c r="CB73" s="25"/>
      <c r="CC73" s="25"/>
      <c r="CE73" s="25"/>
      <c r="CF73" s="25"/>
      <c r="CG73" s="25"/>
      <c r="CH73" s="25"/>
      <c r="CI73" s="25"/>
      <c r="CJ73" s="25"/>
    </row>
    <row r="74" spans="1:88" ht="14" customHeight="1">
      <c r="A74" s="39" t="s">
        <v>123</v>
      </c>
      <c r="B74" s="75">
        <f>[1]Summ!$I$892</f>
        <v>0</v>
      </c>
      <c r="C74" s="54"/>
      <c r="D74" s="12"/>
      <c r="E74" s="14"/>
      <c r="F74" s="14"/>
      <c r="G74" s="14"/>
      <c r="H74" s="12"/>
      <c r="I74" s="14"/>
      <c r="J74" s="12"/>
      <c r="K74" s="14"/>
      <c r="L74" s="14"/>
      <c r="M74" s="10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187"/>
      <c r="AB74" s="187"/>
      <c r="AC74" s="187"/>
      <c r="AD74" s="187"/>
      <c r="AE74" s="187"/>
      <c r="AF74" s="187"/>
      <c r="AG74" s="187"/>
      <c r="AH74" s="188"/>
      <c r="AI74" s="190"/>
      <c r="AJ74" s="79"/>
      <c r="AS74" s="25"/>
      <c r="AT74" s="25"/>
      <c r="AU74" s="25"/>
      <c r="AV74" s="25"/>
      <c r="AW74" s="25"/>
      <c r="AX74" s="25"/>
      <c r="AZ74" s="25"/>
      <c r="BA74" s="25"/>
      <c r="BB74" s="25"/>
      <c r="BC74" s="25"/>
      <c r="BD74" s="25"/>
      <c r="BE74" s="25"/>
      <c r="BI74" s="25"/>
      <c r="BJ74" s="25"/>
      <c r="BK74" s="25"/>
      <c r="BL74" s="25"/>
      <c r="BM74" s="25"/>
      <c r="BN74" s="25"/>
      <c r="BP74" s="25"/>
      <c r="BQ74" s="25"/>
      <c r="BR74" s="25"/>
      <c r="BS74" s="25"/>
      <c r="BT74" s="25"/>
      <c r="BU74" s="25"/>
      <c r="BX74" s="25"/>
      <c r="BY74" s="25"/>
      <c r="BZ74" s="25"/>
      <c r="CA74" s="25"/>
      <c r="CB74" s="25"/>
      <c r="CC74" s="25"/>
      <c r="CE74" s="25"/>
      <c r="CF74" s="25"/>
      <c r="CG74" s="25"/>
      <c r="CH74" s="25"/>
      <c r="CI74" s="25"/>
      <c r="CJ74" s="25"/>
    </row>
    <row r="75" spans="1:88" ht="15.75" customHeight="1">
      <c r="A75" s="55" t="str">
        <f>A26</f>
        <v>Income : Poor HHs</v>
      </c>
      <c r="B75" s="56"/>
      <c r="C75" s="56"/>
      <c r="D75" s="31"/>
      <c r="E75" s="2"/>
      <c r="F75" s="2"/>
      <c r="G75" s="2"/>
      <c r="H75" s="17"/>
      <c r="I75" s="2"/>
      <c r="J75" s="33"/>
      <c r="M75" s="57"/>
      <c r="N75" s="58"/>
      <c r="Q75" s="2"/>
      <c r="R75" s="2"/>
      <c r="S75" s="2"/>
      <c r="T75" s="2"/>
      <c r="U75" s="2"/>
      <c r="V75" s="2"/>
      <c r="W75" s="2"/>
      <c r="X75" s="2"/>
      <c r="Y75" s="2"/>
      <c r="Z75" s="2"/>
      <c r="AA75" s="39"/>
      <c r="AB75" s="2"/>
      <c r="AC75" s="2"/>
      <c r="AD75" s="2"/>
      <c r="AE75" s="2"/>
      <c r="AF75" s="2"/>
      <c r="AG75" s="2"/>
      <c r="AI75" s="79"/>
      <c r="AS75" s="25"/>
      <c r="AT75" s="25"/>
      <c r="AU75" s="25"/>
      <c r="AV75" s="25"/>
      <c r="AW75" s="25"/>
      <c r="AX75" s="25"/>
      <c r="AZ75" s="25"/>
      <c r="BA75" s="25"/>
      <c r="BB75" s="25"/>
      <c r="BC75" s="25"/>
      <c r="BD75" s="25"/>
      <c r="BE75" s="25"/>
      <c r="BI75" s="25"/>
      <c r="BJ75" s="25"/>
      <c r="BK75" s="25"/>
      <c r="BL75" s="25"/>
      <c r="BM75" s="25"/>
      <c r="BN75" s="25"/>
      <c r="BP75" s="25"/>
      <c r="BQ75" s="25"/>
      <c r="BR75" s="25"/>
      <c r="BS75" s="25"/>
      <c r="BT75" s="25"/>
      <c r="BU75" s="25"/>
      <c r="BX75" s="25"/>
      <c r="BY75" s="25"/>
      <c r="BZ75" s="25"/>
      <c r="CA75" s="25"/>
      <c r="CB75" s="25"/>
      <c r="CC75" s="25"/>
      <c r="CE75" s="25"/>
      <c r="CF75" s="25"/>
      <c r="CG75" s="25"/>
      <c r="CH75" s="25"/>
      <c r="CI75" s="25"/>
      <c r="CJ75" s="25"/>
    </row>
    <row r="76" spans="1:88" ht="14" customHeight="1">
      <c r="A76" s="56"/>
      <c r="B76" s="59" t="s">
        <v>7</v>
      </c>
      <c r="C76" s="59" t="s">
        <v>8</v>
      </c>
      <c r="D76" s="16" t="s">
        <v>9</v>
      </c>
      <c r="H76" s="16" t="s">
        <v>12</v>
      </c>
      <c r="I76" s="19" t="s">
        <v>13</v>
      </c>
      <c r="J76" s="16" t="s">
        <v>14</v>
      </c>
      <c r="K76" s="19" t="s">
        <v>7</v>
      </c>
      <c r="L76" s="19" t="s">
        <v>15</v>
      </c>
      <c r="M76" s="57" t="str">
        <f t="shared" ref="M76:M101" si="41">(J76)</f>
        <v>Curr.</v>
      </c>
      <c r="N76" s="58"/>
      <c r="Q76" s="2"/>
      <c r="R76" s="2"/>
      <c r="S76" s="2"/>
      <c r="T76" s="2"/>
      <c r="U76" s="2"/>
      <c r="V76" s="2"/>
      <c r="W76" s="2"/>
      <c r="X76" s="2"/>
      <c r="Y76" s="2"/>
      <c r="Z76" s="2"/>
      <c r="AA76" s="39"/>
      <c r="AB76" s="2"/>
      <c r="AC76" s="39"/>
      <c r="AD76" s="2"/>
      <c r="AE76" s="39"/>
      <c r="AF76" s="2"/>
      <c r="AG76" s="39"/>
      <c r="AS76" s="25"/>
      <c r="AT76" s="25"/>
      <c r="AU76" s="25"/>
      <c r="AV76" s="25"/>
      <c r="AW76" s="25"/>
      <c r="AX76" s="25"/>
      <c r="AZ76" s="25"/>
      <c r="BA76" s="25"/>
      <c r="BB76" s="25"/>
      <c r="BC76" s="25"/>
      <c r="BD76" s="25"/>
      <c r="BE76" s="25"/>
      <c r="BI76" s="25"/>
      <c r="BJ76" s="25"/>
      <c r="BK76" s="25"/>
      <c r="BL76" s="25"/>
      <c r="BM76" s="25"/>
      <c r="BN76" s="25"/>
      <c r="BP76" s="25"/>
      <c r="BQ76" s="25"/>
      <c r="BR76" s="25"/>
      <c r="BS76" s="25"/>
      <c r="BT76" s="25"/>
      <c r="BU76" s="25"/>
      <c r="BX76" s="25"/>
      <c r="BY76" s="25"/>
      <c r="BZ76" s="25"/>
      <c r="CA76" s="25"/>
      <c r="CB76" s="25"/>
      <c r="CC76" s="25"/>
      <c r="CE76" s="25"/>
      <c r="CF76" s="25"/>
      <c r="CG76" s="25"/>
      <c r="CH76" s="25"/>
      <c r="CI76" s="25"/>
      <c r="CJ76" s="25"/>
    </row>
    <row r="77" spans="1:88" ht="14" customHeight="1">
      <c r="A77" s="56" t="s">
        <v>44</v>
      </c>
      <c r="B77" s="59" t="s">
        <v>16</v>
      </c>
      <c r="C77" s="59" t="s">
        <v>17</v>
      </c>
      <c r="D77" s="16" t="s">
        <v>16</v>
      </c>
      <c r="H77" s="16" t="s">
        <v>18</v>
      </c>
      <c r="I77" s="19" t="s">
        <v>16</v>
      </c>
      <c r="J77" s="16" t="s">
        <v>16</v>
      </c>
      <c r="K77" s="19" t="s">
        <v>16</v>
      </c>
      <c r="L77" s="19" t="s">
        <v>19</v>
      </c>
      <c r="M77" s="57" t="str">
        <f t="shared" si="41"/>
        <v>Access</v>
      </c>
      <c r="N77" s="58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9"/>
      <c r="AS77" s="25"/>
      <c r="AT77" s="25"/>
      <c r="AU77" s="25"/>
      <c r="AV77" s="25"/>
      <c r="AW77" s="25"/>
      <c r="AX77" s="25"/>
      <c r="AZ77" s="25"/>
      <c r="BA77" s="25"/>
      <c r="BB77" s="25"/>
      <c r="BC77" s="25"/>
      <c r="BD77" s="25"/>
      <c r="BE77" s="25"/>
      <c r="BI77" s="25"/>
      <c r="BJ77" s="25"/>
      <c r="BK77" s="25"/>
      <c r="BL77" s="25"/>
      <c r="BM77" s="25"/>
      <c r="BN77" s="25"/>
      <c r="BP77" s="25"/>
      <c r="BQ77" s="25"/>
      <c r="BR77" s="25"/>
      <c r="BS77" s="25"/>
      <c r="BT77" s="25"/>
      <c r="BU77" s="25"/>
      <c r="BX77" s="25"/>
      <c r="BY77" s="25"/>
      <c r="BZ77" s="25"/>
      <c r="CA77" s="25"/>
      <c r="CB77" s="25"/>
      <c r="CC77" s="25"/>
      <c r="CE77" s="25"/>
      <c r="CF77" s="25"/>
      <c r="CG77" s="25"/>
      <c r="CH77" s="25"/>
      <c r="CI77" s="25"/>
      <c r="CJ77" s="25"/>
    </row>
    <row r="78" spans="1:88" ht="14" customHeight="1">
      <c r="A78" s="56" t="str">
        <f t="shared" ref="A78:A100" si="42">IF(A29="","",A29)</f>
        <v>Cattle sales - local: no. sold</v>
      </c>
      <c r="B78" s="60">
        <f t="shared" ref="B78:C100" si="43">IF(B29="","",(B29/$B$70))</f>
        <v>0.50135365815691146</v>
      </c>
      <c r="C78" s="60">
        <f t="shared" si="43"/>
        <v>0</v>
      </c>
      <c r="D78" s="24">
        <f>SUM(B78,C78)</f>
        <v>0.50135365815691146</v>
      </c>
      <c r="H78" s="24">
        <f t="shared" ref="H78:H100" si="44">(E29*F29/G29*F$7/F$9)</f>
        <v>0.99107142857142871</v>
      </c>
      <c r="I78" s="22">
        <f t="shared" ref="I78:I100" si="45">(D78*H78)</f>
        <v>0.49687728620908195</v>
      </c>
      <c r="J78" s="24">
        <f t="shared" ref="J78:J100" si="46">IF(I$24&lt;=1+I$113,I78,L78+J$25*(I78-L78))</f>
        <v>0.49687728620908195</v>
      </c>
      <c r="K78" s="22">
        <f t="shared" ref="K78:K100" si="47">IF(B78="",0,B78)</f>
        <v>0.50135365815691146</v>
      </c>
      <c r="L78" s="22">
        <f t="shared" ref="L78:L100" si="48">(K78*H78)</f>
        <v>0.49687728620908195</v>
      </c>
      <c r="M78" s="233">
        <f t="shared" si="41"/>
        <v>0.49687728620908195</v>
      </c>
      <c r="N78" s="235">
        <v>5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39"/>
      <c r="AB78" s="2"/>
      <c r="AC78" s="39"/>
      <c r="AD78" s="2"/>
      <c r="AE78" s="39"/>
      <c r="AF78" s="2"/>
      <c r="AG78" s="39"/>
      <c r="AS78" s="25"/>
      <c r="AT78" s="25"/>
      <c r="AU78" s="25"/>
      <c r="AV78" s="25"/>
      <c r="AW78" s="25"/>
      <c r="AX78" s="25"/>
      <c r="AZ78" s="25"/>
      <c r="BA78" s="25"/>
      <c r="BB78" s="25"/>
      <c r="BC78" s="25"/>
      <c r="BD78" s="25"/>
      <c r="BE78" s="25"/>
      <c r="BI78" s="25"/>
      <c r="BJ78" s="25"/>
      <c r="BK78" s="25"/>
      <c r="BL78" s="25"/>
      <c r="BM78" s="25"/>
      <c r="BN78" s="25"/>
      <c r="BP78" s="25"/>
      <c r="BQ78" s="25"/>
      <c r="BR78" s="25"/>
      <c r="BS78" s="25"/>
      <c r="BT78" s="25"/>
      <c r="BU78" s="25"/>
      <c r="BX78" s="25"/>
      <c r="BY78" s="25"/>
      <c r="BZ78" s="25"/>
      <c r="CA78" s="25"/>
      <c r="CB78" s="25"/>
      <c r="CC78" s="25"/>
      <c r="CE78" s="25"/>
      <c r="CF78" s="25"/>
      <c r="CG78" s="25"/>
      <c r="CH78" s="25"/>
      <c r="CI78" s="25"/>
      <c r="CJ78" s="25"/>
    </row>
    <row r="79" spans="1:88" ht="14" customHeight="1">
      <c r="A79" s="56" t="str">
        <f t="shared" si="42"/>
        <v>Goat sales - local: no. sold</v>
      </c>
      <c r="B79" s="60">
        <f t="shared" si="43"/>
        <v>8.3362333748443318E-2</v>
      </c>
      <c r="C79" s="60">
        <f t="shared" si="43"/>
        <v>0</v>
      </c>
      <c r="D79" s="24">
        <f t="shared" ref="D79:D100" si="49">SUM(B79,C79)</f>
        <v>8.3362333748443318E-2</v>
      </c>
      <c r="H79" s="24">
        <f t="shared" si="44"/>
        <v>0.97321428571428581</v>
      </c>
      <c r="I79" s="22">
        <f t="shared" si="45"/>
        <v>8.1129414094467167E-2</v>
      </c>
      <c r="J79" s="24">
        <f t="shared" si="46"/>
        <v>8.1129414094467167E-2</v>
      </c>
      <c r="K79" s="22">
        <f t="shared" si="47"/>
        <v>8.3362333748443318E-2</v>
      </c>
      <c r="L79" s="22">
        <f t="shared" si="48"/>
        <v>8.1129414094467167E-2</v>
      </c>
      <c r="M79" s="233">
        <f t="shared" si="41"/>
        <v>8.1129414094467167E-2</v>
      </c>
      <c r="N79" s="235">
        <v>5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74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56" t="str">
        <f t="shared" si="42"/>
        <v>Chicken sales: no. sold</v>
      </c>
      <c r="B80" s="60">
        <f t="shared" si="43"/>
        <v>1.7301616438356161E-3</v>
      </c>
      <c r="C80" s="60">
        <f t="shared" si="43"/>
        <v>0</v>
      </c>
      <c r="D80" s="24">
        <f t="shared" si="49"/>
        <v>1.7301616438356161E-3</v>
      </c>
      <c r="H80" s="24">
        <f t="shared" si="44"/>
        <v>0.97321428571428581</v>
      </c>
      <c r="I80" s="22">
        <f t="shared" si="45"/>
        <v>1.6838180283757337E-3</v>
      </c>
      <c r="J80" s="24">
        <f t="shared" si="46"/>
        <v>1.6838180283757337E-3</v>
      </c>
      <c r="K80" s="22">
        <f t="shared" si="47"/>
        <v>1.7301616438356161E-3</v>
      </c>
      <c r="L80" s="22">
        <f t="shared" si="48"/>
        <v>1.6838180283757337E-3</v>
      </c>
      <c r="M80" s="233">
        <f t="shared" si="41"/>
        <v>1.6838180283757337E-3</v>
      </c>
      <c r="N80" s="235">
        <v>5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56" t="str">
        <f t="shared" si="42"/>
        <v>Maize: kg produced</v>
      </c>
      <c r="B81" s="60">
        <f t="shared" si="43"/>
        <v>0</v>
      </c>
      <c r="C81" s="60">
        <f t="shared" si="43"/>
        <v>0</v>
      </c>
      <c r="D81" s="24">
        <f t="shared" si="49"/>
        <v>0</v>
      </c>
      <c r="H81" s="24">
        <f t="shared" si="44"/>
        <v>0.91071428571428581</v>
      </c>
      <c r="I81" s="22">
        <f t="shared" si="45"/>
        <v>0</v>
      </c>
      <c r="J81" s="24">
        <f t="shared" si="46"/>
        <v>0</v>
      </c>
      <c r="K81" s="22">
        <f t="shared" si="47"/>
        <v>0</v>
      </c>
      <c r="L81" s="22">
        <f t="shared" si="48"/>
        <v>0</v>
      </c>
      <c r="M81" s="233">
        <f t="shared" si="41"/>
        <v>0</v>
      </c>
      <c r="N81" s="235">
        <v>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56" t="str">
        <f t="shared" si="42"/>
        <v>Beans: kg produced</v>
      </c>
      <c r="B82" s="60">
        <f t="shared" si="43"/>
        <v>0</v>
      </c>
      <c r="C82" s="60">
        <f t="shared" si="43"/>
        <v>0</v>
      </c>
      <c r="D82" s="24">
        <f t="shared" si="49"/>
        <v>0</v>
      </c>
      <c r="H82" s="24">
        <f t="shared" si="44"/>
        <v>1.0089285714285714</v>
      </c>
      <c r="I82" s="22">
        <f t="shared" si="45"/>
        <v>0</v>
      </c>
      <c r="J82" s="24">
        <f t="shared" si="46"/>
        <v>0</v>
      </c>
      <c r="K82" s="22">
        <f t="shared" si="47"/>
        <v>0</v>
      </c>
      <c r="L82" s="22">
        <f t="shared" si="48"/>
        <v>0</v>
      </c>
      <c r="M82" s="233">
        <f t="shared" si="41"/>
        <v>0</v>
      </c>
      <c r="N82" s="235">
        <v>2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56" t="str">
        <f t="shared" si="42"/>
        <v>Water melon: no. local meas</v>
      </c>
      <c r="B83" s="60">
        <f t="shared" si="43"/>
        <v>6.2914968866749674E-2</v>
      </c>
      <c r="C83" s="60">
        <f t="shared" si="43"/>
        <v>-6.2914968866749674E-2</v>
      </c>
      <c r="D83" s="24">
        <f t="shared" si="49"/>
        <v>0</v>
      </c>
      <c r="H83" s="24">
        <f t="shared" si="44"/>
        <v>1.0892857142857144</v>
      </c>
      <c r="I83" s="22">
        <f t="shared" si="45"/>
        <v>0</v>
      </c>
      <c r="J83" s="24">
        <f t="shared" si="46"/>
        <v>7.0288922640239837E-2</v>
      </c>
      <c r="K83" s="22">
        <f t="shared" si="47"/>
        <v>6.2914968866749674E-2</v>
      </c>
      <c r="L83" s="22">
        <f t="shared" si="48"/>
        <v>6.8532376801280909E-2</v>
      </c>
      <c r="M83" s="233">
        <f t="shared" si="41"/>
        <v>7.0288922640239837E-2</v>
      </c>
      <c r="N83" s="235">
        <v>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>
      <c r="A84" s="56" t="str">
        <f t="shared" si="42"/>
        <v>WILD FOODS -- see worksheet Data 3</v>
      </c>
      <c r="B84" s="60">
        <f t="shared" si="43"/>
        <v>0</v>
      </c>
      <c r="C84" s="60">
        <f t="shared" si="43"/>
        <v>0.11796556662515564</v>
      </c>
      <c r="D84" s="24">
        <f t="shared" si="49"/>
        <v>0.11796556662515564</v>
      </c>
      <c r="H84" s="24">
        <f t="shared" si="44"/>
        <v>0.71428571428571441</v>
      </c>
      <c r="I84" s="22">
        <f t="shared" si="45"/>
        <v>8.4261119017968331E-2</v>
      </c>
      <c r="J84" s="24">
        <f t="shared" si="46"/>
        <v>-2.1596875069167195E-3</v>
      </c>
      <c r="K84" s="22">
        <f t="shared" si="47"/>
        <v>0</v>
      </c>
      <c r="L84" s="22">
        <f t="shared" si="48"/>
        <v>0</v>
      </c>
      <c r="M84" s="233">
        <f t="shared" si="41"/>
        <v>-2.1596875069167195E-3</v>
      </c>
      <c r="N84" s="235">
        <v>6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>
      <c r="A85" s="56" t="str">
        <f t="shared" si="42"/>
        <v>Agricultural cash income -- see Data2</v>
      </c>
      <c r="B85" s="60">
        <f t="shared" si="43"/>
        <v>0.53163148692403484</v>
      </c>
      <c r="C85" s="60">
        <f t="shared" si="43"/>
        <v>0</v>
      </c>
      <c r="D85" s="24">
        <f t="shared" si="49"/>
        <v>0.53163148692403484</v>
      </c>
      <c r="H85" s="24">
        <f t="shared" si="44"/>
        <v>0.862232142857143</v>
      </c>
      <c r="I85" s="22">
        <f t="shared" si="45"/>
        <v>0.45838975618083977</v>
      </c>
      <c r="J85" s="24">
        <f t="shared" si="46"/>
        <v>0.45838975618083977</v>
      </c>
      <c r="K85" s="22">
        <f t="shared" si="47"/>
        <v>0.53163148692403484</v>
      </c>
      <c r="L85" s="22">
        <f t="shared" si="48"/>
        <v>0.45838975618083977</v>
      </c>
      <c r="M85" s="233">
        <f t="shared" si="41"/>
        <v>0.45838975618083977</v>
      </c>
      <c r="N85" s="235">
        <v>7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56" t="str">
        <f t="shared" si="42"/>
        <v>Construction cash income -- see Data2</v>
      </c>
      <c r="B86" s="60">
        <f t="shared" si="43"/>
        <v>0.80845734993773333</v>
      </c>
      <c r="C86" s="60">
        <f t="shared" si="43"/>
        <v>0</v>
      </c>
      <c r="D86" s="24">
        <f t="shared" si="49"/>
        <v>0.80845734993773333</v>
      </c>
      <c r="H86" s="24">
        <f t="shared" si="44"/>
        <v>0.98214285714285743</v>
      </c>
      <c r="I86" s="22">
        <f t="shared" si="45"/>
        <v>0.79402061154598835</v>
      </c>
      <c r="J86" s="24">
        <f t="shared" si="46"/>
        <v>0.79402061154598835</v>
      </c>
      <c r="K86" s="22">
        <f t="shared" si="47"/>
        <v>0.80845734993773333</v>
      </c>
      <c r="L86" s="22">
        <f t="shared" si="48"/>
        <v>0.79402061154598835</v>
      </c>
      <c r="M86" s="233">
        <f t="shared" si="41"/>
        <v>0.79402061154598835</v>
      </c>
      <c r="N86" s="235">
        <v>7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56" t="str">
        <f t="shared" si="42"/>
        <v>Domestic work cash income -- see Data2</v>
      </c>
      <c r="B87" s="60">
        <f t="shared" si="43"/>
        <v>0.61342094645080936</v>
      </c>
      <c r="C87" s="60">
        <f t="shared" si="43"/>
        <v>0</v>
      </c>
      <c r="D87" s="24">
        <f t="shared" si="49"/>
        <v>0.61342094645080936</v>
      </c>
      <c r="H87" s="24">
        <f t="shared" si="44"/>
        <v>0.98214285714285743</v>
      </c>
      <c r="I87" s="22">
        <f t="shared" si="45"/>
        <v>0.60246700097847361</v>
      </c>
      <c r="J87" s="24">
        <f t="shared" si="46"/>
        <v>0.60246700097847361</v>
      </c>
      <c r="K87" s="22">
        <f t="shared" si="47"/>
        <v>0.61342094645080936</v>
      </c>
      <c r="L87" s="22">
        <f t="shared" si="48"/>
        <v>0.60246700097847361</v>
      </c>
      <c r="M87" s="233">
        <f t="shared" si="41"/>
        <v>0.60246700097847361</v>
      </c>
      <c r="N87" s="235">
        <v>7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4" customHeight="1">
      <c r="A88" s="56" t="str">
        <f t="shared" si="42"/>
        <v>Labour migration(formal employment): no. people per HH</v>
      </c>
      <c r="B88" s="60">
        <f t="shared" si="43"/>
        <v>1.8874490660024903</v>
      </c>
      <c r="C88" s="60">
        <f t="shared" si="43"/>
        <v>0</v>
      </c>
      <c r="D88" s="24">
        <f t="shared" si="49"/>
        <v>1.8874490660024903</v>
      </c>
      <c r="H88" s="24">
        <f t="shared" si="44"/>
        <v>0.95535714285714302</v>
      </c>
      <c r="I88" s="22">
        <f t="shared" si="45"/>
        <v>1.8031879469845222</v>
      </c>
      <c r="J88" s="24">
        <f t="shared" si="46"/>
        <v>1.8031879469845222</v>
      </c>
      <c r="K88" s="22">
        <f t="shared" si="47"/>
        <v>1.8874490660024903</v>
      </c>
      <c r="L88" s="22">
        <f t="shared" si="48"/>
        <v>1.8031879469845222</v>
      </c>
      <c r="M88" s="233">
        <f t="shared" si="41"/>
        <v>1.8031879469845222</v>
      </c>
      <c r="N88" s="235">
        <v>8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 t="str">
        <f t="shared" si="42"/>
        <v>Formal Employment (conservancies, etc.)</v>
      </c>
      <c r="B89" s="60">
        <f t="shared" si="43"/>
        <v>0</v>
      </c>
      <c r="C89" s="60">
        <f t="shared" si="43"/>
        <v>0</v>
      </c>
      <c r="D89" s="24">
        <f t="shared" si="49"/>
        <v>0</v>
      </c>
      <c r="H89" s="24">
        <f t="shared" si="44"/>
        <v>0.95535714285714302</v>
      </c>
      <c r="I89" s="22">
        <f t="shared" si="45"/>
        <v>0</v>
      </c>
      <c r="J89" s="24">
        <f t="shared" si="46"/>
        <v>0</v>
      </c>
      <c r="K89" s="22">
        <f>IF(B89="",0,B89)</f>
        <v>0</v>
      </c>
      <c r="L89" s="22">
        <f>(K89*H89)</f>
        <v>0</v>
      </c>
      <c r="M89" s="233">
        <f t="shared" si="41"/>
        <v>0</v>
      </c>
      <c r="N89" s="235">
        <v>8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tr">
        <f t="shared" si="42"/>
        <v>Self-employment -- see Data2</v>
      </c>
      <c r="B90" s="60">
        <f t="shared" si="43"/>
        <v>0.98933788542963874</v>
      </c>
      <c r="C90" s="60">
        <f t="shared" si="43"/>
        <v>0.19786757708592773</v>
      </c>
      <c r="D90" s="24">
        <f t="shared" si="49"/>
        <v>1.1872054625155664</v>
      </c>
      <c r="H90" s="24">
        <f t="shared" si="44"/>
        <v>0.98214285714285743</v>
      </c>
      <c r="I90" s="22">
        <f t="shared" si="45"/>
        <v>1.1660053649706459</v>
      </c>
      <c r="J90" s="24">
        <f t="shared" si="46"/>
        <v>0.9666901781887528</v>
      </c>
      <c r="K90" s="22">
        <f t="shared" si="47"/>
        <v>0.98933788542963874</v>
      </c>
      <c r="L90" s="22">
        <f t="shared" si="48"/>
        <v>0.97167113747553835</v>
      </c>
      <c r="M90" s="233">
        <f t="shared" si="41"/>
        <v>0.9666901781887528</v>
      </c>
      <c r="N90" s="235">
        <v>10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 t="shared" si="42"/>
        <v>Small business -- see Data2</v>
      </c>
      <c r="B91" s="60">
        <f t="shared" si="43"/>
        <v>0.30199185056039846</v>
      </c>
      <c r="C91" s="60">
        <f t="shared" si="43"/>
        <v>0</v>
      </c>
      <c r="D91" s="24">
        <f t="shared" si="49"/>
        <v>0.30199185056039846</v>
      </c>
      <c r="H91" s="24">
        <f t="shared" si="44"/>
        <v>0.93750000000000022</v>
      </c>
      <c r="I91" s="22">
        <f t="shared" si="45"/>
        <v>0.28311735990037362</v>
      </c>
      <c r="J91" s="24">
        <f t="shared" si="46"/>
        <v>0.28311735990037362</v>
      </c>
      <c r="K91" s="22">
        <f t="shared" si="47"/>
        <v>0.30199185056039846</v>
      </c>
      <c r="L91" s="22">
        <f t="shared" si="48"/>
        <v>0.28311735990037362</v>
      </c>
      <c r="M91" s="233">
        <f t="shared" si="41"/>
        <v>0.28311735990037362</v>
      </c>
      <c r="N91" s="235">
        <v>11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si="42"/>
        <v>Social development -- see Data2</v>
      </c>
      <c r="B92" s="60">
        <f t="shared" si="43"/>
        <v>2.5556141310435132</v>
      </c>
      <c r="C92" s="60">
        <f t="shared" si="43"/>
        <v>0</v>
      </c>
      <c r="D92" s="24">
        <f t="shared" si="49"/>
        <v>2.5556141310435132</v>
      </c>
      <c r="H92" s="24">
        <f t="shared" si="44"/>
        <v>0.99107142857142871</v>
      </c>
      <c r="I92" s="22">
        <f t="shared" si="45"/>
        <v>2.5327961477306249</v>
      </c>
      <c r="J92" s="24">
        <f t="shared" si="46"/>
        <v>2.5327961477306249</v>
      </c>
      <c r="K92" s="22">
        <f t="shared" si="47"/>
        <v>2.5556141310435132</v>
      </c>
      <c r="L92" s="22">
        <f t="shared" si="48"/>
        <v>2.5327961477306249</v>
      </c>
      <c r="M92" s="233">
        <f t="shared" si="41"/>
        <v>2.5327961477306249</v>
      </c>
      <c r="N92" s="235">
        <v>14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42"/>
        <v>Public works -- see Data2</v>
      </c>
      <c r="B93" s="60">
        <f t="shared" si="43"/>
        <v>8.8238243835616417E-2</v>
      </c>
      <c r="C93" s="60">
        <f t="shared" si="43"/>
        <v>0</v>
      </c>
      <c r="D93" s="24">
        <f t="shared" si="49"/>
        <v>8.8238243835616417E-2</v>
      </c>
      <c r="H93" s="24">
        <f t="shared" si="44"/>
        <v>0.95535714285714302</v>
      </c>
      <c r="I93" s="22">
        <f t="shared" si="45"/>
        <v>8.4299036521526413E-2</v>
      </c>
      <c r="J93" s="24">
        <f t="shared" si="46"/>
        <v>8.4299036521526413E-2</v>
      </c>
      <c r="K93" s="22">
        <f t="shared" si="47"/>
        <v>8.8238243835616417E-2</v>
      </c>
      <c r="L93" s="22">
        <f t="shared" si="48"/>
        <v>8.4299036521526413E-2</v>
      </c>
      <c r="M93" s="57">
        <f t="shared" si="41"/>
        <v>8.4299036521526413E-2</v>
      </c>
      <c r="N93" s="235">
        <v>9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42"/>
        <v>Remittances: no. times per year</v>
      </c>
      <c r="B94" s="60">
        <f t="shared" si="43"/>
        <v>0.23593113325031129</v>
      </c>
      <c r="C94" s="60">
        <f t="shared" si="43"/>
        <v>0</v>
      </c>
      <c r="D94" s="24">
        <f t="shared" si="49"/>
        <v>0.23593113325031129</v>
      </c>
      <c r="H94" s="24">
        <f t="shared" si="44"/>
        <v>0.93750000000000022</v>
      </c>
      <c r="I94" s="22">
        <f t="shared" si="45"/>
        <v>0.2211854374221669</v>
      </c>
      <c r="J94" s="24">
        <f t="shared" si="46"/>
        <v>0.2211854374221669</v>
      </c>
      <c r="K94" s="22">
        <f t="shared" si="47"/>
        <v>0.23593113325031129</v>
      </c>
      <c r="L94" s="22">
        <f t="shared" si="48"/>
        <v>0.2211854374221669</v>
      </c>
      <c r="M94" s="57">
        <f t="shared" si="41"/>
        <v>0.2211854374221669</v>
      </c>
      <c r="N94" s="235">
        <v>15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42"/>
        <v/>
      </c>
      <c r="B95" s="60">
        <f t="shared" si="43"/>
        <v>0</v>
      </c>
      <c r="C95" s="60">
        <f t="shared" si="43"/>
        <v>0</v>
      </c>
      <c r="D95" s="24">
        <f t="shared" si="49"/>
        <v>0</v>
      </c>
      <c r="H95" s="24">
        <f t="shared" si="44"/>
        <v>0.8928571428571429</v>
      </c>
      <c r="I95" s="22">
        <f t="shared" si="45"/>
        <v>0</v>
      </c>
      <c r="J95" s="24">
        <f t="shared" si="46"/>
        <v>0</v>
      </c>
      <c r="K95" s="22">
        <f t="shared" si="47"/>
        <v>0</v>
      </c>
      <c r="L95" s="22">
        <f t="shared" si="48"/>
        <v>0</v>
      </c>
      <c r="M95" s="57">
        <f t="shared" si="41"/>
        <v>0</v>
      </c>
      <c r="N95" s="235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42"/>
        <v/>
      </c>
      <c r="B96" s="60">
        <f t="shared" si="43"/>
        <v>0</v>
      </c>
      <c r="C96" s="60">
        <f t="shared" si="43"/>
        <v>0</v>
      </c>
      <c r="D96" s="24">
        <f t="shared" si="49"/>
        <v>0</v>
      </c>
      <c r="H96" s="24">
        <f t="shared" si="44"/>
        <v>0.8928571428571429</v>
      </c>
      <c r="I96" s="22">
        <f t="shared" si="45"/>
        <v>0</v>
      </c>
      <c r="J96" s="24">
        <f t="shared" si="46"/>
        <v>0</v>
      </c>
      <c r="K96" s="22">
        <f t="shared" si="47"/>
        <v>0</v>
      </c>
      <c r="L96" s="22">
        <f t="shared" si="48"/>
        <v>0</v>
      </c>
      <c r="M96" s="57">
        <f t="shared" si="41"/>
        <v>0</v>
      </c>
      <c r="N96" s="235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42"/>
        <v/>
      </c>
      <c r="B97" s="60">
        <f t="shared" si="43"/>
        <v>0</v>
      </c>
      <c r="C97" s="60">
        <f t="shared" si="43"/>
        <v>0</v>
      </c>
      <c r="D97" s="24">
        <f t="shared" si="49"/>
        <v>0</v>
      </c>
      <c r="H97" s="24">
        <f t="shared" si="44"/>
        <v>0.8928571428571429</v>
      </c>
      <c r="I97" s="22">
        <f t="shared" si="45"/>
        <v>0</v>
      </c>
      <c r="J97" s="24">
        <f t="shared" si="46"/>
        <v>0</v>
      </c>
      <c r="K97" s="22">
        <f t="shared" si="47"/>
        <v>0</v>
      </c>
      <c r="L97" s="22">
        <f t="shared" si="48"/>
        <v>0</v>
      </c>
      <c r="M97" s="57">
        <f t="shared" si="41"/>
        <v>0</v>
      </c>
      <c r="N97" s="235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42"/>
        <v/>
      </c>
      <c r="B98" s="60">
        <f t="shared" si="43"/>
        <v>0</v>
      </c>
      <c r="C98" s="60">
        <f t="shared" si="43"/>
        <v>0</v>
      </c>
      <c r="D98" s="24">
        <f t="shared" si="49"/>
        <v>0</v>
      </c>
      <c r="H98" s="24">
        <f t="shared" si="44"/>
        <v>0.8928571428571429</v>
      </c>
      <c r="I98" s="22">
        <f t="shared" si="45"/>
        <v>0</v>
      </c>
      <c r="J98" s="24">
        <f t="shared" si="46"/>
        <v>0</v>
      </c>
      <c r="K98" s="22">
        <f t="shared" si="47"/>
        <v>0</v>
      </c>
      <c r="L98" s="22">
        <f t="shared" si="48"/>
        <v>0</v>
      </c>
      <c r="M98" s="57">
        <f t="shared" si="41"/>
        <v>0</v>
      </c>
      <c r="N98" s="235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42"/>
        <v/>
      </c>
      <c r="B99" s="60">
        <f t="shared" si="43"/>
        <v>0</v>
      </c>
      <c r="C99" s="60">
        <f t="shared" si="43"/>
        <v>0</v>
      </c>
      <c r="D99" s="24">
        <f t="shared" si="49"/>
        <v>0</v>
      </c>
      <c r="H99" s="24">
        <f t="shared" si="44"/>
        <v>0.8928571428571429</v>
      </c>
      <c r="I99" s="22">
        <f t="shared" si="45"/>
        <v>0</v>
      </c>
      <c r="J99" s="24">
        <f t="shared" si="46"/>
        <v>0</v>
      </c>
      <c r="K99" s="22">
        <f t="shared" si="47"/>
        <v>0</v>
      </c>
      <c r="L99" s="22">
        <f t="shared" si="48"/>
        <v>0</v>
      </c>
      <c r="M99" s="57">
        <f t="shared" si="41"/>
        <v>0</v>
      </c>
      <c r="N99" s="23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42"/>
        <v/>
      </c>
      <c r="B100" s="60">
        <f t="shared" si="43"/>
        <v>0</v>
      </c>
      <c r="C100" s="60">
        <f t="shared" si="43"/>
        <v>0</v>
      </c>
      <c r="D100" s="24">
        <f t="shared" si="49"/>
        <v>0</v>
      </c>
      <c r="H100" s="24">
        <f t="shared" si="44"/>
        <v>0.8928571428571429</v>
      </c>
      <c r="I100" s="22">
        <f t="shared" si="45"/>
        <v>0</v>
      </c>
      <c r="J100" s="24">
        <f t="shared" si="46"/>
        <v>0</v>
      </c>
      <c r="K100" s="22">
        <f t="shared" si="47"/>
        <v>0</v>
      </c>
      <c r="L100" s="22">
        <f t="shared" si="48"/>
        <v>0</v>
      </c>
      <c r="M100" s="57">
        <f t="shared" si="41"/>
        <v>0</v>
      </c>
      <c r="N100" s="23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">
        <v>32</v>
      </c>
      <c r="B101" s="29">
        <f>SUM(B78:B100)</f>
        <v>8.6614332158504865</v>
      </c>
      <c r="C101" s="29">
        <f>SUM(C78:C100)</f>
        <v>0.25291817484433371</v>
      </c>
      <c r="D101" s="24">
        <f>SUM(D78:D100)</f>
        <v>8.9143513906948204</v>
      </c>
      <c r="E101" s="22"/>
      <c r="F101" s="2"/>
      <c r="G101" s="2"/>
      <c r="H101" s="31"/>
      <c r="I101" s="22">
        <f>SUM(I78:I100)</f>
        <v>8.6094202995850537</v>
      </c>
      <c r="J101" s="24">
        <f>SUM(J78:J100)</f>
        <v>8.3939732289185152</v>
      </c>
      <c r="K101" s="22">
        <f>SUM(K78:K100)</f>
        <v>8.6614332158504865</v>
      </c>
      <c r="L101" s="22">
        <f>SUM(L78:L100)</f>
        <v>8.3993573298732596</v>
      </c>
      <c r="M101" s="57">
        <f t="shared" si="41"/>
        <v>8.3939732289185152</v>
      </c>
      <c r="N101" s="5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61"/>
      <c r="B102" s="61"/>
      <c r="C102" s="61"/>
      <c r="D102" s="10"/>
      <c r="E102" s="11"/>
      <c r="F102" s="11"/>
      <c r="G102" s="11"/>
      <c r="H102" s="10"/>
      <c r="I102" s="11"/>
      <c r="J102" s="62"/>
      <c r="K102" s="14"/>
      <c r="L102" s="11"/>
      <c r="M102" s="63"/>
      <c r="N102" s="5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>
      <c r="A103" s="55" t="str">
        <f>A54</f>
        <v>Expenditure : Poor HHs</v>
      </c>
      <c r="B103" s="56"/>
      <c r="C103" s="56"/>
      <c r="D103" s="31"/>
      <c r="E103" s="2"/>
      <c r="F103" s="2"/>
      <c r="G103" s="2"/>
      <c r="H103" s="31"/>
      <c r="I103" s="22"/>
      <c r="J103" s="18"/>
      <c r="L103" s="2"/>
      <c r="M103" s="57"/>
      <c r="N103" s="5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2"/>
      <c r="AC103" s="2"/>
      <c r="AD103" s="2"/>
      <c r="AE103" s="2"/>
      <c r="AF103" s="2"/>
      <c r="AG103" s="2"/>
      <c r="AM103" s="21"/>
      <c r="AN103" s="21"/>
      <c r="AO103" s="21"/>
      <c r="AV103" s="21"/>
      <c r="AW103" s="21"/>
      <c r="AX103" s="21"/>
      <c r="BC103" s="21"/>
      <c r="BD103" s="21"/>
      <c r="BE103" s="21"/>
      <c r="BL103" s="21"/>
      <c r="BM103" s="21"/>
      <c r="BN103" s="21"/>
      <c r="BS103" s="21"/>
      <c r="BT103" s="21"/>
      <c r="BU103" s="21"/>
      <c r="CA103" s="21"/>
      <c r="CB103" s="21"/>
      <c r="CC103" s="21"/>
      <c r="CH103" s="21"/>
      <c r="CI103" s="21"/>
      <c r="CJ103" s="21"/>
    </row>
    <row r="104" spans="1:88" ht="14" customHeight="1">
      <c r="A104" s="56"/>
      <c r="B104" s="59" t="s">
        <v>7</v>
      </c>
      <c r="C104" s="56"/>
      <c r="D104" s="16"/>
      <c r="H104" s="16" t="s">
        <v>12</v>
      </c>
      <c r="I104" s="19" t="s">
        <v>13</v>
      </c>
      <c r="J104" s="16" t="s">
        <v>14</v>
      </c>
      <c r="K104" s="19" t="s">
        <v>7</v>
      </c>
      <c r="L104" s="19" t="s">
        <v>15</v>
      </c>
      <c r="M104" s="57" t="str">
        <f t="shared" ref="M104:M112" si="50">(J104)</f>
        <v>Curr.</v>
      </c>
      <c r="N104" s="5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">
        <v>44</v>
      </c>
      <c r="B105" s="59" t="s">
        <v>35</v>
      </c>
      <c r="C105" s="56"/>
      <c r="D105" s="31"/>
      <c r="H105" s="16" t="s">
        <v>18</v>
      </c>
      <c r="I105" s="19" t="s">
        <v>35</v>
      </c>
      <c r="J105" s="16" t="s">
        <v>35</v>
      </c>
      <c r="K105" s="19" t="s">
        <v>35</v>
      </c>
      <c r="L105" s="19" t="s">
        <v>19</v>
      </c>
      <c r="M105" s="57" t="str">
        <f t="shared" si="50"/>
        <v>Expend</v>
      </c>
      <c r="N105" s="5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2"/>
      <c r="AC105" s="2"/>
      <c r="AD105" s="2"/>
      <c r="AE105" s="2"/>
      <c r="AF105" s="2"/>
      <c r="AG105" s="2"/>
    </row>
    <row r="106" spans="1:88" ht="14" customHeight="1">
      <c r="A106" s="111" t="s">
        <v>131</v>
      </c>
      <c r="B106" s="60">
        <f>B57/B70</f>
        <v>2.4102768168196995</v>
      </c>
      <c r="C106" s="56"/>
      <c r="D106" s="24"/>
      <c r="H106" s="24">
        <f>(E57*F57/G$29*F$7/F$9)</f>
        <v>1.0178571428571428</v>
      </c>
      <c r="I106" s="29">
        <f>IF(SUMPRODUCT($B$106:$B106,$H$106:$H106)&lt;I$101,($B106*$H106),I$101)</f>
        <v>2.4533174742629082</v>
      </c>
      <c r="J106" s="243">
        <f>IF(SUMPRODUCT($B$106:$B106,$H$106:$H106)&lt;J$101,($B106*$H106),J$101)</f>
        <v>2.4533174742629082</v>
      </c>
      <c r="K106" s="22">
        <f>(B106)</f>
        <v>2.4102768168196995</v>
      </c>
      <c r="L106" s="22">
        <f>IF(B106*H106&gt;=L101,L101,B106*H106)</f>
        <v>2.4533174742629082</v>
      </c>
      <c r="M106" s="57">
        <f t="shared" si="50"/>
        <v>2.4533174742629082</v>
      </c>
      <c r="N106" s="5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2"/>
      <c r="AC106" s="2"/>
      <c r="AD106" s="2"/>
      <c r="AE106" s="2"/>
      <c r="AF106" s="2"/>
      <c r="AG106" s="2"/>
    </row>
    <row r="107" spans="1:88" ht="14" customHeight="1">
      <c r="A107" s="111" t="s">
        <v>132</v>
      </c>
      <c r="B107" s="60"/>
      <c r="C107" s="56"/>
      <c r="D107" s="24"/>
      <c r="H107" s="24"/>
      <c r="I107" s="29">
        <f>IF(SUMPRODUCT($B$106:$B107,$H$106:$H107)&lt;I$101,($B107*$H107),IF(SUMPRODUCT($B$106:$B106,$H$106:$H106)&lt;I$101,I$101-SUMPRODUCT($B$106:$B106,$H$106:$H106),0))</f>
        <v>0</v>
      </c>
      <c r="J107" s="243">
        <f>IF(SUMPRODUCT($B$106:$B107,$H$106:$H107)&lt;J$101,($B107*$H107),IF(SUMPRODUCT($B$106:$B106,$H$106:$H106)&lt;J$101,J$101-SUMPRODUCT($B$106:$B106,$H$106:$H106),0))</f>
        <v>0</v>
      </c>
      <c r="K107" s="22">
        <f t="shared" ref="K107:K108" si="51">(B107)</f>
        <v>0</v>
      </c>
      <c r="L107" s="22">
        <f t="shared" ref="L107:L108" si="52">IF(B107*H107&gt;=L102,L102,B107*H107)</f>
        <v>0</v>
      </c>
      <c r="M107" s="57">
        <f t="shared" ref="M107:M108" si="53">(J107)</f>
        <v>0</v>
      </c>
      <c r="N107" s="5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2"/>
      <c r="AC107" s="2"/>
      <c r="AD107" s="2"/>
      <c r="AE107" s="2"/>
      <c r="AF107" s="2"/>
      <c r="AG107" s="2"/>
    </row>
    <row r="108" spans="1:88" ht="14" customHeight="1">
      <c r="A108" s="111" t="s">
        <v>133</v>
      </c>
      <c r="B108" s="60"/>
      <c r="C108" s="56"/>
      <c r="D108" s="24"/>
      <c r="H108" s="24"/>
      <c r="I108" s="29">
        <f>IF(SUMPRODUCT($B$106:$B108,$H$106:$H108)&lt;(I$101-I$110),($B108*$H108),IF(SUMPRODUCT($B$106:$B107,$H$106:$H107)&lt;(I$101-I$110),I$101-I$110-SUMPRODUCT($B$106:$B107,$H$106:$H107),0))</f>
        <v>0</v>
      </c>
      <c r="J108" s="243">
        <f>IF(SUMPRODUCT($B$106:$B108,$H$106:$H108)&lt;(J$101-J$110),($B108*$H108),IF(SUMPRODUCT($B$106:$B107,$H$106:$H107)&lt;(J$101-J$110),J$101-J$110-SUMPRODUCT($B$106:$B107,$H$106:$H107),0))</f>
        <v>0</v>
      </c>
      <c r="K108" s="22">
        <f t="shared" si="51"/>
        <v>0</v>
      </c>
      <c r="L108" s="22">
        <f t="shared" si="52"/>
        <v>0</v>
      </c>
      <c r="M108" s="57">
        <f t="shared" si="53"/>
        <v>0</v>
      </c>
      <c r="N108" s="5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2"/>
      <c r="AC108" s="2"/>
      <c r="AD108" s="2"/>
      <c r="AE108" s="2"/>
      <c r="AF108" s="2"/>
      <c r="AG108" s="2"/>
    </row>
    <row r="109" spans="1:88" ht="14" customHeight="1">
      <c r="A109" s="111" t="s">
        <v>134</v>
      </c>
      <c r="B109" s="60">
        <f>B60/B70</f>
        <v>0.59454645579078447</v>
      </c>
      <c r="C109" s="56"/>
      <c r="D109" s="24"/>
      <c r="H109" s="24">
        <f>(E60*F60/G$29*F$7/F$9)</f>
        <v>0.99107142857142871</v>
      </c>
      <c r="I109" s="29">
        <f>IF(SUMPRODUCT($B$106:$B109,$H$106:$H109)&lt;(I$101-I$110),($B109*$H109),IF(SUMPRODUCT($B$106:$B108,$H$106:$H108)&lt;(I$101-I110),I$101-I$110-SUMPRODUCT($B$106:$B108,$H$106:$H108),0))</f>
        <v>0</v>
      </c>
      <c r="J109" s="243">
        <f>IF(SUMPRODUCT($B$106:$B109,$H$106:$H109)&lt;(J$101-J$110),($B109*$H109),IF(SUMPRODUCT($B$106:$B108,$H$106:$H108)&lt;(J$101-J110),J$101-J$110-SUMPRODUCT($B$106:$B108,$H$106:$H108),0))</f>
        <v>0.58923800529265258</v>
      </c>
      <c r="K109" s="22">
        <f>(B109)</f>
        <v>0.59454645579078447</v>
      </c>
      <c r="L109" s="22">
        <f>IF(L106=L101,0,(L101-L106)/(B101-B106)*K109)</f>
        <v>0.56552687158683124</v>
      </c>
      <c r="M109" s="57">
        <f t="shared" si="50"/>
        <v>0.58923800529265258</v>
      </c>
      <c r="N109" s="58"/>
      <c r="Q109" s="2"/>
      <c r="R109" s="22"/>
      <c r="S109" s="2"/>
      <c r="T109" s="2"/>
      <c r="U109" s="2"/>
      <c r="V109" s="2"/>
      <c r="W109" s="2"/>
      <c r="X109" s="2"/>
      <c r="Y109" s="2"/>
      <c r="Z109" s="2"/>
      <c r="AA109" s="2"/>
      <c r="AB109" s="22"/>
      <c r="AC109" s="2"/>
      <c r="AD109" s="2"/>
      <c r="AE109" s="2"/>
      <c r="AF109" s="2"/>
      <c r="AG109" s="2"/>
    </row>
    <row r="110" spans="1:88" ht="14" customHeight="1">
      <c r="A110" s="1" t="s">
        <v>135</v>
      </c>
      <c r="B110" s="29">
        <f>(B22)</f>
        <v>0.37748981320049818</v>
      </c>
      <c r="C110" s="56"/>
      <c r="D110" s="31"/>
      <c r="E110" s="2"/>
      <c r="F110" s="2"/>
      <c r="G110" s="2"/>
      <c r="H110" s="24"/>
      <c r="I110" s="29">
        <f>(I22)</f>
        <v>6.1561028253221455</v>
      </c>
      <c r="J110" s="234">
        <f>(J22)</f>
        <v>0.39787262494585107</v>
      </c>
      <c r="K110" s="22">
        <f>(B110)</f>
        <v>0.37748981320049818</v>
      </c>
      <c r="L110" s="22">
        <f>IF(L106=L101,0,(L101-L106)/(B101-B106)*K110)</f>
        <v>0.35906468037259137</v>
      </c>
      <c r="M110" s="57">
        <f t="shared" si="50"/>
        <v>0.39787262494585107</v>
      </c>
      <c r="N110" s="5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2"/>
      <c r="AC110" s="2"/>
      <c r="AD110" s="2"/>
      <c r="AE110" s="2"/>
      <c r="AF110" s="2"/>
      <c r="AG110" s="2"/>
    </row>
    <row r="111" spans="1:88" ht="14" customHeight="1">
      <c r="A111" s="56" t="s">
        <v>55</v>
      </c>
      <c r="B111" s="29">
        <f>(B112-B106-B109-B110)</f>
        <v>5.2791201300395052</v>
      </c>
      <c r="C111" s="56"/>
      <c r="D111" s="31"/>
      <c r="E111" s="2"/>
      <c r="F111" s="2"/>
      <c r="G111" s="2"/>
      <c r="H111" s="24"/>
      <c r="I111" s="29"/>
      <c r="J111" s="234">
        <f>(J112-J106-J107-J108-J109-J110)</f>
        <v>4.9535451244171034</v>
      </c>
      <c r="K111" s="22">
        <f>(B111)</f>
        <v>5.2791201300395052</v>
      </c>
      <c r="L111" s="22">
        <f>IF(L106=L101,0,(L101-L106)/(B101-B106)*K111)</f>
        <v>5.0214483036509296</v>
      </c>
      <c r="M111" s="57">
        <f t="shared" si="50"/>
        <v>4.9535451244171034</v>
      </c>
      <c r="N111" s="5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2"/>
      <c r="AC111" s="2"/>
      <c r="AD111" s="2"/>
      <c r="AE111" s="2"/>
      <c r="AF111" s="2"/>
      <c r="AG111" s="2"/>
    </row>
    <row r="112" spans="1:88" ht="14" customHeight="1">
      <c r="A112" s="56" t="s">
        <v>32</v>
      </c>
      <c r="B112" s="29">
        <f>(B101)</f>
        <v>8.6614332158504865</v>
      </c>
      <c r="C112" s="56"/>
      <c r="D112" s="31"/>
      <c r="E112" s="2"/>
      <c r="F112" s="2"/>
      <c r="G112" s="2"/>
      <c r="H112" s="24"/>
      <c r="I112" s="29">
        <f>(I101)</f>
        <v>8.6094202995850537</v>
      </c>
      <c r="J112" s="234">
        <f>(J101)</f>
        <v>8.3939732289185152</v>
      </c>
      <c r="K112" s="22">
        <f>(B112)</f>
        <v>8.6614332158504865</v>
      </c>
      <c r="L112" s="22">
        <f>(L101)</f>
        <v>8.3993573298732596</v>
      </c>
      <c r="M112" s="57">
        <f t="shared" si="50"/>
        <v>8.3939732289185152</v>
      </c>
      <c r="N112" s="5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2"/>
      <c r="AC112" s="2"/>
      <c r="AD112" s="2"/>
      <c r="AE112" s="2"/>
      <c r="AF112" s="2"/>
      <c r="AG112" s="2"/>
    </row>
    <row r="113" spans="1:33" ht="14" customHeight="1">
      <c r="A113" s="56" t="s">
        <v>36</v>
      </c>
      <c r="B113" s="29"/>
      <c r="C113" s="56"/>
      <c r="D113" s="31"/>
      <c r="E113" s="2"/>
      <c r="F113" s="2"/>
      <c r="G113" s="2"/>
      <c r="H113" s="24"/>
      <c r="I113" s="29">
        <f>IF(SUMPRODUCT($B106:$B109,$H106:$H109)&gt;(I101-I110),SUMPRODUCT($B106:$B109,$H106:$H109)+I110-I101,0)</f>
        <v>0.58923800529265336</v>
      </c>
      <c r="J113" s="243">
        <f>IF(SUMPRODUCT($B106:$B109,$H106:$H109)&gt;(J101-J110),SUMPRODUCT($B106:$B109,$H106:$H109)+J110-J101,0)</f>
        <v>0</v>
      </c>
      <c r="K113" s="22"/>
      <c r="L113" s="22">
        <f>I113-L109</f>
        <v>2.3711133705822118E-2</v>
      </c>
      <c r="M113" s="57">
        <f>I113-M109</f>
        <v>0</v>
      </c>
      <c r="N113" s="5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2"/>
      <c r="AC113" s="2"/>
      <c r="AD113" s="2"/>
      <c r="AE113" s="2"/>
      <c r="AF113" s="2"/>
      <c r="AG113" s="2"/>
    </row>
    <row r="114" spans="1:33" ht="14" customHeight="1">
      <c r="A114" s="54"/>
      <c r="B114" s="54"/>
      <c r="C114" s="54"/>
      <c r="D114" s="12"/>
      <c r="E114" s="14"/>
      <c r="F114" s="14"/>
      <c r="G114" s="14"/>
      <c r="H114" s="12"/>
      <c r="I114" s="14"/>
      <c r="J114" s="12"/>
      <c r="K114" s="14"/>
      <c r="L114" s="14"/>
      <c r="M114" s="66"/>
      <c r="N114" s="58"/>
    </row>
    <row r="124" spans="1:33">
      <c r="A124" s="56"/>
      <c r="B124" s="56"/>
      <c r="C124" s="56"/>
      <c r="D124" s="2"/>
      <c r="E124" s="2"/>
      <c r="F124" s="2"/>
      <c r="G124" s="2"/>
      <c r="H124" s="2"/>
      <c r="I124" s="2"/>
      <c r="J124" s="2"/>
      <c r="L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B125" s="29"/>
      <c r="C125" s="29"/>
      <c r="D125" s="2"/>
      <c r="E125" s="2"/>
      <c r="F125" s="2"/>
      <c r="G125" s="2"/>
      <c r="H125" s="2"/>
      <c r="I125" s="22"/>
      <c r="J125" s="2"/>
      <c r="L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68"/>
      <c r="AC125" s="2"/>
      <c r="AD125" s="2"/>
      <c r="AE125" s="2"/>
      <c r="AF125" s="2"/>
      <c r="AG125" s="2"/>
    </row>
    <row r="126" spans="1:33">
      <c r="B126" s="29"/>
      <c r="C126" s="29"/>
      <c r="D126" s="2"/>
      <c r="E126" s="2"/>
      <c r="F126" s="2"/>
      <c r="G126" s="2"/>
      <c r="H126" s="2"/>
      <c r="I126" s="2"/>
      <c r="J126" s="2"/>
      <c r="L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68"/>
      <c r="AC126" s="2"/>
      <c r="AD126" s="2"/>
      <c r="AE126" s="2"/>
      <c r="AF126" s="2"/>
      <c r="AG126" s="2"/>
    </row>
    <row r="127" spans="1:33">
      <c r="B127" s="29"/>
      <c r="C127" s="29"/>
      <c r="D127" s="2"/>
      <c r="E127" s="2"/>
      <c r="F127" s="2"/>
      <c r="G127" s="2"/>
      <c r="H127" s="2"/>
      <c r="I127" s="22"/>
      <c r="J127" s="2"/>
      <c r="L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68"/>
      <c r="AC127" s="2"/>
      <c r="AD127" s="2"/>
      <c r="AE127" s="2"/>
      <c r="AF127" s="2"/>
      <c r="AG127" s="2"/>
    </row>
    <row r="128" spans="1:33">
      <c r="B128" s="56"/>
      <c r="C128" s="56"/>
      <c r="D128" s="2"/>
      <c r="E128" s="2"/>
      <c r="F128" s="2"/>
      <c r="G128" s="2"/>
      <c r="H128" s="2"/>
      <c r="I128" s="2"/>
      <c r="J128" s="2"/>
      <c r="L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68"/>
      <c r="AC128" s="2"/>
      <c r="AD128" s="2"/>
      <c r="AE128" s="2"/>
      <c r="AF128" s="2"/>
      <c r="AG128" s="2"/>
    </row>
    <row r="129" spans="1:33">
      <c r="B129" s="29"/>
      <c r="C129" s="29"/>
      <c r="D129" s="2"/>
      <c r="E129" s="2"/>
      <c r="F129" s="2"/>
      <c r="G129" s="2"/>
      <c r="H129" s="2"/>
      <c r="I129" s="2"/>
      <c r="J129" s="2"/>
      <c r="L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68"/>
      <c r="AC129" s="2"/>
      <c r="AD129" s="2"/>
      <c r="AE129" s="2"/>
      <c r="AF129" s="2"/>
      <c r="AG129" s="2"/>
    </row>
    <row r="130" spans="1:33">
      <c r="B130" s="29"/>
      <c r="C130" s="29"/>
      <c r="D130" s="2"/>
      <c r="E130" s="2"/>
      <c r="F130" s="2"/>
      <c r="G130" s="2"/>
      <c r="H130" s="2"/>
      <c r="I130" s="2"/>
      <c r="J130" s="2"/>
      <c r="L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68"/>
      <c r="AC130" s="2"/>
      <c r="AD130" s="2"/>
      <c r="AE130" s="2"/>
      <c r="AF130" s="2"/>
      <c r="AG130" s="2"/>
    </row>
    <row r="131" spans="1:33">
      <c r="B131" s="29"/>
      <c r="C131" s="29"/>
      <c r="D131" s="2"/>
      <c r="E131" s="2"/>
      <c r="F131" s="2"/>
      <c r="G131" s="2"/>
      <c r="H131" s="2"/>
      <c r="I131" s="2"/>
      <c r="J131" s="2"/>
      <c r="L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68"/>
      <c r="AC131" s="2"/>
      <c r="AD131" s="2"/>
      <c r="AE131" s="2"/>
      <c r="AF131" s="2"/>
      <c r="AG131" s="2"/>
    </row>
    <row r="132" spans="1:33">
      <c r="B132" s="29"/>
      <c r="C132" s="29"/>
      <c r="D132" s="2"/>
      <c r="E132" s="2"/>
      <c r="F132" s="2"/>
      <c r="G132" s="2"/>
      <c r="H132" s="2"/>
      <c r="I132" s="2"/>
      <c r="J132" s="2"/>
      <c r="L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68"/>
      <c r="AC132" s="2"/>
      <c r="AD132" s="2"/>
      <c r="AE132" s="2"/>
      <c r="AF132" s="2"/>
      <c r="AG132" s="2"/>
    </row>
    <row r="133" spans="1:33">
      <c r="B133" s="29"/>
      <c r="C133" s="29"/>
      <c r="D133" s="2"/>
      <c r="E133" s="2"/>
      <c r="F133" s="2"/>
      <c r="G133" s="2"/>
      <c r="H133" s="2"/>
      <c r="I133" s="2"/>
      <c r="J133" s="2"/>
      <c r="L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68"/>
      <c r="AC133" s="2"/>
      <c r="AD133" s="2"/>
      <c r="AE133" s="2"/>
      <c r="AF133" s="2"/>
      <c r="AG133" s="2"/>
    </row>
    <row r="134" spans="1:33">
      <c r="B134" s="29"/>
      <c r="C134" s="29"/>
      <c r="D134" s="2"/>
      <c r="E134" s="2"/>
      <c r="F134" s="2"/>
      <c r="G134" s="2"/>
      <c r="H134" s="2"/>
      <c r="I134" s="2"/>
      <c r="J134" s="2"/>
      <c r="L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68"/>
      <c r="AC134" s="2"/>
      <c r="AD134" s="2"/>
      <c r="AE134" s="2"/>
      <c r="AF134" s="2"/>
      <c r="AG134" s="2"/>
    </row>
    <row r="135" spans="1:33">
      <c r="A135" s="56"/>
      <c r="B135" s="56"/>
      <c r="C135" s="56"/>
      <c r="D135" s="2"/>
      <c r="E135" s="2"/>
      <c r="F135" s="2"/>
      <c r="G135" s="2"/>
      <c r="H135" s="2"/>
      <c r="I135" s="2"/>
      <c r="J135" s="2"/>
      <c r="L135" s="2"/>
      <c r="O135" s="2"/>
      <c r="P135" s="2"/>
      <c r="Q135" s="2"/>
      <c r="R135" s="2"/>
      <c r="S135" s="2"/>
      <c r="T135" s="2"/>
      <c r="U135" s="2"/>
      <c r="V135" s="2"/>
      <c r="W135" s="69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70"/>
      <c r="B136" s="56"/>
      <c r="C136" s="56"/>
      <c r="D136" s="2"/>
      <c r="E136" s="2"/>
      <c r="F136" s="2"/>
      <c r="H136" s="2"/>
      <c r="I136" s="2"/>
      <c r="J136" s="2"/>
      <c r="L136" s="2"/>
      <c r="W136" s="71"/>
    </row>
    <row r="137" spans="1:33">
      <c r="A137" s="56"/>
      <c r="B137" s="56"/>
      <c r="C137" s="56"/>
      <c r="D137" s="2"/>
      <c r="E137" s="2"/>
      <c r="F137" s="2"/>
      <c r="H137" s="2"/>
      <c r="I137" s="2"/>
      <c r="J137" s="2"/>
      <c r="L137" s="2"/>
      <c r="W137" s="71"/>
    </row>
    <row r="138" spans="1:33">
      <c r="A138" s="56"/>
      <c r="B138" s="56"/>
      <c r="C138" s="56"/>
      <c r="D138" s="2"/>
      <c r="E138" s="2"/>
      <c r="F138" s="2"/>
      <c r="H138" s="2"/>
      <c r="I138" s="2"/>
      <c r="J138" s="2"/>
      <c r="L138" s="2"/>
      <c r="W138" s="71"/>
    </row>
    <row r="139" spans="1:33">
      <c r="A139" s="29"/>
      <c r="B139" s="56"/>
      <c r="C139" s="56"/>
      <c r="D139" s="2"/>
      <c r="E139" s="2"/>
      <c r="F139" s="2"/>
      <c r="H139" s="2"/>
      <c r="I139" s="2"/>
      <c r="J139" s="2"/>
      <c r="L139" s="2"/>
      <c r="W139" s="71"/>
    </row>
    <row r="140" spans="1:33">
      <c r="A140" s="56"/>
      <c r="B140" s="56"/>
      <c r="C140" s="56"/>
      <c r="D140" s="2"/>
      <c r="E140" s="2"/>
      <c r="F140" s="2"/>
      <c r="H140" s="2"/>
      <c r="I140" s="2"/>
      <c r="J140" s="2"/>
      <c r="L140" s="2"/>
      <c r="W140" s="71"/>
    </row>
    <row r="141" spans="1:33">
      <c r="A141" s="56"/>
      <c r="B141" s="56"/>
      <c r="C141" s="56"/>
      <c r="D141" s="2"/>
      <c r="E141" s="2"/>
      <c r="F141" s="2"/>
      <c r="H141" s="2"/>
      <c r="I141" s="2"/>
      <c r="J141" s="2"/>
      <c r="L141" s="2"/>
    </row>
    <row r="142" spans="1:33">
      <c r="A142" s="56"/>
      <c r="B142" s="56"/>
      <c r="C142" s="56"/>
      <c r="D142" s="2"/>
      <c r="E142" s="2"/>
      <c r="F142" s="2"/>
      <c r="H142" s="2"/>
      <c r="I142" s="2"/>
      <c r="J142" s="2"/>
      <c r="L142" s="2"/>
    </row>
    <row r="143" spans="1:33">
      <c r="A143" s="56"/>
      <c r="B143" s="56"/>
      <c r="C143" s="56"/>
      <c r="D143" s="2"/>
      <c r="E143" s="2"/>
      <c r="F143" s="2"/>
      <c r="H143" s="2"/>
      <c r="I143" s="2"/>
      <c r="J143" s="2"/>
      <c r="L143" s="2"/>
      <c r="AB143" s="71"/>
    </row>
    <row r="144" spans="1:33">
      <c r="A144" s="56"/>
      <c r="B144" s="56"/>
      <c r="C144" s="56"/>
      <c r="D144" s="2"/>
      <c r="E144" s="2"/>
      <c r="F144" s="2"/>
      <c r="H144" s="2"/>
      <c r="I144" s="2"/>
      <c r="J144" s="2"/>
      <c r="L144" s="2"/>
      <c r="AB144" s="71"/>
    </row>
    <row r="145" spans="1:28">
      <c r="A145" s="56"/>
      <c r="B145" s="56"/>
      <c r="C145" s="56"/>
      <c r="D145" s="2"/>
      <c r="E145" s="2"/>
      <c r="F145" s="2"/>
      <c r="H145" s="2"/>
      <c r="I145" s="2"/>
      <c r="J145" s="2"/>
      <c r="L145" s="2"/>
      <c r="AB145" s="71"/>
    </row>
    <row r="146" spans="1:28">
      <c r="A146" s="56"/>
      <c r="B146" s="56"/>
      <c r="C146" s="56"/>
      <c r="D146" s="2"/>
      <c r="E146" s="2"/>
      <c r="F146" s="2"/>
      <c r="H146" s="2"/>
      <c r="I146" s="2"/>
      <c r="J146" s="2"/>
      <c r="L146" s="2"/>
      <c r="AB146" s="71"/>
    </row>
    <row r="147" spans="1:28">
      <c r="A147" s="56"/>
      <c r="B147" s="56"/>
      <c r="C147" s="56"/>
      <c r="D147" s="2"/>
      <c r="E147" s="2"/>
      <c r="F147" s="2"/>
      <c r="H147" s="2"/>
      <c r="I147" s="2"/>
      <c r="J147" s="2"/>
      <c r="L147" s="2"/>
      <c r="W147" s="72"/>
      <c r="AB147" s="71"/>
    </row>
    <row r="148" spans="1:28">
      <c r="A148" s="56"/>
      <c r="B148" s="56"/>
      <c r="C148" s="56"/>
      <c r="D148" s="2"/>
      <c r="E148" s="2"/>
      <c r="F148" s="2"/>
      <c r="H148" s="2"/>
      <c r="I148" s="2"/>
      <c r="J148" s="2"/>
      <c r="L148" s="2"/>
      <c r="W148" s="72"/>
      <c r="AB148" s="71"/>
    </row>
    <row r="149" spans="1:28">
      <c r="A149" s="56"/>
      <c r="B149" s="56"/>
      <c r="C149" s="56"/>
      <c r="D149" s="2"/>
      <c r="E149" s="2"/>
      <c r="F149" s="2"/>
      <c r="H149" s="2"/>
      <c r="I149" s="2"/>
      <c r="J149" s="2"/>
      <c r="L149" s="2"/>
      <c r="AB149" s="71"/>
    </row>
    <row r="150" spans="1:28">
      <c r="A150" s="56"/>
      <c r="B150" s="56"/>
      <c r="C150" s="56"/>
      <c r="D150" s="2"/>
      <c r="E150" s="2"/>
      <c r="F150" s="2"/>
      <c r="H150" s="2"/>
      <c r="I150" s="2"/>
      <c r="J150" s="2"/>
      <c r="L150" s="2"/>
      <c r="AB150" s="71"/>
    </row>
    <row r="151" spans="1:28">
      <c r="A151" s="56"/>
      <c r="B151" s="56"/>
      <c r="C151" s="56"/>
      <c r="D151" s="2"/>
      <c r="E151" s="2"/>
      <c r="F151" s="2"/>
      <c r="H151" s="2"/>
      <c r="I151" s="2"/>
      <c r="J151" s="2"/>
      <c r="L151" s="2"/>
      <c r="AB151" s="71"/>
    </row>
    <row r="152" spans="1:28">
      <c r="A152" s="56"/>
      <c r="B152" s="56"/>
      <c r="C152" s="56"/>
      <c r="D152" s="2"/>
      <c r="E152" s="2"/>
      <c r="F152" s="2"/>
      <c r="H152" s="2"/>
      <c r="I152" s="2"/>
      <c r="J152" s="2"/>
      <c r="L152" s="2"/>
    </row>
    <row r="153" spans="1:28">
      <c r="A153" s="56"/>
      <c r="B153" s="56"/>
      <c r="C153" s="56"/>
      <c r="D153" s="2"/>
      <c r="E153" s="2"/>
      <c r="F153" s="2"/>
      <c r="H153" s="2"/>
      <c r="I153" s="2"/>
      <c r="J153" s="2"/>
      <c r="L153" s="2"/>
      <c r="W153" s="72"/>
      <c r="AB153" s="71"/>
    </row>
    <row r="154" spans="1:28">
      <c r="A154" s="56"/>
      <c r="B154" s="56"/>
      <c r="C154" s="56"/>
      <c r="D154" s="2"/>
      <c r="E154" s="2"/>
      <c r="F154" s="2"/>
      <c r="H154" s="2"/>
      <c r="I154" s="2"/>
      <c r="J154" s="2"/>
      <c r="L154" s="2"/>
      <c r="W154" s="72"/>
    </row>
    <row r="155" spans="1:28">
      <c r="A155" s="56"/>
      <c r="B155" s="56"/>
      <c r="C155" s="56"/>
      <c r="D155" s="2"/>
      <c r="E155" s="2"/>
      <c r="F155" s="2"/>
      <c r="H155" s="2"/>
      <c r="I155" s="2"/>
      <c r="J155" s="2"/>
      <c r="L155" s="2"/>
    </row>
    <row r="156" spans="1:28">
      <c r="A156" s="56"/>
      <c r="B156" s="56"/>
      <c r="C156" s="56"/>
      <c r="D156" s="2"/>
      <c r="E156" s="2"/>
      <c r="F156" s="2"/>
      <c r="H156" s="2"/>
      <c r="I156" s="2"/>
      <c r="J156" s="2"/>
      <c r="L156" s="2"/>
    </row>
    <row r="157" spans="1:28">
      <c r="A157" s="56"/>
      <c r="B157" s="56"/>
      <c r="C157" s="56"/>
      <c r="D157" s="2"/>
      <c r="E157" s="2"/>
      <c r="F157" s="2"/>
      <c r="H157" s="2"/>
      <c r="I157" s="2"/>
      <c r="J157" s="2"/>
      <c r="L157" s="2"/>
      <c r="AB157" s="71"/>
    </row>
    <row r="158" spans="1:28">
      <c r="A158" s="56"/>
      <c r="B158" s="56"/>
      <c r="C158" s="56"/>
      <c r="D158" s="2"/>
      <c r="E158" s="2"/>
      <c r="F158" s="2"/>
      <c r="H158" s="2"/>
      <c r="I158" s="2"/>
      <c r="J158" s="2"/>
      <c r="L158" s="2"/>
      <c r="AB158" s="71"/>
    </row>
    <row r="159" spans="1:28">
      <c r="A159" s="56"/>
      <c r="B159" s="56"/>
      <c r="C159" s="56"/>
      <c r="D159" s="2"/>
      <c r="E159" s="2"/>
      <c r="F159" s="2"/>
      <c r="H159" s="2"/>
      <c r="I159" s="2"/>
      <c r="J159" s="2"/>
      <c r="L159" s="2"/>
      <c r="W159" s="72"/>
      <c r="AB159" s="71"/>
    </row>
    <row r="160" spans="1:28">
      <c r="A160" s="56"/>
      <c r="B160" s="56"/>
      <c r="C160" s="56"/>
      <c r="D160" s="2"/>
      <c r="E160" s="2"/>
      <c r="F160" s="2"/>
      <c r="H160" s="2"/>
      <c r="I160" s="2"/>
      <c r="J160" s="2"/>
      <c r="L160" s="2"/>
      <c r="W160" s="72"/>
      <c r="AB160" s="71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</row>
    <row r="167" spans="1:28">
      <c r="AB167" s="71"/>
    </row>
    <row r="168" spans="1:28">
      <c r="AB168" s="71"/>
    </row>
    <row r="169" spans="1:28">
      <c r="AB169" s="71"/>
    </row>
    <row r="170" spans="1:28">
      <c r="AB170" s="71"/>
    </row>
    <row r="171" spans="1:28">
      <c r="W171" s="72"/>
      <c r="AB171" s="71"/>
    </row>
    <row r="172" spans="1:28">
      <c r="W172" s="72"/>
      <c r="AB172" s="71"/>
    </row>
    <row r="173" spans="1:28">
      <c r="W173" s="72"/>
    </row>
    <row r="175" spans="1:28">
      <c r="AB175" s="71"/>
    </row>
    <row r="176" spans="1:28">
      <c r="AB176" s="71"/>
    </row>
    <row r="177" spans="23:28">
      <c r="AB177" s="71"/>
    </row>
    <row r="178" spans="23:28">
      <c r="AB178" s="71"/>
    </row>
    <row r="179" spans="23:28">
      <c r="AB179" s="71"/>
    </row>
    <row r="180" spans="23:28">
      <c r="W180" s="72"/>
      <c r="AB180" s="71"/>
    </row>
    <row r="181" spans="23:28">
      <c r="W181" s="72"/>
    </row>
    <row r="182" spans="23:28">
      <c r="W182" s="72"/>
    </row>
    <row r="189" spans="23:28">
      <c r="W189" s="72"/>
    </row>
    <row r="190" spans="23:28">
      <c r="W190" s="72"/>
    </row>
    <row r="191" spans="23:28">
      <c r="W191" s="72"/>
    </row>
    <row r="201" spans="23:23">
      <c r="W201" s="72"/>
    </row>
    <row r="202" spans="23:23">
      <c r="W202" s="72"/>
    </row>
    <row r="203" spans="23:23">
      <c r="W203" s="72"/>
    </row>
    <row r="210" spans="23:23">
      <c r="W210" s="72"/>
    </row>
    <row r="211" spans="23:23">
      <c r="W211" s="72"/>
    </row>
    <row r="212" spans="23:23">
      <c r="W212" s="72"/>
    </row>
    <row r="219" spans="23:23">
      <c r="W219" s="72"/>
    </row>
    <row r="220" spans="23:23">
      <c r="W220" s="72"/>
    </row>
    <row r="221" spans="23:23">
      <c r="W221" s="72"/>
    </row>
    <row r="231" spans="23:23">
      <c r="W231" s="72"/>
    </row>
    <row r="232" spans="23:23">
      <c r="W232" s="72"/>
    </row>
    <row r="233" spans="23:23">
      <c r="W233" s="72"/>
    </row>
    <row r="240" spans="23:23">
      <c r="W240" s="72"/>
    </row>
    <row r="241" spans="23:23">
      <c r="W241" s="72"/>
    </row>
    <row r="242" spans="23:23">
      <c r="W242" s="72"/>
    </row>
    <row r="249" spans="23:23">
      <c r="W249" s="72"/>
    </row>
    <row r="250" spans="23:23">
      <c r="W250" s="72"/>
    </row>
    <row r="251" spans="23:23">
      <c r="W251" s="72"/>
    </row>
  </sheetData>
  <sheetProtection sheet="1" objects="1" scenarios="1"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19" val="1" numFmtId="9"/>
      <inputCells r="E20" val="1" numFmtId="9"/>
      <inputCells r="E21" val="1" numFmtId="9"/>
      <inputCells r="E32" val="1" numFmtId="9"/>
      <inputCells r="E36" val="1" numFmtId="9"/>
      <inputCells r="E37" val="1" numFmtId="9"/>
      <inputCells r="E38" val="1" numFmtId="9"/>
      <inputCells r="E51" val="1" numFmtId="9"/>
      <inputCells r="F30" val="1" numFmtId="9"/>
      <inputCells r="F31" val="2" numFmtId="9"/>
      <inputCells r="F32" val="1.25" numFmtId="9"/>
      <inputCells r="F36" val="1" numFmtId="9"/>
      <inputCells r="F37" val="0.4" numFmtId="9"/>
      <inputCells r="F38" val="1" numFmtId="9"/>
      <inputCells r="F51" val="1" numFmtId="9"/>
      <inputCells r="F29" val="2.5" numFmtId="9"/>
      <inputCells r="G29" val="2" numFmtId="9"/>
      <inputCells r="F57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19" val="1" numFmtId="9"/>
      <inputCells r="E20" val="1" numFmtId="9"/>
      <inputCells r="E21" val="1" numFmtId="9"/>
      <inputCells r="E32" val="1" numFmtId="9"/>
      <inputCells r="E36" val="1" numFmtId="9"/>
      <inputCells r="E37" val="1" numFmtId="9"/>
      <inputCells r="E38" val="1" numFmtId="9"/>
      <inputCells r="E51" val="1" numFmtId="9"/>
      <inputCells r="F29" val="1" numFmtId="9"/>
      <inputCells r="F30" val="1" numFmtId="9"/>
      <inputCells r="F31" val="1" numFmtId="9"/>
      <inputCells r="F32" val="1" numFmtId="9"/>
      <inputCells r="F36" val="1" numFmtId="9"/>
      <inputCells r="F37" val="1" numFmtId="9"/>
      <inputCells r="F38" val="1" numFmtId="9"/>
      <inputCells r="F51" val="1" numFmtId="9"/>
      <inputCells r="G29" val="1" numFmtId="9"/>
      <inputCells r="F57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U7:U22">
    <cfRule type="cellIs" dxfId="255" priority="65" operator="equal">
      <formula>16</formula>
    </cfRule>
    <cfRule type="cellIs" dxfId="254" priority="66" operator="equal">
      <formula>15</formula>
    </cfRule>
    <cfRule type="cellIs" dxfId="253" priority="67" operator="equal">
      <formula>14</formula>
    </cfRule>
    <cfRule type="cellIs" dxfId="252" priority="68" operator="equal">
      <formula>13</formula>
    </cfRule>
    <cfRule type="cellIs" dxfId="251" priority="69" operator="equal">
      <formula>12</formula>
    </cfRule>
    <cfRule type="cellIs" dxfId="250" priority="70" operator="equal">
      <formula>11</formula>
    </cfRule>
    <cfRule type="cellIs" dxfId="249" priority="71" operator="equal">
      <formula>10</formula>
    </cfRule>
    <cfRule type="cellIs" dxfId="248" priority="72" operator="equal">
      <formula>9</formula>
    </cfRule>
    <cfRule type="cellIs" dxfId="247" priority="73" operator="equal">
      <formula>8</formula>
    </cfRule>
    <cfRule type="cellIs" dxfId="246" priority="74" operator="equal">
      <formula>7</formula>
    </cfRule>
    <cfRule type="cellIs" dxfId="245" priority="75" operator="equal">
      <formula>6</formula>
    </cfRule>
    <cfRule type="cellIs" dxfId="244" priority="76" operator="equal">
      <formula>5</formula>
    </cfRule>
    <cfRule type="cellIs" dxfId="243" priority="77" operator="equal">
      <formula>4</formula>
    </cfRule>
    <cfRule type="cellIs" dxfId="242" priority="78" operator="equal">
      <formula>3</formula>
    </cfRule>
    <cfRule type="cellIs" dxfId="241" priority="79" operator="equal">
      <formula>2</formula>
    </cfRule>
    <cfRule type="cellIs" dxfId="240" priority="80" operator="equal">
      <formula>1</formula>
    </cfRule>
  </conditionalFormatting>
  <conditionalFormatting sqref="N6:N21">
    <cfRule type="cellIs" dxfId="239" priority="33" operator="equal">
      <formula>16</formula>
    </cfRule>
    <cfRule type="cellIs" dxfId="238" priority="34" operator="equal">
      <formula>15</formula>
    </cfRule>
    <cfRule type="cellIs" dxfId="237" priority="35" operator="equal">
      <formula>14</formula>
    </cfRule>
    <cfRule type="cellIs" dxfId="236" priority="36" operator="equal">
      <formula>13</formula>
    </cfRule>
    <cfRule type="cellIs" dxfId="235" priority="37" operator="equal">
      <formula>12</formula>
    </cfRule>
    <cfRule type="cellIs" dxfId="234" priority="38" operator="equal">
      <formula>11</formula>
    </cfRule>
    <cfRule type="cellIs" dxfId="233" priority="39" operator="equal">
      <formula>10</formula>
    </cfRule>
    <cfRule type="cellIs" dxfId="232" priority="40" operator="equal">
      <formula>9</formula>
    </cfRule>
    <cfRule type="cellIs" dxfId="231" priority="41" operator="equal">
      <formula>8</formula>
    </cfRule>
    <cfRule type="cellIs" dxfId="230" priority="42" operator="equal">
      <formula>7</formula>
    </cfRule>
    <cfRule type="cellIs" dxfId="229" priority="43" operator="equal">
      <formula>6</formula>
    </cfRule>
    <cfRule type="cellIs" dxfId="228" priority="44" operator="equal">
      <formula>5</formula>
    </cfRule>
    <cfRule type="cellIs" dxfId="227" priority="45" operator="equal">
      <formula>4</formula>
    </cfRule>
    <cfRule type="cellIs" dxfId="226" priority="46" operator="equal">
      <formula>3</formula>
    </cfRule>
    <cfRule type="cellIs" dxfId="225" priority="47" operator="equal">
      <formula>2</formula>
    </cfRule>
    <cfRule type="cellIs" dxfId="224" priority="48" operator="equal">
      <formula>1</formula>
    </cfRule>
  </conditionalFormatting>
  <conditionalFormatting sqref="N78:N91">
    <cfRule type="cellIs" dxfId="223" priority="17" operator="equal">
      <formula>16</formula>
    </cfRule>
    <cfRule type="cellIs" dxfId="222" priority="18" operator="equal">
      <formula>15</formula>
    </cfRule>
    <cfRule type="cellIs" dxfId="221" priority="19" operator="equal">
      <formula>14</formula>
    </cfRule>
    <cfRule type="cellIs" dxfId="220" priority="20" operator="equal">
      <formula>13</formula>
    </cfRule>
    <cfRule type="cellIs" dxfId="219" priority="21" operator="equal">
      <formula>12</formula>
    </cfRule>
    <cfRule type="cellIs" dxfId="218" priority="22" operator="equal">
      <formula>11</formula>
    </cfRule>
    <cfRule type="cellIs" dxfId="217" priority="23" operator="equal">
      <formula>10</formula>
    </cfRule>
    <cfRule type="cellIs" dxfId="216" priority="24" operator="equal">
      <formula>9</formula>
    </cfRule>
    <cfRule type="cellIs" dxfId="215" priority="25" operator="equal">
      <formula>8</formula>
    </cfRule>
    <cfRule type="cellIs" dxfId="214" priority="26" operator="equal">
      <formula>7</formula>
    </cfRule>
    <cfRule type="cellIs" dxfId="213" priority="27" operator="equal">
      <formula>6</formula>
    </cfRule>
    <cfRule type="cellIs" dxfId="212" priority="28" operator="equal">
      <formula>5</formula>
    </cfRule>
    <cfRule type="cellIs" dxfId="211" priority="29" operator="equal">
      <formula>4</formula>
    </cfRule>
    <cfRule type="cellIs" dxfId="210" priority="30" operator="equal">
      <formula>3</formula>
    </cfRule>
    <cfRule type="cellIs" dxfId="209" priority="31" operator="equal">
      <formula>2</formula>
    </cfRule>
    <cfRule type="cellIs" dxfId="208" priority="32" operator="equal">
      <formula>1</formula>
    </cfRule>
  </conditionalFormatting>
  <conditionalFormatting sqref="N92:N100">
    <cfRule type="cellIs" dxfId="207" priority="1" operator="equal">
      <formula>16</formula>
    </cfRule>
    <cfRule type="cellIs" dxfId="206" priority="2" operator="equal">
      <formula>15</formula>
    </cfRule>
    <cfRule type="cellIs" dxfId="205" priority="3" operator="equal">
      <formula>14</formula>
    </cfRule>
    <cfRule type="cellIs" dxfId="204" priority="4" operator="equal">
      <formula>13</formula>
    </cfRule>
    <cfRule type="cellIs" dxfId="203" priority="5" operator="equal">
      <formula>12</formula>
    </cfRule>
    <cfRule type="cellIs" dxfId="202" priority="6" operator="equal">
      <formula>11</formula>
    </cfRule>
    <cfRule type="cellIs" dxfId="201" priority="7" operator="equal">
      <formula>10</formula>
    </cfRule>
    <cfRule type="cellIs" dxfId="200" priority="8" operator="equal">
      <formula>9</formula>
    </cfRule>
    <cfRule type="cellIs" dxfId="199" priority="9" operator="equal">
      <formula>8</formula>
    </cfRule>
    <cfRule type="cellIs" dxfId="198" priority="10" operator="equal">
      <formula>7</formula>
    </cfRule>
    <cfRule type="cellIs" dxfId="197" priority="11" operator="equal">
      <formula>6</formula>
    </cfRule>
    <cfRule type="cellIs" dxfId="196" priority="12" operator="equal">
      <formula>5</formula>
    </cfRule>
    <cfRule type="cellIs" dxfId="195" priority="13" operator="equal">
      <formula>4</formula>
    </cfRule>
    <cfRule type="cellIs" dxfId="194" priority="14" operator="equal">
      <formula>3</formula>
    </cfRule>
    <cfRule type="cellIs" dxfId="193" priority="15" operator="equal">
      <formula>2</formula>
    </cfRule>
    <cfRule type="cellIs" dxfId="19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51"/>
  <sheetViews>
    <sheetView showGridLines="0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I57" sqref="I57:M5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1"/>
      <c r="X1" s="115" t="s">
        <v>67</v>
      </c>
      <c r="Y1" s="116" t="s">
        <v>58</v>
      </c>
      <c r="Z1" s="182" t="str">
        <f>Poor!Z1</f>
        <v>Apr-Jun</v>
      </c>
      <c r="AA1" s="183"/>
      <c r="AB1" s="182" t="str">
        <f>Poor!AB1</f>
        <v>Jul-Sep</v>
      </c>
      <c r="AC1" s="183"/>
      <c r="AD1" s="182" t="str">
        <f>Poor!AD1</f>
        <v>Oct-Dec</v>
      </c>
      <c r="AE1" s="183"/>
      <c r="AF1" s="182" t="str">
        <f>Poor!AF1</f>
        <v>Jan-Mar</v>
      </c>
      <c r="AG1" s="183"/>
      <c r="AH1" s="118"/>
      <c r="AI1" s="111"/>
      <c r="AJ1" s="182" t="str">
        <f>LEFT(Z1,4) &amp; MID(AB1,5,3)</f>
        <v>Apr-Sep</v>
      </c>
      <c r="AK1" s="183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1"/>
      <c r="X2" s="119" t="s">
        <v>59</v>
      </c>
      <c r="Y2" s="116" t="s">
        <v>60</v>
      </c>
      <c r="Z2" s="247" t="str">
        <f>Poor!Z2</f>
        <v>Q1</v>
      </c>
      <c r="AA2" s="248"/>
      <c r="AB2" s="247" t="str">
        <f>Poor!AB2</f>
        <v>Q2</v>
      </c>
      <c r="AC2" s="248"/>
      <c r="AD2" s="247" t="str">
        <f>Poor!AD2</f>
        <v>Q3</v>
      </c>
      <c r="AE2" s="248"/>
      <c r="AF2" s="247" t="str">
        <f>Poor!AF2</f>
        <v>Q4</v>
      </c>
      <c r="AG2" s="248"/>
      <c r="AH2" s="118"/>
      <c r="AI2" s="111"/>
      <c r="AJ2" s="199" t="str">
        <f>Poor!AJ2</f>
        <v>H1</v>
      </c>
      <c r="AK2" s="200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1"/>
      <c r="X3" s="119"/>
      <c r="Y3" s="116" t="s">
        <v>61</v>
      </c>
      <c r="Z3" s="121"/>
      <c r="AA3" s="120"/>
      <c r="AB3" s="121"/>
      <c r="AC3" s="120"/>
      <c r="AD3" s="121"/>
      <c r="AE3" s="120"/>
      <c r="AF3" s="121"/>
      <c r="AG3" s="120"/>
      <c r="AH3" s="118"/>
      <c r="AI3" s="111"/>
      <c r="AJ3" s="121"/>
      <c r="AK3" s="120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1"/>
      <c r="X4" s="119"/>
      <c r="Y4" s="116" t="s">
        <v>62</v>
      </c>
      <c r="Z4" s="121"/>
      <c r="AA4" s="120"/>
      <c r="AB4" s="121"/>
      <c r="AC4" s="120"/>
      <c r="AD4" s="121"/>
      <c r="AE4" s="120"/>
      <c r="AF4" s="121"/>
      <c r="AG4" s="120"/>
      <c r="AH4" s="118"/>
      <c r="AI4" s="111"/>
      <c r="AJ4" s="121"/>
      <c r="AK4" s="120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1"/>
      <c r="X5" s="119"/>
      <c r="Y5" s="116"/>
      <c r="Z5" s="121"/>
      <c r="AA5" s="120"/>
      <c r="AB5" s="121"/>
      <c r="AC5" s="120"/>
      <c r="AD5" s="121"/>
      <c r="AE5" s="120"/>
      <c r="AF5" s="121"/>
      <c r="AG5" s="120"/>
      <c r="AH5" s="118"/>
      <c r="AI5" s="111"/>
      <c r="AJ5" s="121"/>
      <c r="AK5" s="120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2">
        <f>IF([1]Summ!$H1044="",0,[1]Summ!$H1044)</f>
        <v>4.0049813200498136E-2</v>
      </c>
      <c r="C6" s="103">
        <f>IF([1]Summ!$I1044="",0,[1]Summ!$I1044)</f>
        <v>0</v>
      </c>
      <c r="D6" s="24">
        <f t="shared" ref="D6:D21" si="0">(B6+C6)</f>
        <v>4.0049813200498136E-2</v>
      </c>
      <c r="E6" s="75">
        <f>Poor!E6</f>
        <v>1</v>
      </c>
      <c r="F6" s="2" t="s">
        <v>21</v>
      </c>
      <c r="H6" s="24">
        <f t="shared" ref="H6:H21" si="1">(E6*F$7/F$9)</f>
        <v>1</v>
      </c>
      <c r="I6" s="22">
        <f t="shared" ref="I6:I21" si="2">(D6*H6)</f>
        <v>4.0049813200498136E-2</v>
      </c>
      <c r="J6" s="24">
        <f t="shared" ref="J6:J13" si="3">IF(I$24&lt;=1+I$113,I6,B6*H6+J$25*(I6-B6*H6))</f>
        <v>4.0049813200498136E-2</v>
      </c>
      <c r="K6" s="22">
        <f t="shared" ref="K6:K23" si="4">B6</f>
        <v>4.0049813200498136E-2</v>
      </c>
      <c r="L6" s="22">
        <f t="shared" ref="L6:L21" si="5">IF(K6="","",K6*H6)</f>
        <v>4.0049813200498136E-2</v>
      </c>
      <c r="M6" s="230">
        <f t="shared" ref="M6:M23" si="6">J6</f>
        <v>4.0049813200498136E-2</v>
      </c>
      <c r="N6" s="235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6"/>
      <c r="X6" s="119"/>
      <c r="Y6" s="185">
        <f>M6*4</f>
        <v>0.16019925280199254</v>
      </c>
      <c r="Z6" s="157">
        <f>Poor!Z6</f>
        <v>0.17</v>
      </c>
      <c r="AA6" s="122">
        <f>$M6*Z6*4</f>
        <v>2.7233872976338735E-2</v>
      </c>
      <c r="AB6" s="157">
        <f>Poor!AB6</f>
        <v>0.17</v>
      </c>
      <c r="AC6" s="122">
        <f t="shared" ref="AC6:AC21" si="7">$M6*AB6*4</f>
        <v>2.7233872976338735E-2</v>
      </c>
      <c r="AD6" s="157">
        <f>Poor!AD6</f>
        <v>0.33</v>
      </c>
      <c r="AE6" s="122">
        <f t="shared" ref="AE6:AE21" si="8">$M6*AD6*4</f>
        <v>5.286575342465754E-2</v>
      </c>
      <c r="AF6" s="123">
        <f>1-SUM(Z6,AB6,AD6)</f>
        <v>0.32999999999999996</v>
      </c>
      <c r="AG6" s="122">
        <f>$M6*AF6*4</f>
        <v>5.2865753424657533E-2</v>
      </c>
      <c r="AH6" s="124">
        <f>SUM(Z6,AB6,AD6,AF6)</f>
        <v>1</v>
      </c>
      <c r="AI6" s="185">
        <f>SUM(AA6,AC6,AE6,AG6)/4</f>
        <v>4.0049813200498136E-2</v>
      </c>
      <c r="AJ6" s="121">
        <f>(AA6+AC6)/2</f>
        <v>2.7233872976338735E-2</v>
      </c>
      <c r="AK6" s="120">
        <f>(AE6+AG6)/2</f>
        <v>5.2865753424657533E-2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2">
        <f>IF([1]Summ!$H1045="",0,[1]Summ!$H1045)</f>
        <v>9.4502801992528019E-3</v>
      </c>
      <c r="C7" s="103">
        <f>IF([1]Summ!$I1045="",0,[1]Summ!$I1045)</f>
        <v>0</v>
      </c>
      <c r="D7" s="24">
        <f t="shared" si="0"/>
        <v>9.4502801992528019E-3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9.4502801992528019E-3</v>
      </c>
      <c r="J7" s="24">
        <f t="shared" si="3"/>
        <v>9.4502801992528019E-3</v>
      </c>
      <c r="K7" s="22">
        <f t="shared" si="4"/>
        <v>9.4502801992528019E-3</v>
      </c>
      <c r="L7" s="22">
        <f t="shared" si="5"/>
        <v>9.4502801992528019E-3</v>
      </c>
      <c r="M7" s="230">
        <f t="shared" si="6"/>
        <v>9.4502801992528019E-3</v>
      </c>
      <c r="N7" s="235">
        <v>3</v>
      </c>
      <c r="O7" s="2"/>
      <c r="P7" s="22"/>
      <c r="Q7" s="59" t="s">
        <v>71</v>
      </c>
      <c r="R7" s="228">
        <f>IF($B$68=0,0,(SUMIF($N$6:$N$20,$U7,K$6:K$20)+SUMIF($N$78:$N$100,$U7,K$78:K$100))*$I$70*Poor!$B$68/$B$68)</f>
        <v>3104.472928176795</v>
      </c>
      <c r="S7" s="228">
        <f>IF($B$68=0,0,(SUMIF($N$6:$N$20,$U7,L$6:L$20)+SUMIF($N$78:$N$100,$U7,L$78:L$100))*$I$70*Poor!$B$68/$B$68)</f>
        <v>3104.472928176795</v>
      </c>
      <c r="T7" s="228">
        <f>IF($B$68=0,0,(SUMIF($N$6:$N$20,$U7,M$6:M$20)+SUMIF($N$78:$N$100,$U7,M$78:M$100))*$I$70*Poor!$B$68/$B$68)</f>
        <v>3093.4790784119295</v>
      </c>
      <c r="U7" s="229">
        <v>1</v>
      </c>
      <c r="V7" s="56"/>
      <c r="W7" s="116"/>
      <c r="X7" s="119">
        <f>Poor!X7</f>
        <v>4</v>
      </c>
      <c r="Y7" s="185">
        <f t="shared" ref="Y7:Y21" si="9">M7*4</f>
        <v>3.7801120797011208E-2</v>
      </c>
      <c r="Z7" s="126">
        <f>IF($Y7=0,0,AA7/$Y7)</f>
        <v>0</v>
      </c>
      <c r="AA7" s="122">
        <f>IF($X7=1,IF(SUM(AA$6,AA$12:AA$21)&lt;1,IF((1-SUM(AA$6,AA$12:AA$21))*$M7/SUM($M$7*IF($X$7=1,1,0),$M$8*IF($X$8=1,1,0),$M$9*IF($X$9=1,1,0),$M$10*IF($X$10=1,1,0),$M$11*IF($X$11=1,1,0))&lt;Y7,(1-SUM(AA$6,AA$12:AA$21))*$M7/SUM($M$7*IF($X$7=1,1,0),$M$8*IF($X$8=1,1,0),$M$9*IF($X$9=1,1,0),$M$10*IF($X$10=1,1,0),$M$11*IF($X$11=1,1,0)),Y7),0),0)</f>
        <v>0</v>
      </c>
      <c r="AB7" s="126">
        <f>IF($Y7=0,0,AC7/$Y7)</f>
        <v>0</v>
      </c>
      <c r="AC7" s="122">
        <f>IF($X7&lt;3,IF(SUM(AC$6,AC$12:AC$21)&lt;1,IF(SUM(AC$6,AC$12:AC$21)+SUM((Y$7-AA$7)*IF($X$7&lt;3,1,0),(Y$8-AA$8)*IF($X$8&lt;3,1,0),(Y$9-AA$9)*IF($X$9&lt;3,1,0),(Y$10-AA$10)*IF($X$10&lt;3,1,0),(Y$11-AA$11)*IF($X$11&lt;3,1,0))&lt;1,Y7-AA7,IF((1-SUM(AC$6,AC$12:AC$21))*$M7/SUM($M$7*IF($X$7&lt;3,1,0),$M$8*IF($X$8&lt;3,1,0),$M$9*IF($X$9&lt;3,1,0),$M$10*IF($X$10&lt;3,1,0),$M$11*IF($X$11&lt;3,1,0))&lt;Y7-AA7,(1-SUM(AC$6,AC$12:AC$21))*$M7/SUM($M$7*IF($X$7&lt;3,1,0),$M$8*IF($X$8&lt;3,1,0),$M$9*IF($X$9&lt;3,1,0),$M$10*IF($X$10&lt;3,1,0),$M$11*IF($X$11&lt;3,1,0)),Y7-AA7)),0),0)</f>
        <v>0</v>
      </c>
      <c r="AD7" s="126">
        <f>IF($Y7=0,0,AE7/$Y7)</f>
        <v>0</v>
      </c>
      <c r="AE7" s="122">
        <f>IF($X7&lt;4,IF(SUM(AE$6:AE$6,AE$12:AE$21)&lt;1,IF(SUM(AE$6:AE$6,AE$12:AE$21)+SUM((Y$7-AA$7-AC$7)*IF($X$7&lt;3,1,0),(Y$8-AA$8-AC$8)*IF($X$8&lt;3,1,0),(Y$9-AA$9-AC$9)*IF($X$9&lt;3,1,0),(Y$10-AA$10-AC$10)*IF($X$10&lt;3,1,0),(Y$11-AA$11-AC$11)*IF($X$11&lt;3,1,0))&lt;1,Y7-AA7-AC7,IF((1-SUM(AE$6:AE$6,AE$12:AE$21))*$M7/SUM($M$7*IF($X$7&lt;4,1,0),$M$8*IF($X$8&lt;4,1,0),$M$9*IF($X$9&lt;4,1,0),$M$10*IF($X$10&lt;4,1,0),$M$11*IF($X$11&lt;4,1,0))&lt;Y7-AA7-AC7,(1-SUM(AE$6:AE$6,AE$12:AE$21))*$M7/SUM($M$7*IF($X$7&lt;4,1,0),$M$8*IF($X$8&lt;4,1,0),$M$9*IF($X$9&lt;4,1,0),$M$10*IF($X$10&lt;4,1,0),$M$11*IF($X$11&lt;4,1,0)),Y7-AA7-AC7)),0),0)</f>
        <v>0</v>
      </c>
      <c r="AF7" s="123">
        <f t="shared" ref="AF7:AF21" si="10">1-SUM(Z7,AB7,AD7)</f>
        <v>1</v>
      </c>
      <c r="AG7" s="122">
        <f t="shared" ref="AG7:AG21" si="11">$M7*AF7*4</f>
        <v>3.7801120797011208E-2</v>
      </c>
      <c r="AH7" s="124">
        <f t="shared" ref="AH7:AH22" si="12">SUM(Z7,AB7,AD7,AF7)</f>
        <v>1</v>
      </c>
      <c r="AI7" s="185">
        <f t="shared" ref="AI7:AI22" si="13">SUM(AA7,AC7,AE7,AG7)/4</f>
        <v>9.4502801992528019E-3</v>
      </c>
      <c r="AJ7" s="121">
        <f t="shared" ref="AJ7:AJ23" si="14">(AA7+AC7)/2</f>
        <v>0</v>
      </c>
      <c r="AK7" s="120">
        <f t="shared" ref="AK7:AK23" si="15">(AE7+AG7)/2</f>
        <v>1.8900560398505604E-2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2">
        <f>IF([1]Summ!$H1046="",0,[1]Summ!$H1046)</f>
        <v>0.378532602739726</v>
      </c>
      <c r="C8" s="103">
        <f>IF([1]Summ!$I1046="",0,[1]Summ!$I1046)</f>
        <v>0.75706520547945177</v>
      </c>
      <c r="D8" s="24">
        <f t="shared" si="0"/>
        <v>1.1355978082191778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1.1355978082191778</v>
      </c>
      <c r="J8" s="24">
        <f t="shared" si="3"/>
        <v>0.37697504257049136</v>
      </c>
      <c r="K8" s="22">
        <f t="shared" si="4"/>
        <v>0.378532602739726</v>
      </c>
      <c r="L8" s="22">
        <f t="shared" si="5"/>
        <v>0.378532602739726</v>
      </c>
      <c r="M8" s="230">
        <f t="shared" si="6"/>
        <v>0.37697504257049136</v>
      </c>
      <c r="N8" s="235">
        <v>1</v>
      </c>
      <c r="O8" s="2"/>
      <c r="P8" s="22"/>
      <c r="Q8" s="59" t="s">
        <v>72</v>
      </c>
      <c r="R8" s="228">
        <f>IF($B$68=0,0,(SUMIF($N$6:$N$20,$U8,K$6:K$20)+SUMIF($N$78:$N$100,$U8,K$78:K$100))*$I$70*Poor!$B$68/$B$68)</f>
        <v>3768.5759999999996</v>
      </c>
      <c r="S8" s="228">
        <f>IF($B$68=0,0,(SUMIF($N$6:$N$20,$U8,L$6:L$20)+SUMIF($N$78:$N$100,$U8,L$78:L$100))*$I$70*Poor!$B$68/$B$68)</f>
        <v>3498.096</v>
      </c>
      <c r="T8" s="228">
        <f>IF($B$68=0,0,(SUMIF($N$6:$N$20,$U8,M$6:M$20)+SUMIF($N$78:$N$100,$U8,M$78:M$100))*$I$70*Poor!$B$68/$B$68)</f>
        <v>3503.6887353458615</v>
      </c>
      <c r="U8" s="229">
        <v>2</v>
      </c>
      <c r="V8" s="56"/>
      <c r="W8" s="116"/>
      <c r="X8" s="119">
        <f>Poor!X8</f>
        <v>1</v>
      </c>
      <c r="Y8" s="185">
        <f t="shared" si="9"/>
        <v>1.5079001702819654</v>
      </c>
      <c r="Z8" s="126">
        <f>IF($Y8=0,0,AA8/$Y8)</f>
        <v>0.3841880470065217</v>
      </c>
      <c r="AA8" s="122">
        <f>IF($X8=1,IF(SUM(AA$6,AA$12:AA$21)&lt;1,IF((1-SUM(AA$6,AA$12:AA$21))*$M8/SUM($M$7*IF($X$7=1,1,0),$M$8*IF($X$8=1,1,0),$M$9*IF($X$9=1,1,0),$M$10*IF($X$10=1,1,0),$M$11*IF($X$11=1,1,0))&lt;Y8,(1-SUM(AA$6,AA$12:AA$21))*$M8/SUM($M$7*IF($X$7=1,1,0),$M$8*IF($X$8=1,1,0),$M$9*IF($X$9=1,1,0),$M$10*IF($X$10=1,1,0),$M$11*IF($X$11=1,1,0)),Y8),0),0)</f>
        <v>0.57931722150142984</v>
      </c>
      <c r="AB8" s="126">
        <f>IF($Y8=0,0,AC8/$Y8)</f>
        <v>0.3841880470065217</v>
      </c>
      <c r="AC8" s="122">
        <f>IF($X8&lt;3,IF(SUM(AC$6,AC$12:AC$21)&lt;1,IF(SUM(AC$6,AC$12:AC$21)+SUM((Y$7-AA$7)*IF($X$7&lt;3,1,0),(Y$8-AA$8)*IF($X$8&lt;3,1,0),(Y$9-AA$9)*IF($X$9&lt;3,1,0),(Y$10-AA$10)*IF($X$10&lt;3,1,0),(Y$11-AA$11)*IF($X$11&lt;3,1,0))&lt;1,Y8-AA8,IF((1-SUM(AC$6,AC$12:AC$21))*$M8/SUM($M$7*IF($X$7&lt;3,1,0),$M$8*IF($X$8&lt;3,1,0),$M$9*IF($X$9&lt;3,1,0),$M$10*IF($X$10&lt;3,1,0),$M$11*IF($X$11&lt;3,1,0))&lt;Y8-AA8,(1-SUM(AC$6,AC$12:AC$21))*$M8/SUM($M$7*IF($X$7&lt;3,1,0),$M$8*IF($X$8&lt;3,1,0),$M$9*IF($X$9&lt;3,1,0),$M$10*IF($X$10&lt;3,1,0),$M$11*IF($X$11&lt;3,1,0)),Y8-AA8)),0),0)</f>
        <v>0.57931722150142984</v>
      </c>
      <c r="AD8" s="126">
        <f>IF($Y8=0,0,AE8/$Y8)</f>
        <v>0.23162390598695656</v>
      </c>
      <c r="AE8" s="122">
        <f>IF($X8&lt;4,IF(SUM(AE$6:AE$6,AE$12:AE$21)&lt;1,IF(SUM(AE$6:AE$6,AE$12:AE$21)+SUM((Y$7-AA$7-AC$7)*IF($X$7&lt;3,1,0),(Y$8-AA$8-AC$8)*IF($X$8&lt;3,1,0),(Y$9-AA$9-AC$9)*IF($X$9&lt;3,1,0),(Y$10-AA$10-AC$10)*IF($X$10&lt;3,1,0),(Y$11-AA$11-AC$11)*IF($X$11&lt;3,1,0))&lt;1,Y8-AA8-AC8,IF((1-SUM(AE$6:AE$6,AE$12:AE$21))*$M8/SUM($M$7*IF($X$7&lt;4,1,0),$M$8*IF($X$8&lt;4,1,0),$M$9*IF($X$9&lt;4,1,0),$M$10*IF($X$10&lt;4,1,0),$M$11*IF($X$11&lt;4,1,0))&lt;Y8-AA8-AC8,(1-SUM(AE$6:AE$6,AE$12:AE$21))*$M8/SUM($M$7*IF($X$7&lt;4,1,0),$M$8*IF($X$8&lt;4,1,0),$M$9*IF($X$9&lt;4,1,0),$M$10*IF($X$10&lt;4,1,0),$M$11*IF($X$11&lt;4,1,0)),Y8-AA8-AC8)),0),0)</f>
        <v>0.34926572727910576</v>
      </c>
      <c r="AF8" s="123">
        <f t="shared" si="10"/>
        <v>0</v>
      </c>
      <c r="AG8" s="122">
        <f t="shared" si="11"/>
        <v>0</v>
      </c>
      <c r="AH8" s="124">
        <f t="shared" si="12"/>
        <v>1</v>
      </c>
      <c r="AI8" s="185">
        <f t="shared" si="13"/>
        <v>0.37697504257049136</v>
      </c>
      <c r="AJ8" s="121">
        <f t="shared" si="14"/>
        <v>0.57931722150142984</v>
      </c>
      <c r="AK8" s="120">
        <f t="shared" si="15"/>
        <v>0.17463286363955288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2">
        <f>IF([1]Summ!$H1047="",0,[1]Summ!$H1047)</f>
        <v>5.7444668742216695E-2</v>
      </c>
      <c r="C9" s="103">
        <f>IF([1]Summ!$I1047="",0,[1]Summ!$I1047)</f>
        <v>-6.6282310087173238E-3</v>
      </c>
      <c r="D9" s="24">
        <f t="shared" si="0"/>
        <v>5.0816437733499371E-2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5.0816437733499371E-2</v>
      </c>
      <c r="J9" s="24">
        <f t="shared" si="3"/>
        <v>5.7458305438946304E-2</v>
      </c>
      <c r="K9" s="22">
        <f t="shared" si="4"/>
        <v>5.7444668742216695E-2</v>
      </c>
      <c r="L9" s="22">
        <f t="shared" si="5"/>
        <v>5.7444668742216695E-2</v>
      </c>
      <c r="M9" s="230">
        <f t="shared" si="6"/>
        <v>5.7458305438946304E-2</v>
      </c>
      <c r="N9" s="235">
        <v>1</v>
      </c>
      <c r="O9" s="2"/>
      <c r="P9" s="22"/>
      <c r="Q9" s="59" t="s">
        <v>73</v>
      </c>
      <c r="R9" s="228">
        <f>IF($B$68=0,0,(SUMIF($N$6:$N$20,$U9,K$6:K$20)+SUMIF($N$78:$N$100,$U9,K$78:K$100))*$I$70*Poor!$B$68/$B$68)</f>
        <v>352.47640176149508</v>
      </c>
      <c r="S9" s="228">
        <f>IF($B$68=0,0,(SUMIF($N$6:$N$20,$U9,L$6:L$20)+SUMIF($N$78:$N$100,$U9,L$78:L$100))*$I$70*Poor!$B$68/$B$68)</f>
        <v>352.47640176149508</v>
      </c>
      <c r="T9" s="228">
        <f>IF($B$68=0,0,(SUMIF($N$6:$N$20,$U9,M$6:M$20)+SUMIF($N$78:$N$100,$U9,M$78:M$100))*$I$70*Poor!$B$68/$B$68)</f>
        <v>352.47640176149508</v>
      </c>
      <c r="U9" s="229">
        <v>3</v>
      </c>
      <c r="V9" s="56"/>
      <c r="W9" s="116"/>
      <c r="X9" s="119">
        <f>Poor!X9</f>
        <v>1</v>
      </c>
      <c r="Y9" s="185">
        <f t="shared" si="9"/>
        <v>0.22983322175578522</v>
      </c>
      <c r="Z9" s="126">
        <f>IF($Y9=0,0,AA9/$Y9)</f>
        <v>0.38418804700652165</v>
      </c>
      <c r="AA9" s="122">
        <f>IF($X9=1,IF(SUM(AA$6,AA$12:AA$21)&lt;1,IF((1-SUM(AA$6,AA$12:AA$21))*$M9/SUM($M$7*IF($X$7=1,1,0),$M$8*IF($X$8=1,1,0),$M$9*IF($X$9=1,1,0),$M$10*IF($X$10=1,1,0),$M$11*IF($X$11=1,1,0))&lt;Y9,(1-SUM(AA$6,AA$12:AA$21))*$M9/SUM($M$7*IF($X$7=1,1,0),$M$8*IF($X$8=1,1,0),$M$9*IF($X$9=1,1,0),$M$10*IF($X$10=1,1,0),$M$11*IF($X$11=1,1,0)),Y9),0),0)</f>
        <v>8.8299176603571922E-2</v>
      </c>
      <c r="AB9" s="126">
        <f>IF($Y9=0,0,AC9/$Y9)</f>
        <v>0.38418804700652165</v>
      </c>
      <c r="AC9" s="122">
        <f>IF($X9&lt;3,IF(SUM(AC$6,AC$12:AC$21)&lt;1,IF(SUM(AC$6,AC$12:AC$21)+SUM((Y$7-AA$7)*IF($X$7&lt;3,1,0),(Y$8-AA$8)*IF($X$8&lt;3,1,0),(Y$9-AA$9)*IF($X$9&lt;3,1,0),(Y$10-AA$10)*IF($X$10&lt;3,1,0),(Y$11-AA$11)*IF($X$11&lt;3,1,0))&lt;1,Y9-AA9,IF((1-SUM(AC$6,AC$12:AC$21))*$M9/SUM($M$7*IF($X$7&lt;3,1,0),$M$8*IF($X$8&lt;3,1,0),$M$9*IF($X$9&lt;3,1,0),$M$10*IF($X$10&lt;3,1,0),$M$11*IF($X$11&lt;3,1,0))&lt;Y9-AA9,(1-SUM(AC$6,AC$12:AC$21))*$M9/SUM($M$7*IF($X$7&lt;3,1,0),$M$8*IF($X$8&lt;3,1,0),$M$9*IF($X$9&lt;3,1,0),$M$10*IF($X$10&lt;3,1,0),$M$11*IF($X$11&lt;3,1,0)),Y9-AA9)),0),0)</f>
        <v>8.8299176603571922E-2</v>
      </c>
      <c r="AD9" s="126">
        <f>IF($Y9=0,0,AE9/$Y9)</f>
        <v>0.23162390598695673</v>
      </c>
      <c r="AE9" s="122">
        <f>IF($X9&lt;4,IF(SUM(AE$6:AE$6,AE$12:AE$21)&lt;1,IF(SUM(AE$6:AE$6,AE$12:AE$21)+SUM((Y$7-AA$7-AC$7)*IF($X$7&lt;3,1,0),(Y$8-AA$8-AC$8)*IF($X$8&lt;3,1,0),(Y$9-AA$9-AC$9)*IF($X$9&lt;3,1,0),(Y$10-AA$10-AC$10)*IF($X$10&lt;3,1,0),(Y$11-AA$11-AC$11)*IF($X$11&lt;3,1,0))&lt;1,Y9-AA9-AC9,IF((1-SUM(AE$6:AE$6,AE$12:AE$21))*$M9/SUM($M$7*IF($X$7&lt;4,1,0),$M$8*IF($X$8&lt;4,1,0),$M$9*IF($X$9&lt;4,1,0),$M$10*IF($X$10&lt;4,1,0),$M$11*IF($X$11&lt;4,1,0))&lt;Y9-AA9-AC9,(1-SUM(AE$6:AE$6,AE$12:AE$21))*$M9/SUM($M$7*IF($X$7&lt;4,1,0),$M$8*IF($X$8&lt;4,1,0),$M$9*IF($X$9&lt;4,1,0),$M$10*IF($X$10&lt;4,1,0),$M$11*IF($X$11&lt;4,1,0)),Y9-AA9-AC9)),0),0)</f>
        <v>5.3234868548641373E-2</v>
      </c>
      <c r="AF9" s="123">
        <f t="shared" si="10"/>
        <v>0</v>
      </c>
      <c r="AG9" s="122">
        <f t="shared" si="11"/>
        <v>0</v>
      </c>
      <c r="AH9" s="124">
        <f t="shared" si="12"/>
        <v>1</v>
      </c>
      <c r="AI9" s="185">
        <f t="shared" si="13"/>
        <v>5.7458305438946304E-2</v>
      </c>
      <c r="AJ9" s="121">
        <f t="shared" si="14"/>
        <v>8.8299176603571922E-2</v>
      </c>
      <c r="AK9" s="120">
        <f t="shared" si="15"/>
        <v>2.6617434274320687E-2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2">
        <f>IF([1]Summ!$H1048="",0,[1]Summ!$H1048)</f>
        <v>0</v>
      </c>
      <c r="C10" s="103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30">
        <f t="shared" si="6"/>
        <v>0</v>
      </c>
      <c r="N10" s="235">
        <v>1</v>
      </c>
      <c r="O10" s="2"/>
      <c r="P10" s="22"/>
      <c r="Q10" s="59" t="s">
        <v>74</v>
      </c>
      <c r="R10" s="228">
        <f>IF($B$68=0,0,(SUMIF($N$6:$N$20,$U10,K$6:K$20)+SUMIF($N$78:$N$100,$U10,K$78:K$100))*$I$70*Poor!$B$68/$B$68)</f>
        <v>0</v>
      </c>
      <c r="S10" s="228">
        <f>IF($B$68=0,0,(SUMIF($N$6:$N$20,$U10,L$6:L$20)+SUMIF($N$78:$N$100,$U10,L$78:L$100))*$I$70*Poor!$B$68/$B$68)</f>
        <v>0</v>
      </c>
      <c r="T10" s="228">
        <f>IF($B$68=0,0,(SUMIF($N$6:$N$20,$U10,M$6:M$20)+SUMIF($N$78:$N$100,$U10,M$78:M$100))*$I$70*Poor!$B$68/$B$68)</f>
        <v>0</v>
      </c>
      <c r="U10" s="229">
        <v>4</v>
      </c>
      <c r="V10" s="56"/>
      <c r="W10" s="116"/>
      <c r="X10" s="119">
        <f>Poor!X10</f>
        <v>1</v>
      </c>
      <c r="Y10" s="185">
        <f t="shared" si="9"/>
        <v>0</v>
      </c>
      <c r="Z10" s="126">
        <f>IF($Y10=0,0,AA10/$Y10)</f>
        <v>0</v>
      </c>
      <c r="AA10" s="122">
        <f>IF($X10=1,IF(SUM(AA$6,AA$12:AA$21)&lt;1,IF((1-SUM(AA$6,AA$12:AA$21))*$M10/SUM($M$7*IF($X$7=1,1,0),$M$8*IF($X$8=1,1,0),$M$9*IF($X$9=1,1,0),$M$10*IF($X$10=1,1,0),$M$11*IF($X$11=1,1,0))&lt;Y10,(1-SUM(AA$6,AA$12:AA$21))*$M10/SUM($M$7*IF($X$7=1,1,0),$M$8*IF($X$8=1,1,0),$M$9*IF($X$9=1,1,0),$M$10*IF($X$10=1,1,0),$M$11*IF($X$11=1,1,0)),Y10),0),0)</f>
        <v>0</v>
      </c>
      <c r="AB10" s="126">
        <f>IF($Y10=0,0,AC10/$Y10)</f>
        <v>0</v>
      </c>
      <c r="AC10" s="122">
        <f>IF($X10&lt;3,IF(SUM(AC$6,AC$12:AC$21)&lt;1,IF(SUM(AC$6,AC$12:AC$21)+SUM((Y$7-AA$7)*IF($X$7&lt;3,1,0),(Y$8-AA$8)*IF($X$8&lt;3,1,0),(Y$9-AA$9)*IF($X$9&lt;3,1,0),(Y$10-AA$10)*IF($X$10&lt;3,1,0),(Y$11-AA$11)*IF($X$11&lt;3,1,0))&lt;1,Y10-AA10,IF((1-SUM(AC$6,AC$12:AC$21))*$M10/SUM($M$7*IF($X$7&lt;3,1,0),$M$8*IF($X$8&lt;3,1,0),$M$9*IF($X$9&lt;3,1,0),$M$10*IF($X$10&lt;3,1,0),$M$11*IF($X$11&lt;3,1,0))&lt;Y10-AA10,(1-SUM(AC$6,AC$12:AC$21))*$M10/SUM($M$7*IF($X$7&lt;3,1,0),$M$8*IF($X$8&lt;3,1,0),$M$9*IF($X$9&lt;3,1,0),$M$10*IF($X$10&lt;3,1,0),$M$11*IF($X$11&lt;3,1,0)),Y10-AA10)),0),0)</f>
        <v>0</v>
      </c>
      <c r="AD10" s="126">
        <f>IF($Y10=0,0,AE10/$Y10)</f>
        <v>0</v>
      </c>
      <c r="AE10" s="122">
        <f>IF($X10&lt;4,IF(SUM(AE$6:AE$6,AE$12:AE$21)&lt;1,IF(SUM(AE$6:AE$6,AE$12:AE$21)+SUM((Y$7-AA$7-AC$7)*IF($X$7&lt;3,1,0),(Y$8-AA$8-AC$8)*IF($X$8&lt;3,1,0),(Y$9-AA$9-AC$9)*IF($X$9&lt;3,1,0),(Y$10-AA$10-AC$10)*IF($X$10&lt;3,1,0),(Y$11-AA$11-AC$11)*IF($X$11&lt;3,1,0))&lt;1,Y10-AA10-AC10,IF((1-SUM(AE$6:AE$6,AE$12:AE$21))*$M10/SUM($M$7*IF($X$7&lt;4,1,0),$M$8*IF($X$8&lt;4,1,0),$M$9*IF($X$9&lt;4,1,0),$M$10*IF($X$10&lt;4,1,0),$M$11*IF($X$11&lt;4,1,0))&lt;Y10-AA10-AC10,(1-SUM(AE$6:AE$6,AE$12:AE$21))*$M10/SUM($M$7*IF($X$7&lt;4,1,0),$M$8*IF($X$8&lt;4,1,0),$M$9*IF($X$9&lt;4,1,0),$M$10*IF($X$10&lt;4,1,0),$M$11*IF($X$11&lt;4,1,0)),Y10-AA10-AC10)),0),0)</f>
        <v>0</v>
      </c>
      <c r="AF10" s="123">
        <f t="shared" si="10"/>
        <v>1</v>
      </c>
      <c r="AG10" s="122">
        <f t="shared" si="11"/>
        <v>0</v>
      </c>
      <c r="AH10" s="124">
        <f t="shared" si="12"/>
        <v>1</v>
      </c>
      <c r="AI10" s="185">
        <f t="shared" si="13"/>
        <v>0</v>
      </c>
      <c r="AJ10" s="121">
        <f t="shared" si="14"/>
        <v>0</v>
      </c>
      <c r="AK10" s="120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2">
        <f>IF([1]Summ!$H1049="",0,[1]Summ!$H1049)</f>
        <v>0</v>
      </c>
      <c r="C11" s="103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30">
        <f t="shared" si="6"/>
        <v>0</v>
      </c>
      <c r="N11" s="235">
        <v>1</v>
      </c>
      <c r="O11" s="2"/>
      <c r="P11" s="22"/>
      <c r="Q11" s="59" t="s">
        <v>75</v>
      </c>
      <c r="R11" s="228">
        <f>IF($B$68=0,0,(SUMIF($N$6:$N$20,$U11,K$6:K$20)+SUMIF($N$78:$N$100,$U11,K$78:K$100))*$I$70*Poor!$B$68/$B$68)</f>
        <v>11558.4</v>
      </c>
      <c r="S11" s="228">
        <f>IF($B$68=0,0,(SUMIF($N$6:$N$20,$U11,L$6:L$20)+SUMIF($N$78:$N$100,$U11,L$78:L$100))*$I$70*Poor!$B$68/$B$68)</f>
        <v>11440.8</v>
      </c>
      <c r="T11" s="228">
        <f>IF($B$68=0,0,(SUMIF($N$6:$N$20,$U11,M$6:M$20)+SUMIF($N$78:$N$100,$U11,M$78:M$100))*$I$70*Poor!$B$68/$B$68)</f>
        <v>11429.031043868346</v>
      </c>
      <c r="U11" s="229">
        <v>5</v>
      </c>
      <c r="V11" s="56"/>
      <c r="W11" s="116"/>
      <c r="X11" s="119">
        <f>Poor!X11</f>
        <v>1</v>
      </c>
      <c r="Y11" s="185">
        <f t="shared" si="9"/>
        <v>0</v>
      </c>
      <c r="Z11" s="126">
        <f>IF($Y11=0,0,AA11/$Y11)</f>
        <v>0</v>
      </c>
      <c r="AA11" s="122">
        <f>IF($X11=1,IF(SUM(AA$6,AA$12:AA$21)&lt;1,IF((1-SUM(AA$6,AA$12:AA$21))*$M11/SUM($M$7*IF($X$7=1,1,0),$M$8*IF($X$8=1,1,0),$M$9*IF($X$9=1,1,0),$M$10*IF($X$10=1,1,0),$M$11*IF($X$11=1,1,0))&lt;Y11,(1-SUM(AA$6,AA$12:AA$21))*$M11/SUM($M$7*IF($X$7=1,1,0),$M$8*IF($X$8=1,1,0),$M$9*IF($X$9=1,1,0),$M$10*IF($X$10=1,1,0),$M$11*IF($X$11=1,1,0)),Y11),0),0)</f>
        <v>0</v>
      </c>
      <c r="AB11" s="126">
        <f>IF($Y11=0,0,AC11/$Y11)</f>
        <v>0</v>
      </c>
      <c r="AC11" s="122">
        <f>IF($X11&lt;3,IF(SUM(AC$6,AC$12:AC$21)&lt;1,IF(SUM(AC$6,AC$12:AC$21)+SUM((Y$7-AA$7)*IF($X$7&lt;3,1,0),(Y$8-AA$8)*IF($X$8&lt;3,1,0),(Y$9-AA$9)*IF($X$9&lt;3,1,0),(Y$10-AA$10)*IF($X$10&lt;3,1,0),(Y$11-AA$11)*IF($X$11&lt;3,1,0))&lt;1,Y11-AA11,IF((1-SUM(AC$6,AC$12:AC$21))*$M11/SUM($M$7*IF($X$7&lt;3,1,0),$M$8*IF($X$8&lt;3,1,0),$M$9*IF($X$9&lt;3,1,0),$M$10*IF($X$10&lt;3,1,0),$M$11*IF($X$11&lt;3,1,0))&lt;Y11-AA11,(1-SUM(AC$6,AC$12:AC$21))*$M11/SUM($M$7*IF($X$7&lt;3,1,0),$M$8*IF($X$8&lt;3,1,0),$M$9*IF($X$9&lt;3,1,0),$M$10*IF($X$10&lt;3,1,0),$M$11*IF($X$11&lt;3,1,0)),Y11-AA11)),0),0)</f>
        <v>0</v>
      </c>
      <c r="AD11" s="126">
        <f>IF($Y11=0,0,AE11/$Y11)</f>
        <v>0</v>
      </c>
      <c r="AE11" s="122">
        <f>IF($X11&lt;4,IF(SUM(AE$6:AE$6,AE$12:AE$21)&lt;1,IF(SUM(AE$6:AE$6,AE$12:AE$21)+SUM((Y$7-AA$7-AC$7)*IF($X$7&lt;3,1,0),(Y$8-AA$8-AC$8)*IF($X$8&lt;3,1,0),(Y$9-AA$9-AC$9)*IF($X$9&lt;3,1,0),(Y$10-AA$10-AC$10)*IF($X$10&lt;3,1,0),(Y$11-AA$11-AC$11)*IF($X$11&lt;3,1,0))&lt;1,Y11-AA11-AC11,IF((1-SUM(AE$6:AE$6,AE$12:AE$21))*$M11/SUM($M$7*IF($X$7&lt;4,1,0),$M$8*IF($X$8&lt;4,1,0),$M$9*IF($X$9&lt;4,1,0),$M$10*IF($X$10&lt;4,1,0),$M$11*IF($X$11&lt;4,1,0))&lt;Y11-AA11-AC11,(1-SUM(AE$6:AE$6,AE$12:AE$21))*$M11/SUM($M$7*IF($X$7&lt;4,1,0),$M$8*IF($X$8&lt;4,1,0),$M$9*IF($X$9&lt;4,1,0),$M$10*IF($X$10&lt;4,1,0),$M$11*IF($X$11&lt;4,1,0)),Y11-AA11-AC11)),0),0)</f>
        <v>0</v>
      </c>
      <c r="AF11" s="123">
        <f t="shared" si="10"/>
        <v>1</v>
      </c>
      <c r="AG11" s="122">
        <f t="shared" si="11"/>
        <v>0</v>
      </c>
      <c r="AH11" s="124">
        <f t="shared" si="12"/>
        <v>1</v>
      </c>
      <c r="AI11" s="185">
        <f t="shared" si="13"/>
        <v>0</v>
      </c>
      <c r="AJ11" s="121">
        <f t="shared" si="14"/>
        <v>0</v>
      </c>
      <c r="AK11" s="120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2">
        <f>IF([1]Summ!$H1050="",0,[1]Summ!$H1050)</f>
        <v>0</v>
      </c>
      <c r="C12" s="103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30">
        <f t="shared" si="6"/>
        <v>0</v>
      </c>
      <c r="N12" s="235">
        <v>1</v>
      </c>
      <c r="O12" s="2"/>
      <c r="P12" s="22"/>
      <c r="Q12" s="127" t="s">
        <v>124</v>
      </c>
      <c r="R12" s="228">
        <f>IF($B$68=0,0,(SUMIF($N$6:$N$20,$U12,K$6:K$20)+SUMIF($N$78:$N$100,$U12,K$78:K$100))*$I$70*Poor!$B$68/$B$68)</f>
        <v>0</v>
      </c>
      <c r="S12" s="228">
        <f>IF($B$68=0,0,(SUMIF($N$6:$N$20,$U12,L$6:L$20)+SUMIF($N$78:$N$100,$U12,L$78:L$100))*$I$70*Poor!$B$68/$B$68)</f>
        <v>0</v>
      </c>
      <c r="T12" s="228">
        <f>IF($B$68=0,0,(SUMIF($N$6:$N$20,$U12,M$6:M$20)+SUMIF($N$78:$N$100,$U12,M$78:M$100))*$I$70*Poor!$B$68/$B$68)</f>
        <v>0</v>
      </c>
      <c r="U12" s="229">
        <v>6</v>
      </c>
      <c r="V12" s="56"/>
      <c r="W12" s="118"/>
      <c r="X12" s="119"/>
      <c r="Y12" s="185">
        <f t="shared" si="9"/>
        <v>0</v>
      </c>
      <c r="Z12" s="157">
        <f>Poor!Z12</f>
        <v>0</v>
      </c>
      <c r="AA12" s="122">
        <f>$M12*Z12*4</f>
        <v>0</v>
      </c>
      <c r="AB12" s="157">
        <f>Poor!AB12</f>
        <v>0</v>
      </c>
      <c r="AC12" s="122">
        <f>$M12*AB12*4</f>
        <v>0</v>
      </c>
      <c r="AD12" s="157">
        <f>Poor!AD12</f>
        <v>0.67</v>
      </c>
      <c r="AE12" s="122">
        <f>$M12*AD12*4</f>
        <v>0</v>
      </c>
      <c r="AF12" s="123">
        <f>1-SUM(Z12,AB12,AD12)</f>
        <v>0.32999999999999996</v>
      </c>
      <c r="AG12" s="122">
        <f>$M12*AF12*4</f>
        <v>0</v>
      </c>
      <c r="AH12" s="124">
        <f t="shared" si="12"/>
        <v>1</v>
      </c>
      <c r="AI12" s="185">
        <f t="shared" si="13"/>
        <v>0</v>
      </c>
      <c r="AJ12" s="121">
        <f t="shared" si="14"/>
        <v>0</v>
      </c>
      <c r="AK12" s="120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WILD FOODS -- see worksheet Data 3</v>
      </c>
      <c r="B13" s="102">
        <f>IF([1]Summ!$H1051="",0,[1]Summ!$H1051)</f>
        <v>0</v>
      </c>
      <c r="C13" s="103">
        <f>IF([1]Summ!$I1051="",0,[1]Summ!$I1051)</f>
        <v>0</v>
      </c>
      <c r="D13" s="24">
        <f t="shared" si="0"/>
        <v>0</v>
      </c>
      <c r="E13" s="75">
        <f>Poor!E13</f>
        <v>0.8</v>
      </c>
      <c r="H13" s="24">
        <f t="shared" si="1"/>
        <v>0.8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31">
        <f t="shared" si="6"/>
        <v>0</v>
      </c>
      <c r="N13" s="235">
        <v>6</v>
      </c>
      <c r="O13" s="2"/>
      <c r="P13" s="22"/>
      <c r="Q13" s="59" t="s">
        <v>76</v>
      </c>
      <c r="R13" s="228">
        <f>IF($B$68=0,0,(SUMIF($N$6:$N$20,$U13,K$6:K$20)+SUMIF($N$78:$N$100,$U13,K$78:K$100))*$I$70*Poor!$B$68/$B$68)</f>
        <v>0</v>
      </c>
      <c r="S13" s="228">
        <f>IF($B$68=0,0,(SUMIF($N$6:$N$20,$U13,L$6:L$20)+SUMIF($N$78:$N$100,$U13,L$78:L$100))*$I$70*Poor!$B$68/$B$68)</f>
        <v>0</v>
      </c>
      <c r="T13" s="228">
        <f>IF($B$68=0,0,(SUMIF($N$6:$N$20,$U13,M$6:M$20)+SUMIF($N$78:$N$100,$U13,M$78:M$100))*$I$70*Poor!$B$68/$B$68)</f>
        <v>0</v>
      </c>
      <c r="U13" s="229">
        <v>7</v>
      </c>
      <c r="V13" s="56"/>
      <c r="W13" s="111"/>
      <c r="X13" s="119"/>
      <c r="Y13" s="185">
        <f t="shared" si="9"/>
        <v>0</v>
      </c>
      <c r="Z13" s="157">
        <f>Poor!Z13</f>
        <v>1</v>
      </c>
      <c r="AA13" s="122">
        <f>$M13*Z13*4</f>
        <v>0</v>
      </c>
      <c r="AB13" s="157">
        <f>Poor!AB13</f>
        <v>0</v>
      </c>
      <c r="AC13" s="122">
        <f>$M13*AB13*4</f>
        <v>0</v>
      </c>
      <c r="AD13" s="157">
        <f>Poor!AD13</f>
        <v>0</v>
      </c>
      <c r="AE13" s="122">
        <f>$M13*AD13*4</f>
        <v>0</v>
      </c>
      <c r="AF13" s="123">
        <f>1-SUM(Z13,AB13,AD13)</f>
        <v>0</v>
      </c>
      <c r="AG13" s="122">
        <f>$M13*AF13*4</f>
        <v>0</v>
      </c>
      <c r="AH13" s="124">
        <f t="shared" si="12"/>
        <v>1</v>
      </c>
      <c r="AI13" s="185">
        <f t="shared" si="13"/>
        <v>0</v>
      </c>
      <c r="AJ13" s="121">
        <f t="shared" si="14"/>
        <v>0</v>
      </c>
      <c r="AK13" s="120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Land clearing, construction, herding, slaughtering</v>
      </c>
      <c r="B14" s="102">
        <f>IF([1]Summ!$H1052="",0,[1]Summ!$H1052)</f>
        <v>0</v>
      </c>
      <c r="C14" s="103">
        <f>IF([1]Summ!$I1052="",0,[1]Summ!$I1052)</f>
        <v>0</v>
      </c>
      <c r="D14" s="24">
        <f t="shared" si="0"/>
        <v>0</v>
      </c>
      <c r="E14" s="75">
        <f>Poor!E14</f>
        <v>0.87</v>
      </c>
      <c r="F14" s="22"/>
      <c r="H14" s="24">
        <f t="shared" si="1"/>
        <v>0.87</v>
      </c>
      <c r="I14" s="22">
        <f t="shared" si="2"/>
        <v>0</v>
      </c>
      <c r="J14" s="24">
        <f>IF(I$24&lt;=1+I113,I14,B14*H14+J$25*(I14-B14*H14))</f>
        <v>0</v>
      </c>
      <c r="K14" s="22">
        <f t="shared" si="4"/>
        <v>0</v>
      </c>
      <c r="L14" s="22">
        <f t="shared" si="5"/>
        <v>0</v>
      </c>
      <c r="M14" s="231">
        <f t="shared" si="6"/>
        <v>0</v>
      </c>
      <c r="N14" s="235">
        <v>7</v>
      </c>
      <c r="O14" s="2"/>
      <c r="P14" s="22"/>
      <c r="Q14" s="127" t="s">
        <v>77</v>
      </c>
      <c r="R14" s="228">
        <f>IF($B$68=0,0,(SUMIF($N$6:$N$20,$U14,K$6:K$20)+SUMIF($N$78:$N$100,$U14,K$78:K$100))*$I$70*Poor!$B$68/$B$68)</f>
        <v>169343.99999999994</v>
      </c>
      <c r="S14" s="228">
        <f>IF($B$68=0,0,(SUMIF($N$6:$N$20,$U14,L$6:L$20)+SUMIF($N$78:$N$100,$U14,L$78:L$100))*$I$70*Poor!$B$68/$B$68)</f>
        <v>161784</v>
      </c>
      <c r="T14" s="228">
        <f>IF($B$68=0,0,(SUMIF($N$6:$N$20,$U14,M$6:M$20)+SUMIF($N$78:$N$100,$U14,M$78:M$100))*$I$70*Poor!$B$68/$B$68)</f>
        <v>161784</v>
      </c>
      <c r="U14" s="229">
        <v>8</v>
      </c>
      <c r="V14" s="56"/>
      <c r="W14" s="111"/>
      <c r="X14" s="119"/>
      <c r="Y14" s="185">
        <f>M14*4</f>
        <v>0</v>
      </c>
      <c r="Z14" s="157">
        <f>Poor!Z14</f>
        <v>0</v>
      </c>
      <c r="AA14" s="122">
        <f t="shared" ref="AA14:AA21" si="16">$M14*Z14*4</f>
        <v>0</v>
      </c>
      <c r="AB14" s="157">
        <f>Poor!AB14</f>
        <v>1</v>
      </c>
      <c r="AC14" s="122">
        <f t="shared" si="7"/>
        <v>0</v>
      </c>
      <c r="AD14" s="157">
        <f>Poor!AD14</f>
        <v>0</v>
      </c>
      <c r="AE14" s="122">
        <f t="shared" si="8"/>
        <v>0</v>
      </c>
      <c r="AF14" s="123">
        <f t="shared" si="10"/>
        <v>0</v>
      </c>
      <c r="AG14" s="122">
        <f t="shared" si="11"/>
        <v>0</v>
      </c>
      <c r="AH14" s="129">
        <f>SUM(Z14,AB14,AD14,AF14)</f>
        <v>1</v>
      </c>
      <c r="AI14" s="185">
        <f>SUM(AA14,AC14,AE14,AG14)/4</f>
        <v>0</v>
      </c>
      <c r="AJ14" s="121">
        <f t="shared" si="14"/>
        <v>0</v>
      </c>
      <c r="AK14" s="120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Labour: Weeding</v>
      </c>
      <c r="B15" s="102">
        <f>IF([1]Summ!$H1053="",0,[1]Summ!$H1053)</f>
        <v>0</v>
      </c>
      <c r="C15" s="103">
        <f>IF([1]Summ!$I1053="",0,[1]Summ!$I1053)</f>
        <v>0</v>
      </c>
      <c r="D15" s="24">
        <f t="shared" si="0"/>
        <v>0</v>
      </c>
      <c r="E15" s="75">
        <f>Poor!E15</f>
        <v>0.87</v>
      </c>
      <c r="F15" s="22"/>
      <c r="H15" s="24">
        <f t="shared" si="1"/>
        <v>0.87</v>
      </c>
      <c r="I15" s="22">
        <f t="shared" si="2"/>
        <v>0</v>
      </c>
      <c r="J15" s="24">
        <f>IF(I$24&lt;=1+I113,I15,B15*H15+J$25*(I15-B15*H15))</f>
        <v>0</v>
      </c>
      <c r="K15" s="22">
        <f t="shared" si="4"/>
        <v>0</v>
      </c>
      <c r="L15" s="22">
        <f t="shared" si="5"/>
        <v>0</v>
      </c>
      <c r="M15" s="232">
        <f t="shared" si="6"/>
        <v>0</v>
      </c>
      <c r="N15" s="235">
        <v>7</v>
      </c>
      <c r="O15" s="2"/>
      <c r="P15" s="22"/>
      <c r="Q15" s="59" t="s">
        <v>126</v>
      </c>
      <c r="R15" s="228">
        <f>IF($B$68=0,0,(SUMIF($N$6:$N$20,$U15,K$6:K$20)+SUMIF($N$78:$N$100,$U15,K$78:K$100))*$I$70*Poor!$B$68/$B$68)</f>
        <v>0</v>
      </c>
      <c r="S15" s="228">
        <f>IF($B$68=0,0,(SUMIF($N$6:$N$20,$U15,L$6:L$20)+SUMIF($N$78:$N$100,$U15,L$78:L$100))*$I$70*Poor!$B$68/$B$68)</f>
        <v>0</v>
      </c>
      <c r="T15" s="228">
        <f>IF($B$68=0,0,(SUMIF($N$6:$N$20,$U15,M$6:M$20)+SUMIF($N$78:$N$100,$U15,M$78:M$100))*$I$70*Poor!$B$68/$B$68)</f>
        <v>0</v>
      </c>
      <c r="U15" s="229">
        <v>9</v>
      </c>
      <c r="V15" s="56"/>
      <c r="W15" s="111"/>
      <c r="X15" s="119"/>
      <c r="Y15" s="185">
        <f t="shared" si="9"/>
        <v>0</v>
      </c>
      <c r="Z15" s="157">
        <f>Poor!Z15</f>
        <v>0.25</v>
      </c>
      <c r="AA15" s="122">
        <f t="shared" si="16"/>
        <v>0</v>
      </c>
      <c r="AB15" s="157">
        <f>Poor!AB15</f>
        <v>0.25</v>
      </c>
      <c r="AC15" s="122">
        <f t="shared" si="7"/>
        <v>0</v>
      </c>
      <c r="AD15" s="157">
        <f>Poor!AD15</f>
        <v>0.25</v>
      </c>
      <c r="AE15" s="122">
        <f t="shared" si="8"/>
        <v>0</v>
      </c>
      <c r="AF15" s="123">
        <f t="shared" si="10"/>
        <v>0.25</v>
      </c>
      <c r="AG15" s="122">
        <f t="shared" si="11"/>
        <v>0</v>
      </c>
      <c r="AH15" s="124">
        <f t="shared" si="12"/>
        <v>1</v>
      </c>
      <c r="AI15" s="185">
        <f t="shared" si="13"/>
        <v>0</v>
      </c>
      <c r="AJ15" s="121">
        <f t="shared" si="14"/>
        <v>0</v>
      </c>
      <c r="AK15" s="120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cereal</v>
      </c>
      <c r="B16" s="102">
        <f>IF([1]Summ!$H1054="",0,[1]Summ!$H1054)</f>
        <v>0</v>
      </c>
      <c r="C16" s="103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IF(I$24&lt;=1+I113,I16,B16*H16+J$25*(I16-B16*H16))</f>
        <v>0</v>
      </c>
      <c r="K16" s="22">
        <f t="shared" si="4"/>
        <v>0</v>
      </c>
      <c r="L16" s="22">
        <f t="shared" si="5"/>
        <v>0</v>
      </c>
      <c r="M16" s="230">
        <f t="shared" si="6"/>
        <v>0</v>
      </c>
      <c r="N16" s="235">
        <v>13</v>
      </c>
      <c r="O16" s="2"/>
      <c r="P16" s="22"/>
      <c r="Q16" s="127" t="s">
        <v>78</v>
      </c>
      <c r="R16" s="228">
        <f>IF($B$68=0,0,(SUMIF($N$6:$N$20,$U16,K$6:K$20)+SUMIF($N$78:$N$100,$U16,K$78:K$100))*$I$70*Poor!$B$68/$B$68)</f>
        <v>0</v>
      </c>
      <c r="S16" s="228">
        <f>IF($B$68=0,0,(SUMIF($N$6:$N$20,$U16,L$6:L$20)+SUMIF($N$78:$N$100,$U16,L$78:L$100))*$I$70*Poor!$B$68/$B$68)</f>
        <v>0</v>
      </c>
      <c r="T16" s="228">
        <f>IF($B$68=0,0,(SUMIF($N$6:$N$20,$U16,M$6:M$20)+SUMIF($N$78:$N$100,$U16,M$78:M$100))*$I$70*Poor!$B$68/$B$68)</f>
        <v>0</v>
      </c>
      <c r="U16" s="229">
        <v>10</v>
      </c>
      <c r="V16" s="56"/>
      <c r="W16" s="111"/>
      <c r="X16" s="119"/>
      <c r="Y16" s="185">
        <f t="shared" si="9"/>
        <v>0</v>
      </c>
      <c r="Z16" s="157">
        <f>Poor!Z16</f>
        <v>0</v>
      </c>
      <c r="AA16" s="122">
        <f t="shared" si="16"/>
        <v>0</v>
      </c>
      <c r="AB16" s="157">
        <f>Poor!AB16</f>
        <v>0</v>
      </c>
      <c r="AC16" s="122">
        <f t="shared" si="7"/>
        <v>0</v>
      </c>
      <c r="AD16" s="157">
        <f>Poor!AD16</f>
        <v>0</v>
      </c>
      <c r="AE16" s="122">
        <f t="shared" si="8"/>
        <v>0</v>
      </c>
      <c r="AF16" s="123">
        <f t="shared" si="10"/>
        <v>1</v>
      </c>
      <c r="AG16" s="122">
        <f t="shared" si="11"/>
        <v>0</v>
      </c>
      <c r="AH16" s="124">
        <f t="shared" si="12"/>
        <v>1</v>
      </c>
      <c r="AI16" s="185">
        <f t="shared" si="13"/>
        <v>0</v>
      </c>
      <c r="AJ16" s="121">
        <f t="shared" si="14"/>
        <v>0</v>
      </c>
      <c r="AK16" s="120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Gifts/remittances: sugar</v>
      </c>
      <c r="B17" s="102">
        <f>IF([1]Summ!$H1055="",0,[1]Summ!$H1055)</f>
        <v>0</v>
      </c>
      <c r="C17" s="103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>IF(I$24&lt;=1+I113,I17,B17*H17+J$25*(I17-B17*H17))</f>
        <v>0</v>
      </c>
      <c r="K17" s="22">
        <f t="shared" si="4"/>
        <v>0</v>
      </c>
      <c r="L17" s="22">
        <f t="shared" si="5"/>
        <v>0</v>
      </c>
      <c r="M17" s="231">
        <f t="shared" si="6"/>
        <v>0</v>
      </c>
      <c r="N17" s="235">
        <v>13</v>
      </c>
      <c r="O17" s="2"/>
      <c r="P17" s="22"/>
      <c r="Q17" s="127" t="s">
        <v>125</v>
      </c>
      <c r="R17" s="228">
        <f>IF($B$68=0,0,(SUMIF($N$6:$N$20,$U17,K$6:K$20)+SUMIF($N$78:$N$100,$U17,K$78:K$100))*$I$70*Poor!$B$68/$B$68)</f>
        <v>41932.799999999988</v>
      </c>
      <c r="S17" s="228">
        <f>IF($B$68=0,0,(SUMIF($N$6:$N$20,$U17,L$6:L$20)+SUMIF($N$78:$N$100,$U17,L$78:L$100))*$I$70*Poor!$B$68/$B$68)</f>
        <v>39312.000000000007</v>
      </c>
      <c r="T17" s="228">
        <f>IF($B$68=0,0,(SUMIF($N$6:$N$20,$U17,M$6:M$20)+SUMIF($N$78:$N$100,$U17,M$78:M$100))*$I$70*Poor!$B$68/$B$68)</f>
        <v>39312.000000000007</v>
      </c>
      <c r="U17" s="229">
        <v>11</v>
      </c>
      <c r="V17" s="56"/>
      <c r="W17" s="111"/>
      <c r="X17" s="119"/>
      <c r="Y17" s="185">
        <f t="shared" si="9"/>
        <v>0</v>
      </c>
      <c r="Z17" s="157">
        <f>Poor!Z17</f>
        <v>0.29409999999999997</v>
      </c>
      <c r="AA17" s="122">
        <f t="shared" si="16"/>
        <v>0</v>
      </c>
      <c r="AB17" s="157">
        <f>Poor!AB17</f>
        <v>0.17649999999999999</v>
      </c>
      <c r="AC17" s="122">
        <f t="shared" si="7"/>
        <v>0</v>
      </c>
      <c r="AD17" s="157">
        <f>Poor!AD17</f>
        <v>0.23530000000000001</v>
      </c>
      <c r="AE17" s="122">
        <f t="shared" si="8"/>
        <v>0</v>
      </c>
      <c r="AF17" s="123">
        <f t="shared" si="10"/>
        <v>0.29410000000000003</v>
      </c>
      <c r="AG17" s="122">
        <f t="shared" si="11"/>
        <v>0</v>
      </c>
      <c r="AH17" s="124">
        <f t="shared" si="12"/>
        <v>1</v>
      </c>
      <c r="AI17" s="185">
        <f t="shared" si="13"/>
        <v>0</v>
      </c>
      <c r="AJ17" s="121">
        <f t="shared" si="14"/>
        <v>0</v>
      </c>
      <c r="AK17" s="120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Food aid</v>
      </c>
      <c r="B18" s="102">
        <f>IF([1]Summ!$H1056="",0,[1]Summ!$H1056)</f>
        <v>0</v>
      </c>
      <c r="C18" s="103">
        <f>IF([1]Summ!$I1056="",0,[1]Summ!$I1056)</f>
        <v>0</v>
      </c>
      <c r="D18" s="24">
        <f t="shared" si="0"/>
        <v>0</v>
      </c>
      <c r="E18" s="75">
        <f>Poor!E18</f>
        <v>1</v>
      </c>
      <c r="F18" s="22"/>
      <c r="H18" s="24">
        <f t="shared" si="1"/>
        <v>1</v>
      </c>
      <c r="I18" s="22">
        <f t="shared" si="2"/>
        <v>0</v>
      </c>
      <c r="J18" s="24">
        <f>IF(I$24&lt;=1+I113,I18,B18*H18+J$25*(I18-B18*H18))</f>
        <v>0</v>
      </c>
      <c r="K18" s="22">
        <f t="shared" si="4"/>
        <v>0</v>
      </c>
      <c r="L18" s="22">
        <f t="shared" si="5"/>
        <v>0</v>
      </c>
      <c r="M18" s="230">
        <f t="shared" si="6"/>
        <v>0</v>
      </c>
      <c r="N18" s="235"/>
      <c r="O18" s="2"/>
      <c r="P18" s="22"/>
      <c r="Q18" s="59" t="s">
        <v>79</v>
      </c>
      <c r="R18" s="228">
        <f>IF($B$68=0,0,(SUMIF($N$6:$N$20,$U18,K$6:K$20)+SUMIF($N$78:$N$100,$U18,K$78:K$100))*$I$70*Poor!$B$68/$B$68)</f>
        <v>73.511602209944741</v>
      </c>
      <c r="S18" s="228">
        <f>IF($B$68=0,0,(SUMIF($N$6:$N$20,$U18,L$6:L$20)+SUMIF($N$78:$N$100,$U18,L$78:L$100))*$I$70*Poor!$B$68/$B$68)</f>
        <v>73.511602209944741</v>
      </c>
      <c r="T18" s="228">
        <f>IF($B$68=0,0,(SUMIF($N$6:$N$20,$U18,M$6:M$20)+SUMIF($N$78:$N$100,$U18,M$78:M$100))*$I$70*Poor!$B$68/$B$68)</f>
        <v>73.662842476635262</v>
      </c>
      <c r="U18" s="229">
        <v>12</v>
      </c>
      <c r="V18" s="56"/>
      <c r="W18" s="111"/>
      <c r="X18" s="119"/>
      <c r="Y18" s="185">
        <f t="shared" si="9"/>
        <v>0</v>
      </c>
      <c r="Z18" s="157">
        <f>Poor!Z18</f>
        <v>0.25</v>
      </c>
      <c r="AA18" s="122">
        <f t="shared" si="16"/>
        <v>0</v>
      </c>
      <c r="AB18" s="157">
        <f>Poor!AB18</f>
        <v>0.25</v>
      </c>
      <c r="AC18" s="122">
        <f t="shared" si="7"/>
        <v>0</v>
      </c>
      <c r="AD18" s="157">
        <f>Poor!AD18</f>
        <v>0.25</v>
      </c>
      <c r="AE18" s="122">
        <f t="shared" si="8"/>
        <v>0</v>
      </c>
      <c r="AF18" s="123">
        <f t="shared" si="10"/>
        <v>0.25</v>
      </c>
      <c r="AG18" s="122">
        <f t="shared" si="11"/>
        <v>0</v>
      </c>
      <c r="AH18" s="124">
        <f t="shared" si="12"/>
        <v>1</v>
      </c>
      <c r="AI18" s="185">
        <f t="shared" si="13"/>
        <v>0</v>
      </c>
      <c r="AJ18" s="121">
        <f t="shared" si="14"/>
        <v>0</v>
      </c>
      <c r="AK18" s="120">
        <f t="shared" si="15"/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Purchase - other</v>
      </c>
      <c r="B19" s="102">
        <f>IF([1]Summ!$H1057="",0,[1]Summ!$H1057)</f>
        <v>0.10332242092154421</v>
      </c>
      <c r="C19" s="103">
        <f>IF([1]Summ!$I1057="",0,[1]Summ!$I1057)</f>
        <v>-0.10332242092154421</v>
      </c>
      <c r="D19" s="24">
        <f>(B19+C19)</f>
        <v>0</v>
      </c>
      <c r="E19" s="75">
        <f>Poor!E19</f>
        <v>1</v>
      </c>
      <c r="F19" s="22"/>
      <c r="H19" s="24">
        <f t="shared" si="1"/>
        <v>1</v>
      </c>
      <c r="I19" s="22">
        <f t="shared" si="2"/>
        <v>0</v>
      </c>
      <c r="J19" s="24">
        <f>IF(I$24&lt;=1+I113,I19,B19*H19+J$25*(I19-B19*H19))</f>
        <v>0.10353499295133968</v>
      </c>
      <c r="K19" s="22">
        <f t="shared" si="4"/>
        <v>0.10332242092154421</v>
      </c>
      <c r="L19" s="22">
        <f t="shared" si="5"/>
        <v>0.10332242092154421</v>
      </c>
      <c r="M19" s="232">
        <f t="shared" si="6"/>
        <v>0.10353499295133968</v>
      </c>
      <c r="N19" s="235"/>
      <c r="O19" s="2"/>
      <c r="P19" s="22"/>
      <c r="Q19" s="59" t="s">
        <v>80</v>
      </c>
      <c r="R19" s="228">
        <f>IF($B$68=0,0,(SUMIF($N$6:$N$20,$U19,K$6:K$20)+SUMIF($N$78:$N$100,$U19,K$78:K$100))*$I$70*Poor!$B$68/$B$68)</f>
        <v>0</v>
      </c>
      <c r="S19" s="228">
        <f>IF($B$68=0,0,(SUMIF($N$6:$N$20,$U19,L$6:L$20)+SUMIF($N$78:$N$100,$U19,L$78:L$100))*$I$70*Poor!$B$68/$B$68)</f>
        <v>0</v>
      </c>
      <c r="T19" s="228">
        <f>IF($B$68=0,0,(SUMIF($N$6:$N$20,$U19,M$6:M$20)+SUMIF($N$78:$N$100,$U19,M$78:M$100))*$I$70*Poor!$B$68/$B$68)</f>
        <v>0</v>
      </c>
      <c r="U19" s="229">
        <v>13</v>
      </c>
      <c r="V19" s="56"/>
      <c r="W19" s="111"/>
      <c r="X19" s="119"/>
      <c r="Y19" s="185">
        <f t="shared" si="9"/>
        <v>0.41413997180535872</v>
      </c>
      <c r="Z19" s="157">
        <f>Poor!Z19</f>
        <v>0.25</v>
      </c>
      <c r="AA19" s="122">
        <f t="shared" si="16"/>
        <v>0.10353499295133968</v>
      </c>
      <c r="AB19" s="157">
        <f>Poor!AB19</f>
        <v>0.25</v>
      </c>
      <c r="AC19" s="122">
        <f t="shared" si="7"/>
        <v>0.10353499295133968</v>
      </c>
      <c r="AD19" s="157">
        <f>Poor!AD19</f>
        <v>0.25</v>
      </c>
      <c r="AE19" s="122">
        <f t="shared" si="8"/>
        <v>0.10353499295133968</v>
      </c>
      <c r="AF19" s="123">
        <f t="shared" si="10"/>
        <v>0.25</v>
      </c>
      <c r="AG19" s="122">
        <f t="shared" si="11"/>
        <v>0.10353499295133968</v>
      </c>
      <c r="AH19" s="124">
        <f t="shared" si="12"/>
        <v>1</v>
      </c>
      <c r="AI19" s="185">
        <f t="shared" si="13"/>
        <v>0.10353499295133968</v>
      </c>
      <c r="AJ19" s="121">
        <f t="shared" si="14"/>
        <v>0.10353499295133968</v>
      </c>
      <c r="AK19" s="120">
        <f t="shared" si="15"/>
        <v>0.10353499295133968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Purchase - desirable</v>
      </c>
      <c r="B20" s="102">
        <f>IF([1]Summ!$H1058="",0,[1]Summ!$H1058)</f>
        <v>1.0323616438356165E-2</v>
      </c>
      <c r="C20" s="103">
        <f>IF([1]Summ!$I1058="",0,[1]Summ!$I1058)</f>
        <v>-1.0323616438356165E-2</v>
      </c>
      <c r="D20" s="24">
        <f t="shared" si="0"/>
        <v>0</v>
      </c>
      <c r="E20" s="75">
        <f>Poor!E20</f>
        <v>1</v>
      </c>
      <c r="F20" s="22"/>
      <c r="H20" s="24">
        <f t="shared" si="1"/>
        <v>1</v>
      </c>
      <c r="I20" s="22">
        <f t="shared" si="2"/>
        <v>0</v>
      </c>
      <c r="J20" s="24">
        <f>IF(I$24&lt;=1+I113,I20,B20*H20+J$25*(I20-B20*H20))</f>
        <v>1.0344855895209363E-2</v>
      </c>
      <c r="K20" s="22">
        <f t="shared" si="4"/>
        <v>1.0323616438356165E-2</v>
      </c>
      <c r="L20" s="22">
        <f t="shared" si="5"/>
        <v>1.0323616438356165E-2</v>
      </c>
      <c r="M20" s="230">
        <f t="shared" si="6"/>
        <v>1.0344855895209363E-2</v>
      </c>
      <c r="N20" s="235">
        <v>12</v>
      </c>
      <c r="O20" s="2"/>
      <c r="P20" s="22"/>
      <c r="Q20" s="59" t="s">
        <v>81</v>
      </c>
      <c r="R20" s="228">
        <f>IF($B$68=0,0,(SUMIF($N$6:$N$20,$U20,K$6:K$20)+SUMIF($N$78:$N$100,$U20,K$78:K$100))*$I$70*Poor!$B$68/$B$68)</f>
        <v>8854.44</v>
      </c>
      <c r="S20" s="228">
        <f>IF($B$68=0,0,(SUMIF($N$6:$N$20,$U20,L$6:L$20)+SUMIF($N$78:$N$100,$U20,L$78:L$100))*$I$70*Poor!$B$68/$B$68)</f>
        <v>8775.3825000000015</v>
      </c>
      <c r="T20" s="228">
        <f>IF($B$68=0,0,(SUMIF($N$6:$N$20,$U20,M$6:M$20)+SUMIF($N$78:$N$100,$U20,M$78:M$100))*$I$70*Poor!$B$68/$B$68)</f>
        <v>8775.3825000000015</v>
      </c>
      <c r="U20" s="229">
        <v>14</v>
      </c>
      <c r="V20" s="56"/>
      <c r="W20" s="111"/>
      <c r="X20" s="119"/>
      <c r="Y20" s="185">
        <f t="shared" si="9"/>
        <v>4.1379423580837453E-2</v>
      </c>
      <c r="Z20" s="157">
        <f>Poor!Z20</f>
        <v>0</v>
      </c>
      <c r="AA20" s="122">
        <f t="shared" si="16"/>
        <v>0</v>
      </c>
      <c r="AB20" s="157">
        <f>Poor!AB20</f>
        <v>0</v>
      </c>
      <c r="AC20" s="122">
        <f t="shared" si="7"/>
        <v>0</v>
      </c>
      <c r="AD20" s="157">
        <f>Poor!AD20</f>
        <v>0.5</v>
      </c>
      <c r="AE20" s="122">
        <f t="shared" si="8"/>
        <v>2.0689711790418727E-2</v>
      </c>
      <c r="AF20" s="123">
        <f t="shared" si="10"/>
        <v>0.5</v>
      </c>
      <c r="AG20" s="122">
        <f t="shared" si="11"/>
        <v>2.0689711790418727E-2</v>
      </c>
      <c r="AH20" s="124">
        <f t="shared" si="12"/>
        <v>1</v>
      </c>
      <c r="AI20" s="185">
        <f t="shared" si="13"/>
        <v>1.0344855895209363E-2</v>
      </c>
      <c r="AJ20" s="121">
        <f t="shared" si="14"/>
        <v>0</v>
      </c>
      <c r="AK20" s="120">
        <f t="shared" si="15"/>
        <v>2.0689711790418727E-2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Purchase - fpl non staple</v>
      </c>
      <c r="B21" s="102">
        <f>IF([1]Summ!$H1059="",0,[1]Summ!$H1059)</f>
        <v>0.20196907397260272</v>
      </c>
      <c r="C21" s="103">
        <f>IF([1]Summ!$I1059="",0,[1]Summ!$I1059)</f>
        <v>0.17222896429771037</v>
      </c>
      <c r="D21" s="24">
        <f t="shared" si="0"/>
        <v>0.37419803827031306</v>
      </c>
      <c r="E21" s="75">
        <f>Poor!E21</f>
        <v>1</v>
      </c>
      <c r="F21" s="22"/>
      <c r="H21" s="24">
        <f t="shared" si="1"/>
        <v>1</v>
      </c>
      <c r="I21" s="22">
        <f t="shared" si="2"/>
        <v>0.37419803827031306</v>
      </c>
      <c r="J21" s="24">
        <f>IF(I$24&lt;=1+I113,I21,B21*H21+J$25*(I21-B21*H21))</f>
        <v>0.20161473596731985</v>
      </c>
      <c r="K21" s="22">
        <f t="shared" si="4"/>
        <v>0.20196907397260272</v>
      </c>
      <c r="L21" s="22">
        <f t="shared" si="5"/>
        <v>0.20196907397260272</v>
      </c>
      <c r="M21" s="230">
        <f t="shared" si="6"/>
        <v>0.20161473596731985</v>
      </c>
      <c r="N21" s="235"/>
      <c r="P21" s="22"/>
      <c r="Q21" s="59" t="s">
        <v>82</v>
      </c>
      <c r="R21" s="228">
        <f>IF($B$68=0,0,(SUMIF($N$6:$N$20,$U21,K$6:K$20)+SUMIF($N$78:$N$100,$U21,K$78:K$100))*$I$70*Poor!$B$68/$B$68)</f>
        <v>0</v>
      </c>
      <c r="S21" s="228">
        <f>IF($B$68=0,0,(SUMIF($N$6:$N$20,$U21,L$6:L$20)+SUMIF($N$78:$N$100,$U21,L$78:L$100))*$I$70*Poor!$B$68/$B$68)</f>
        <v>0</v>
      </c>
      <c r="T21" s="228">
        <f>IF($B$68=0,0,(SUMIF($N$6:$N$20,$U21,M$6:M$20)+SUMIF($N$78:$N$100,$U21,M$78:M$100))*$I$70*Poor!$B$68/$B$68)</f>
        <v>0</v>
      </c>
      <c r="U21" s="229">
        <v>15</v>
      </c>
      <c r="V21" s="56"/>
      <c r="W21" s="111"/>
      <c r="X21" s="119"/>
      <c r="Y21" s="185">
        <f t="shared" si="9"/>
        <v>0.80645894386927941</v>
      </c>
      <c r="Z21" s="157">
        <f>Poor!Z21</f>
        <v>0.25</v>
      </c>
      <c r="AA21" s="122">
        <f t="shared" si="16"/>
        <v>0.20161473596731985</v>
      </c>
      <c r="AB21" s="157">
        <f>Poor!AB21</f>
        <v>0.25</v>
      </c>
      <c r="AC21" s="122">
        <f t="shared" si="7"/>
        <v>0.20161473596731985</v>
      </c>
      <c r="AD21" s="157">
        <f>Poor!AD21</f>
        <v>0.25</v>
      </c>
      <c r="AE21" s="122">
        <f t="shared" si="8"/>
        <v>0.20161473596731985</v>
      </c>
      <c r="AF21" s="123">
        <f t="shared" si="10"/>
        <v>0.25</v>
      </c>
      <c r="AG21" s="122">
        <f t="shared" si="11"/>
        <v>0.20161473596731985</v>
      </c>
      <c r="AH21" s="124">
        <f t="shared" si="12"/>
        <v>1</v>
      </c>
      <c r="AI21" s="185">
        <f t="shared" si="13"/>
        <v>0.20161473596731985</v>
      </c>
      <c r="AJ21" s="121">
        <f t="shared" si="14"/>
        <v>0.20161473596731985</v>
      </c>
      <c r="AK21" s="120">
        <f t="shared" si="15"/>
        <v>0.20161473596731985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 thickBot="1">
      <c r="A22" s="94" t="s">
        <v>56</v>
      </c>
      <c r="B22" s="102">
        <f>IF([1]Summ!$H1060="",0,[1]Summ!$H1060)</f>
        <v>0.50976766625155667</v>
      </c>
      <c r="C22" s="104"/>
      <c r="D22" s="24">
        <f>(D101-B106)</f>
        <v>31.047235154973581</v>
      </c>
      <c r="E22" s="75">
        <f>Poor!E22</f>
        <v>1</v>
      </c>
      <c r="H22" s="97">
        <f>(E22*F$7/F$9)</f>
        <v>1</v>
      </c>
      <c r="I22" s="29">
        <f>IF(E22&gt;=1,I101-I106,MIN(I101-I106,B22*H22))</f>
        <v>29.539545608216304</v>
      </c>
      <c r="J22" s="237">
        <f>IF(I$24&lt;=$B$24,I22,$B$24-SUM(J6:J21))</f>
        <v>0.51143211624269602</v>
      </c>
      <c r="K22" s="22">
        <f t="shared" si="4"/>
        <v>0.50976766625155667</v>
      </c>
      <c r="L22" s="22">
        <f>IF(L106=L101,0,IF(K22="",0,(L101-L106)/(B101-B106)*K22))</f>
        <v>0.48418668489327427</v>
      </c>
      <c r="M22" s="176">
        <f t="shared" si="6"/>
        <v>0.51143211624269602</v>
      </c>
      <c r="N22" s="167" t="s">
        <v>86</v>
      </c>
      <c r="O22" s="2"/>
      <c r="P22" s="22"/>
      <c r="Q22" s="59" t="s">
        <v>83</v>
      </c>
      <c r="R22" s="228">
        <f>IF($B$68=0,0,(SUMIF($N$6:$N$20,$U22,K$6:K$20)+SUMIF($N$78:$N$100,$U22,K$78:K$100))*$I$70*Poor!$B$68/$B$68)</f>
        <v>0</v>
      </c>
      <c r="S22" s="228">
        <f>IF($B$68=0,0,(SUMIF($N$6:$N$20,$U22,L$6:L$20)+SUMIF($N$78:$N$100,$U22,L$78:L$100))*$I$70*Poor!$B$68/$B$68)</f>
        <v>0</v>
      </c>
      <c r="T22" s="228">
        <f>IF($B$68=0,0,(SUMIF($N$6:$N$20,$U22,M$6:M$20)+SUMIF($N$78:$N$100,$U22,M$78:M$100))*$I$70*Poor!$B$68/$B$68)</f>
        <v>0</v>
      </c>
      <c r="U22" s="229">
        <v>16</v>
      </c>
      <c r="V22" s="56"/>
      <c r="W22" s="111"/>
      <c r="X22" s="119"/>
      <c r="Y22" s="185">
        <f>M22*4</f>
        <v>2.0457284649707841</v>
      </c>
      <c r="Z22" s="123">
        <f>IF($Y22=0,0,AA22/($Y$22))</f>
        <v>0</v>
      </c>
      <c r="AA22" s="189">
        <f>IF(AA66*4/$I$70+SUM(AA6:AA21)&lt;1,AA66*4/$I$70,1-SUM(AA6:AA21))</f>
        <v>0</v>
      </c>
      <c r="AB22" s="123">
        <f>IF($Y22=0,0,AC22/($Y$22))</f>
        <v>0</v>
      </c>
      <c r="AC22" s="189">
        <f>IF(AC66*4/$I$70+SUM(AC6:AC21)&lt;1,AC66*4/$I$70,1-SUM(AC6:AC21))</f>
        <v>0</v>
      </c>
      <c r="AD22" s="123">
        <f>IF($Y22=0,0,AE22/($Y$22))</f>
        <v>0.10695173567017936</v>
      </c>
      <c r="AE22" s="189">
        <f>IF(AE66*4/$I$70+SUM(AE6:AE21)&lt;1,AE66*4/$I$70,1-SUM(AE6:AE21))</f>
        <v>0.21879421003851707</v>
      </c>
      <c r="AF22" s="123">
        <f>IF($Y22=0,0,AG22/($Y$22))</f>
        <v>0.28522538306548234</v>
      </c>
      <c r="AG22" s="189">
        <f>IF(AG66*4/$I$70+SUM(AG6:AG21)&lt;1,AG66*4/$I$70,1-SUM(AG6:AG21))</f>
        <v>0.58349368506925303</v>
      </c>
      <c r="AH22" s="124">
        <f t="shared" si="12"/>
        <v>0.39217711873566169</v>
      </c>
      <c r="AI22" s="185">
        <f t="shared" si="13"/>
        <v>0.20057197377694252</v>
      </c>
      <c r="AJ22" s="121">
        <f t="shared" si="14"/>
        <v>0</v>
      </c>
      <c r="AK22" s="120">
        <f t="shared" si="15"/>
        <v>0.40114394755388505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95" t="s">
        <v>57</v>
      </c>
      <c r="B23" s="102" t="str">
        <f>IF(1-$B$24&gt;0,1-$B$24,"")</f>
        <v/>
      </c>
      <c r="C23" s="77"/>
      <c r="D23" s="24"/>
      <c r="E23" s="22"/>
      <c r="F23" s="22"/>
      <c r="H23" s="24"/>
      <c r="I23" s="22"/>
      <c r="J23" s="238">
        <f>($B$24-SUM(J6:J22))</f>
        <v>0</v>
      </c>
      <c r="K23" s="22" t="str">
        <f t="shared" si="4"/>
        <v/>
      </c>
      <c r="L23" s="22">
        <f>(1-SUM(L6:L22))</f>
        <v>-0.2852791611074712</v>
      </c>
      <c r="M23" s="179">
        <f t="shared" si="6"/>
        <v>0</v>
      </c>
      <c r="N23" s="168">
        <f>M23*I70</f>
        <v>0</v>
      </c>
      <c r="P23" s="22"/>
      <c r="Q23" s="172" t="s">
        <v>100</v>
      </c>
      <c r="R23" s="180">
        <f>SUM(R7:R22)</f>
        <v>238988.67693214817</v>
      </c>
      <c r="S23" s="180">
        <f>SUM(S7:S22)</f>
        <v>228340.73943214823</v>
      </c>
      <c r="T23" s="180">
        <f>SUM(T7:T22)</f>
        <v>228323.72060186428</v>
      </c>
      <c r="U23" s="56"/>
      <c r="V23" s="56"/>
      <c r="W23" s="130" t="s">
        <v>84</v>
      </c>
      <c r="X23" s="131"/>
      <c r="Y23" s="122">
        <f>M23*4</f>
        <v>0</v>
      </c>
      <c r="Z23" s="132"/>
      <c r="AA23" s="133">
        <f>1-AA24+IF($Y24&lt;0,$Y24/4,0)</f>
        <v>0</v>
      </c>
      <c r="AB23" s="132"/>
      <c r="AC23" s="134">
        <f>1-AC24+IF($Y24&lt;0,$Y24/4,0)</f>
        <v>0</v>
      </c>
      <c r="AD23" s="135"/>
      <c r="AE23" s="134">
        <f>1-AE24+IF($Y24&lt;0,$Y24/4,0)</f>
        <v>0</v>
      </c>
      <c r="AF23" s="135"/>
      <c r="AG23" s="134">
        <f>1-AG24+IF($Y24&lt;0,$Y24/4,0)</f>
        <v>0</v>
      </c>
      <c r="AH23" s="124"/>
      <c r="AI23" s="184">
        <f>SUM(AA23,AC23,AE23,AG23)/4</f>
        <v>0</v>
      </c>
      <c r="AJ23" s="136">
        <f t="shared" si="14"/>
        <v>0</v>
      </c>
      <c r="AK23" s="137">
        <f t="shared" si="15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>
      <c r="A24" s="22" t="s">
        <v>24</v>
      </c>
      <c r="B24" s="77">
        <f>SUM(B6:B22)</f>
        <v>1.3108601424657536</v>
      </c>
      <c r="C24" s="77">
        <f>SUM(C6:C23)</f>
        <v>0.80901990140854441</v>
      </c>
      <c r="D24" s="24">
        <f>SUM(D6:D22)</f>
        <v>32.657347532596319</v>
      </c>
      <c r="E24" s="2"/>
      <c r="F24" s="2"/>
      <c r="H24" s="17"/>
      <c r="I24" s="22">
        <f>SUM(I6:I22)</f>
        <v>31.149657985839045</v>
      </c>
      <c r="J24" s="17"/>
      <c r="L24" s="22">
        <f>SUM(L6:L22)</f>
        <v>1.2852791611074712</v>
      </c>
      <c r="M24" s="23"/>
      <c r="N24" s="56"/>
      <c r="O24" s="2"/>
      <c r="P24" s="22"/>
      <c r="Q24" s="59" t="s">
        <v>137</v>
      </c>
      <c r="R24" s="41">
        <f>IF($B$68=0,0,($B$106*$H$106)+1-($D$21*$H$21)-($D$20*$H$20))*$I$70*Poor!$B$68/$B$68</f>
        <v>21925.553364673349</v>
      </c>
      <c r="S24" s="41">
        <f>IF($B$68=0,0,($B$106*($H$106)+1-($D$21*$H$21)-($D$20*$H$20))*$I$70*Poor!$B$68/$B$68)</f>
        <v>21925.553364673349</v>
      </c>
      <c r="T24" s="41">
        <f>IF($B$68=0,0,($B$106*($H$106)+1-($D$21*$H$21)-($D$20*$H$20))*$I$70*Poor!$B$68/$B$68)</f>
        <v>21925.553364673349</v>
      </c>
      <c r="U24" s="56"/>
      <c r="V24" s="56"/>
      <c r="W24" s="111"/>
      <c r="X24" s="119"/>
      <c r="Y24" s="116">
        <f>SUM(Y6:Y23)</f>
        <v>5.2434405698630142</v>
      </c>
      <c r="Z24" s="138"/>
      <c r="AA24" s="139">
        <f>SUM(AA6:AA22)</f>
        <v>1</v>
      </c>
      <c r="AB24" s="138"/>
      <c r="AC24" s="140">
        <f>SUM(AC6:AC22)</f>
        <v>1</v>
      </c>
      <c r="AD24" s="138"/>
      <c r="AE24" s="140">
        <f>SUM(AE6:AE22)</f>
        <v>1</v>
      </c>
      <c r="AF24" s="138"/>
      <c r="AG24" s="140">
        <f>SUM(AG6:AG22)</f>
        <v>1</v>
      </c>
      <c r="AH24" s="128"/>
      <c r="AI24" s="111"/>
      <c r="AJ24" s="141">
        <f>SUM(AJ6:AJ23)</f>
        <v>1</v>
      </c>
      <c r="AK24" s="142">
        <f>SUM(AK6:AK23)</f>
        <v>1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</row>
    <row r="25" spans="1:89" ht="14" customHeight="1" thickBot="1">
      <c r="A25" s="11"/>
      <c r="B25" s="11"/>
      <c r="C25" s="11"/>
      <c r="D25" s="10"/>
      <c r="E25" s="11"/>
      <c r="F25" s="11"/>
      <c r="G25" s="11"/>
      <c r="H25" s="10"/>
      <c r="I25" s="98" t="s">
        <v>25</v>
      </c>
      <c r="J25" s="99">
        <f>(1+K109*H109-L24-L109)/(I24-L24-L109)</f>
        <v>-2.0573659414821698E-3</v>
      </c>
      <c r="K25" s="14"/>
      <c r="L25" s="11"/>
      <c r="M25" s="30"/>
      <c r="N25" s="169" t="s">
        <v>87</v>
      </c>
      <c r="O25" s="2"/>
      <c r="P25" s="2"/>
      <c r="Q25" s="143" t="s">
        <v>138</v>
      </c>
      <c r="R25" s="41">
        <f>IF($B$68=0,0,($B$57+$B$58+((1-$D$21)*$B$70))*$H$71*Poor!$B$68/$B$68)</f>
        <v>35197.146827147968</v>
      </c>
      <c r="S25" s="41">
        <f>IF($B$68=0,0,(($B$57*$H$57)+($B$58*$H$58)+((1-($D$21*$H$21))*$I$70))*Poor!$B$68/$B$68)</f>
        <v>34894.793364673351</v>
      </c>
      <c r="T25" s="41">
        <f>IF($B$68=0,0,(($B$57*$H$57)+($B$58*$H$58)+((1-($D$21*$H$21))*$I$70))*Poor!$B$68/$B$68)</f>
        <v>34894.793364673351</v>
      </c>
      <c r="U25" s="56"/>
      <c r="V25" s="56"/>
      <c r="W25" s="111"/>
      <c r="X25" s="119"/>
      <c r="Y25" s="111"/>
      <c r="Z25" s="144"/>
      <c r="AA25" s="145"/>
      <c r="AB25" s="144"/>
      <c r="AC25" s="145"/>
      <c r="AD25" s="144"/>
      <c r="AE25" s="145"/>
      <c r="AF25" s="144"/>
      <c r="AG25" s="145"/>
      <c r="AH25" s="111"/>
      <c r="AI25" s="111"/>
      <c r="AJ25" s="144"/>
      <c r="AK25" s="145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</row>
    <row r="26" spans="1:89" ht="15.75" customHeight="1" thickBot="1">
      <c r="A26" s="73" t="s">
        <v>47</v>
      </c>
      <c r="B26" s="2"/>
      <c r="C26" s="2"/>
      <c r="D26" s="31"/>
      <c r="E26" s="32"/>
      <c r="F26" s="32"/>
      <c r="G26" s="32"/>
      <c r="H26" s="31"/>
      <c r="I26" s="2"/>
      <c r="J26" s="33"/>
      <c r="K26" s="34" t="s">
        <v>27</v>
      </c>
      <c r="L26" s="35"/>
      <c r="M26" s="36"/>
      <c r="N26" s="170">
        <f>-(M64*B63)</f>
        <v>0</v>
      </c>
      <c r="O26" s="2"/>
      <c r="P26" s="2"/>
      <c r="Q26" s="59" t="s">
        <v>139</v>
      </c>
      <c r="R26" s="41">
        <f>IF($B$68=0,0,($B$57+$B$58+$B$59+((1-$D$21)*$B$70))*$H$71*Poor!$B$68/$B$68)</f>
        <v>58832.487187227744</v>
      </c>
      <c r="S26" s="41">
        <f>IF($B$68=0,0,(($B$57*$H$57)+($B$58*$H$58)+($B$59*$H$59)+((1-($D$21*$H$21))*$I$70))*Poor!$B$68/$B$68)</f>
        <v>57991.673364673356</v>
      </c>
      <c r="T26" s="41">
        <f>IF($B$68=0,0,(($B$57*$H$57)+($B$58*$H$58)+($B$59*$H$59)+((1-($D$21*$H$21))*$I$70))*Poor!$B$68/$B$68)</f>
        <v>57991.673364673356</v>
      </c>
      <c r="U26" s="56"/>
      <c r="V26" s="56"/>
      <c r="W26" s="111"/>
      <c r="X26" s="119"/>
      <c r="Y26" s="111"/>
      <c r="Z26" s="146"/>
      <c r="AA26" s="147"/>
      <c r="AB26" s="146"/>
      <c r="AC26" s="147"/>
      <c r="AD26" s="146"/>
      <c r="AE26" s="147"/>
      <c r="AF26" s="146"/>
      <c r="AG26" s="147"/>
      <c r="AH26" s="111"/>
      <c r="AI26" s="111"/>
      <c r="AJ26" s="146"/>
      <c r="AK26" s="147"/>
      <c r="AP26" s="25"/>
      <c r="AQ26" s="25"/>
      <c r="AR26" s="25"/>
      <c r="AS26" s="25"/>
      <c r="AT26" s="25"/>
      <c r="AU26" s="25"/>
      <c r="AW26" s="25"/>
      <c r="AX26" s="25"/>
      <c r="AY26" s="25"/>
      <c r="AZ26" s="25"/>
      <c r="BA26" s="25"/>
      <c r="BB26" s="25"/>
      <c r="BF26" s="25"/>
      <c r="BG26" s="25"/>
      <c r="BH26" s="25"/>
      <c r="BI26" s="25"/>
      <c r="BJ26" s="25"/>
      <c r="BK26" s="25"/>
      <c r="BM26" s="25"/>
      <c r="BN26" s="25"/>
      <c r="BO26" s="25"/>
      <c r="BP26" s="25"/>
      <c r="BQ26" s="25"/>
      <c r="BR26" s="25"/>
      <c r="BU26" s="25"/>
      <c r="BV26" s="25"/>
      <c r="BW26" s="25"/>
      <c r="BX26" s="25"/>
      <c r="BY26" s="25"/>
      <c r="BZ26" s="25"/>
      <c r="CB26" s="25"/>
      <c r="CC26" s="25"/>
      <c r="CD26" s="25"/>
      <c r="CE26" s="25"/>
      <c r="CF26" s="25"/>
      <c r="CG26" s="25"/>
    </row>
    <row r="27" spans="1:89" ht="14" customHeight="1">
      <c r="A27" s="2"/>
      <c r="B27" s="19" t="s">
        <v>7</v>
      </c>
      <c r="C27" s="19" t="s">
        <v>8</v>
      </c>
      <c r="D27" s="16" t="s">
        <v>9</v>
      </c>
      <c r="E27" s="19" t="s">
        <v>10</v>
      </c>
      <c r="F27" s="2" t="s">
        <v>28</v>
      </c>
      <c r="G27" s="2" t="s">
        <v>29</v>
      </c>
      <c r="H27" s="16" t="s">
        <v>12</v>
      </c>
      <c r="I27" s="19" t="s">
        <v>13</v>
      </c>
      <c r="J27" s="16" t="s">
        <v>14</v>
      </c>
      <c r="K27" s="37" t="s">
        <v>7</v>
      </c>
      <c r="L27" s="19" t="s">
        <v>15</v>
      </c>
      <c r="M27" s="16" t="s">
        <v>14</v>
      </c>
      <c r="N27" s="2"/>
      <c r="O27" s="2"/>
      <c r="P27" s="2"/>
      <c r="Q27" s="127" t="s">
        <v>140</v>
      </c>
      <c r="R27" s="41">
        <f>IF($B$68=0,0,($B$57+$B$58+$B$59+$B$60+(1-$D$21-$D$20)*$B$70)*$H$71*Poor!$B$68/$B$68)</f>
        <v>99965.339900383857</v>
      </c>
      <c r="S27" s="41">
        <f>IF($B$68=0,0,(($B$57*$H$57)+($B$58*$H$58)+($B$59*$H$59)+($B$60*$H$60)+((1-($D$20*$H$20)-($D$21*$H$21))*$I$70))*Poor!$B$68/$B$68)</f>
        <v>98187.437364673358</v>
      </c>
      <c r="T27" s="41">
        <f>IF($B$68=0,0,(($B$57*$H$57)+($B$58*$H$58)+($B$59*$H$59)+($B$60*$H$60)+((1-($D$20*$H$20)-($D$21*$H$21))*$I$70))*Poor!$B$68/$B$68)</f>
        <v>98187.437364673358</v>
      </c>
      <c r="U27" s="56"/>
      <c r="V27" s="56"/>
      <c r="W27" s="111"/>
      <c r="X27" s="119"/>
      <c r="Y27" s="111"/>
      <c r="Z27" s="146"/>
      <c r="AA27" s="147"/>
      <c r="AB27" s="146"/>
      <c r="AC27" s="147"/>
      <c r="AD27" s="146"/>
      <c r="AE27" s="147"/>
      <c r="AF27" s="146"/>
      <c r="AG27" s="147"/>
      <c r="AH27" s="111"/>
      <c r="AI27" s="111"/>
      <c r="AJ27" s="146"/>
      <c r="AK27" s="147"/>
      <c r="AP27" s="25"/>
      <c r="AQ27" s="25"/>
      <c r="AR27" s="25"/>
      <c r="AS27" s="25"/>
      <c r="AT27" s="25"/>
      <c r="AU27" s="25"/>
      <c r="AW27" s="25"/>
      <c r="AX27" s="25"/>
      <c r="AY27" s="25"/>
      <c r="AZ27" s="25"/>
      <c r="BA27" s="25"/>
      <c r="BB27" s="25"/>
      <c r="BF27" s="25"/>
      <c r="BG27" s="25"/>
      <c r="BH27" s="25"/>
      <c r="BI27" s="25"/>
      <c r="BJ27" s="25"/>
      <c r="BK27" s="25"/>
      <c r="BM27" s="25"/>
      <c r="BN27" s="25"/>
      <c r="BO27" s="25"/>
      <c r="BP27" s="25"/>
      <c r="BQ27" s="25"/>
      <c r="BR27" s="25"/>
      <c r="BU27" s="25"/>
      <c r="BV27" s="25"/>
      <c r="BW27" s="25"/>
      <c r="BX27" s="25"/>
      <c r="BY27" s="25"/>
      <c r="BZ27" s="25"/>
      <c r="CB27" s="25"/>
      <c r="CC27" s="25"/>
      <c r="CD27" s="25"/>
      <c r="CE27" s="25"/>
      <c r="CF27" s="25"/>
      <c r="CG27" s="25"/>
    </row>
    <row r="28" spans="1:89" ht="14" customHeight="1">
      <c r="A28" s="2" t="s">
        <v>30</v>
      </c>
      <c r="B28" s="19" t="s">
        <v>16</v>
      </c>
      <c r="C28" s="19" t="s">
        <v>17</v>
      </c>
      <c r="D28" s="16" t="s">
        <v>16</v>
      </c>
      <c r="E28" s="19" t="s">
        <v>18</v>
      </c>
      <c r="F28" s="2" t="s">
        <v>31</v>
      </c>
      <c r="G28" s="2" t="s">
        <v>31</v>
      </c>
      <c r="H28" s="16" t="s">
        <v>18</v>
      </c>
      <c r="I28" s="19" t="s">
        <v>16</v>
      </c>
      <c r="J28" s="16" t="s">
        <v>16</v>
      </c>
      <c r="K28" s="37" t="s">
        <v>16</v>
      </c>
      <c r="L28" s="19" t="s">
        <v>19</v>
      </c>
      <c r="M28" s="16" t="s">
        <v>16</v>
      </c>
      <c r="N28" s="2"/>
      <c r="O28" s="2"/>
      <c r="P28" s="2"/>
      <c r="Q28" s="59"/>
      <c r="R28" s="181"/>
      <c r="S28" s="181"/>
      <c r="T28" s="181"/>
      <c r="U28" s="56"/>
      <c r="V28" s="56"/>
      <c r="W28" s="111"/>
      <c r="X28" s="119"/>
      <c r="Y28" s="111"/>
      <c r="Z28" s="146"/>
      <c r="AA28" s="147"/>
      <c r="AB28" s="146"/>
      <c r="AC28" s="147"/>
      <c r="AD28" s="146"/>
      <c r="AE28" s="147"/>
      <c r="AF28" s="146"/>
      <c r="AG28" s="147"/>
      <c r="AH28" s="111"/>
      <c r="AI28" s="111"/>
      <c r="AJ28" s="146"/>
      <c r="AK28" s="147"/>
      <c r="AP28" s="25"/>
      <c r="AQ28" s="25"/>
      <c r="AR28" s="25"/>
      <c r="AS28" s="25"/>
      <c r="AT28" s="25"/>
      <c r="AU28" s="25"/>
      <c r="AW28" s="25"/>
      <c r="AX28" s="25"/>
      <c r="AY28" s="25"/>
      <c r="AZ28" s="25"/>
      <c r="BA28" s="25"/>
      <c r="BB28" s="25"/>
      <c r="BF28" s="25"/>
      <c r="BG28" s="25"/>
      <c r="BH28" s="25"/>
      <c r="BI28" s="25"/>
      <c r="BJ28" s="25"/>
      <c r="BK28" s="25"/>
      <c r="BM28" s="25"/>
      <c r="BN28" s="25"/>
      <c r="BO28" s="25"/>
      <c r="BP28" s="25"/>
      <c r="BQ28" s="25"/>
      <c r="BR28" s="25"/>
      <c r="BU28" s="25"/>
      <c r="BV28" s="25"/>
      <c r="BW28" s="25"/>
      <c r="BX28" s="25"/>
      <c r="BY28" s="25"/>
      <c r="BZ28" s="25"/>
      <c r="CB28" s="25"/>
      <c r="CC28" s="25"/>
      <c r="CD28" s="25"/>
      <c r="CE28" s="25"/>
      <c r="CF28" s="25"/>
      <c r="CG28" s="25"/>
    </row>
    <row r="29" spans="1:89" ht="14" customHeight="1">
      <c r="A29" s="74" t="str">
        <f>IF(Poor!A29=0,"",Poor!A29)</f>
        <v>Cattle sales - local: no. sold</v>
      </c>
      <c r="B29" s="105">
        <f>IF([1]Summ!$H1064="",0,[1]Summ!$H1064)</f>
        <v>8000</v>
      </c>
      <c r="C29" s="105">
        <f>IF([1]Summ!$I1064="",0,[1]Summ!$I1064)</f>
        <v>4000</v>
      </c>
      <c r="D29" s="38">
        <f t="shared" ref="D29:D51" si="17">B29+C29</f>
        <v>12000</v>
      </c>
      <c r="E29" s="75">
        <f>Poor!E29</f>
        <v>1</v>
      </c>
      <c r="F29" s="75">
        <f>Poor!F29</f>
        <v>1.1100000000000001</v>
      </c>
      <c r="G29" s="75">
        <f>Poor!G29</f>
        <v>1.1199999999999999</v>
      </c>
      <c r="H29" s="24">
        <f t="shared" ref="H29:H51" si="18">(E29*F29)</f>
        <v>1.1100000000000001</v>
      </c>
      <c r="I29" s="39">
        <f t="shared" ref="I29:I51" si="19">D29*H29</f>
        <v>13320.000000000002</v>
      </c>
      <c r="J29" s="38">
        <f t="shared" ref="J29:J51" si="20">J78*I$70</f>
        <v>8870.8652952198208</v>
      </c>
      <c r="K29" s="40">
        <f t="shared" ref="K29:K51" si="21">(B29/B$52)</f>
        <v>4.5664152997744616E-2</v>
      </c>
      <c r="L29" s="22">
        <f t="shared" ref="L29:L51" si="22">(K29*H29)</f>
        <v>5.0687209827496527E-2</v>
      </c>
      <c r="M29" s="24">
        <f t="shared" ref="M29:M51" si="23">J29/B$52</f>
        <v>5.0635068757912613E-2</v>
      </c>
      <c r="N29" s="2"/>
      <c r="O29" s="2"/>
      <c r="P29" s="2"/>
      <c r="Q29" s="2"/>
      <c r="R29" s="181"/>
      <c r="S29" s="181"/>
      <c r="T29" s="181"/>
      <c r="U29" s="56"/>
      <c r="V29" s="56"/>
      <c r="W29" s="116"/>
      <c r="X29" s="119"/>
      <c r="Y29" s="111"/>
      <c r="Z29" s="123">
        <f>IF($J29=0,0,AA29/($J29))</f>
        <v>0</v>
      </c>
      <c r="AA29" s="148">
        <f>IF(SUM(AA$6:AA$21)+(SUM(AA$31:AA$51,-AA$57)/AA$70)&lt;1,IF(SUM(AA$6:AA$21)+(SUM(AA$31:AA$51,$J$29:$J$30,-AA$57)/AA$70)&lt;1,$J29,(AA$70-(SUM(AA$6:AA$21)*AA$70)-SUM(AA$31:AA$51,-AA$57))*($J29/SUM($J$29:$J$30))),0)</f>
        <v>0</v>
      </c>
      <c r="AB29" s="123">
        <f>IF($J29=0,0,AC29/($J29))</f>
        <v>0</v>
      </c>
      <c r="AC29" s="148">
        <f>IF(SUM(AC$6:AC$21)+(SUM(AC$31:AC$51,-AC$57)/AC$70)&lt;1,IF(SUM(AC$6:AC$21)+((SUM(AC$31:AC$51,$J$29:$J$30,-AC$57)-SUM($AA$29:$AA$30))/AC$70)&lt;1,$J29-$AA29,(AC$70-(SUM(AC$6:AC$21)*AC$70)-SUM(AC$31:AC$51,-AC$57))*($J29/SUM($J$29:$J$30))),0)</f>
        <v>0</v>
      </c>
      <c r="AD29" s="123">
        <f>IF($J29=0,0,AE29/($J29))</f>
        <v>0</v>
      </c>
      <c r="AE29" s="148">
        <f>IF(SUM(AE$6:AE$21)+(SUM(AE$31:AE$51,-AE$57)/AE$70)&lt;1,IF(SUM(AE$6:AE$21)+((SUM(AE$31:AE$51,$J$29:$J$30,-AE$57)-SUM($AA$29:$AA$30)-SUM($AC$29:$AC$30))/AE$70)&lt;1,$J29-$AA29-$AC29,(AE$70-(SUM(AE$6:AE$21)*AE$70)-SUM(AE$31:AE$51,-AE$57))*($J29/SUM($J$29:$J$30))),0)</f>
        <v>0</v>
      </c>
      <c r="AF29" s="123">
        <f t="shared" ref="AF29:AF51" si="24">1-SUM(Z29,AB29,AD29)</f>
        <v>1</v>
      </c>
      <c r="AG29" s="148">
        <f>$J29*AF29</f>
        <v>8870.8652952198208</v>
      </c>
      <c r="AH29" s="124">
        <f>SUM(Z29,AB29,AD29,AF29)</f>
        <v>1</v>
      </c>
      <c r="AI29" s="113">
        <f>SUM(AA29,AC29,AE29,AG29)</f>
        <v>8870.8652952198208</v>
      </c>
      <c r="AJ29" s="149">
        <f>(AA29+AC29)</f>
        <v>0</v>
      </c>
      <c r="AK29" s="148">
        <f>(AE29+AG29)</f>
        <v>8870.8652952198208</v>
      </c>
      <c r="AP29" s="25"/>
      <c r="AQ29" s="25"/>
      <c r="AR29" s="25"/>
      <c r="AS29" s="25"/>
      <c r="AT29" s="25"/>
      <c r="AU29" s="25"/>
      <c r="AW29" s="25"/>
      <c r="AX29" s="25"/>
      <c r="AY29" s="25"/>
      <c r="AZ29" s="25"/>
      <c r="BA29" s="25"/>
      <c r="BB29" s="25"/>
      <c r="BF29" s="25"/>
      <c r="BG29" s="25"/>
      <c r="BH29" s="25"/>
      <c r="BI29" s="25"/>
      <c r="BJ29" s="25"/>
      <c r="BK29" s="25"/>
      <c r="BM29" s="25"/>
      <c r="BN29" s="25"/>
      <c r="BO29" s="25"/>
      <c r="BP29" s="25"/>
      <c r="BQ29" s="25"/>
      <c r="BR29" s="25"/>
      <c r="BU29" s="25"/>
      <c r="BV29" s="25"/>
      <c r="BW29" s="25"/>
      <c r="BX29" s="25"/>
      <c r="BY29" s="25"/>
      <c r="BZ29" s="25"/>
      <c r="CB29" s="25"/>
      <c r="CC29" s="25"/>
      <c r="CD29" s="25"/>
      <c r="CE29" s="25"/>
      <c r="CF29" s="25"/>
      <c r="CG29" s="25"/>
    </row>
    <row r="30" spans="1:89" ht="14" customHeight="1">
      <c r="A30" s="74" t="str">
        <f>IF(Poor!A30=0,"",Poor!A30)</f>
        <v>Goat sales - local: no. sold</v>
      </c>
      <c r="B30" s="105">
        <f>IF([1]Summ!$H1065="",0,[1]Summ!$H1065)</f>
        <v>600</v>
      </c>
      <c r="C30" s="105">
        <f>IF([1]Summ!$I1065="",0,[1]Summ!$I1065)</f>
        <v>300</v>
      </c>
      <c r="D30" s="38">
        <f t="shared" si="17"/>
        <v>900</v>
      </c>
      <c r="E30" s="75">
        <f>Poor!E30</f>
        <v>1</v>
      </c>
      <c r="F30" s="75">
        <f>Poor!F30</f>
        <v>1.0900000000000001</v>
      </c>
      <c r="G30" s="22">
        <f t="shared" ref="G30:G51" si="25">(G$29)</f>
        <v>1.1199999999999999</v>
      </c>
      <c r="H30" s="24">
        <f t="shared" si="18"/>
        <v>1.0900000000000001</v>
      </c>
      <c r="I30" s="39">
        <f t="shared" si="19"/>
        <v>981.00000000000011</v>
      </c>
      <c r="J30" s="38">
        <f t="shared" si="20"/>
        <v>653.32724133713532</v>
      </c>
      <c r="K30" s="40">
        <f t="shared" si="21"/>
        <v>3.4248114748308463E-3</v>
      </c>
      <c r="L30" s="22">
        <f t="shared" si="22"/>
        <v>3.7330445075656228E-3</v>
      </c>
      <c r="M30" s="24">
        <f t="shared" si="23"/>
        <v>3.7292043882516711E-3</v>
      </c>
      <c r="N30" s="2"/>
      <c r="O30" s="2"/>
      <c r="P30" s="2"/>
      <c r="Q30" s="59"/>
      <c r="R30" s="181"/>
      <c r="S30" s="181"/>
      <c r="T30" s="181"/>
      <c r="U30" s="56"/>
      <c r="V30" s="56"/>
      <c r="W30" s="116"/>
      <c r="X30" s="119"/>
      <c r="Y30" s="111"/>
      <c r="Z30" s="123">
        <f>IF($J30=0,0,AA30/($J30))</f>
        <v>0</v>
      </c>
      <c r="AA30" s="148">
        <f>IF(SUM(AA$6:AA$21)+(SUM(AA$31:AA$51,-AA$57)/AA$70)&lt;1,IF(SUM(AA$6:AA$21)+(SUM(AA$31:AA$51,$J$29:$J$30,-AA$57)/AA$70)&lt;1,$J30,(AA$70-(SUM(AA$6:AA$21)*AA$70)-SUM(AA$31:AA$51,-AA$57))*($J30/SUM($J$29:$J$30))),0)</f>
        <v>0</v>
      </c>
      <c r="AB30" s="123">
        <f>IF($J30=0,0,AC30/($J30))</f>
        <v>0</v>
      </c>
      <c r="AC30" s="148">
        <f>IF(SUM(AC$6:AC$21)+(SUM(AC$31:AC$51,-AC$57)/AC$70)&lt;1,IF(SUM(AC$6:AC$21)+((SUM(AC$31:AC$51,$J$29:$J$30,-AC$57)-SUM($AA$29:$AA$30))/AC$70)&lt;1,$J30-$AA30,(AC$70-(SUM(AC$6:AC$21)*AC$70)-SUM(AC$31:AC$51,-AC$57))*($J30/SUM($J$29:$J$30))),0)</f>
        <v>0</v>
      </c>
      <c r="AD30" s="123">
        <f>IF($J30=0,0,AE30/($J30))</f>
        <v>0</v>
      </c>
      <c r="AE30" s="148">
        <f>IF(SUM(AE$6:AE$21)+(SUM(AE$31:AE$51,-AE$57)/AE$70)&lt;1,IF(SUM(AE$6:AE$21)+((SUM(AE$31:AE$51,$J$29:$J$30,-AE$57)-SUM($AA$29:$AA$30)-SUM($AC$29:$AC$30))/AE$70)&lt;1,$J30-$AA30-$AC30,(AE$70-(SUM(AE$6:AE$21)*AE$70)-SUM(AE$31:AE$51,-AE$57))*($J30/SUM($J$29:$J$30))),0)</f>
        <v>0</v>
      </c>
      <c r="AF30" s="123">
        <f t="shared" si="24"/>
        <v>1</v>
      </c>
      <c r="AG30" s="148">
        <f t="shared" ref="AG30:AG51" si="26">$J30*AF30</f>
        <v>653.32724133713532</v>
      </c>
      <c r="AH30" s="124">
        <f t="shared" ref="AH30:AI45" si="27">SUM(Z30,AB30,AD30,AF30)</f>
        <v>1</v>
      </c>
      <c r="AI30" s="113">
        <f t="shared" si="27"/>
        <v>653.32724133713532</v>
      </c>
      <c r="AJ30" s="149">
        <f t="shared" ref="AJ30:AJ51" si="28">(AA30+AC30)</f>
        <v>0</v>
      </c>
      <c r="AK30" s="148">
        <f t="shared" ref="AK30:AK51" si="29">(AE30+AG30)</f>
        <v>653.32724133713532</v>
      </c>
      <c r="AP30" s="25"/>
      <c r="AQ30" s="25"/>
      <c r="AR30" s="25"/>
      <c r="AS30" s="25"/>
      <c r="AT30" s="25"/>
      <c r="AU30" s="25"/>
      <c r="AW30" s="25"/>
      <c r="AX30" s="25"/>
      <c r="AY30" s="25"/>
      <c r="AZ30" s="25"/>
      <c r="BA30" s="25"/>
      <c r="BB30" s="25"/>
      <c r="BF30" s="25"/>
      <c r="BG30" s="25"/>
      <c r="BH30" s="25"/>
      <c r="BI30" s="25"/>
      <c r="BJ30" s="25"/>
      <c r="BK30" s="25"/>
      <c r="BM30" s="25"/>
      <c r="BN30" s="25"/>
      <c r="BO30" s="25"/>
      <c r="BP30" s="25"/>
      <c r="BQ30" s="25"/>
      <c r="BR30" s="25"/>
      <c r="BU30" s="25"/>
      <c r="BV30" s="25"/>
      <c r="BW30" s="25"/>
      <c r="BX30" s="25"/>
      <c r="BY30" s="25"/>
      <c r="BZ30" s="25"/>
      <c r="CB30" s="25"/>
      <c r="CC30" s="25"/>
      <c r="CD30" s="25"/>
      <c r="CE30" s="25"/>
      <c r="CF30" s="25"/>
      <c r="CG30" s="25"/>
    </row>
    <row r="31" spans="1:89" ht="14" customHeight="1">
      <c r="A31" s="74" t="str">
        <f>IF(Poor!A31=0,"",Poor!A31)</f>
        <v>Chicken sales: no. sold</v>
      </c>
      <c r="B31" s="105">
        <f>IF([1]Summ!$H1066="",0,[1]Summ!$H1066)</f>
        <v>0</v>
      </c>
      <c r="C31" s="105">
        <f>IF([1]Summ!$I1066="",0,[1]Summ!$I1066)</f>
        <v>0</v>
      </c>
      <c r="D31" s="38">
        <f t="shared" si="17"/>
        <v>0</v>
      </c>
      <c r="E31" s="75">
        <f>Poor!E31</f>
        <v>1</v>
      </c>
      <c r="F31" s="75">
        <f>Poor!F31</f>
        <v>1.0900000000000001</v>
      </c>
      <c r="G31" s="22">
        <f t="shared" si="25"/>
        <v>1.1199999999999999</v>
      </c>
      <c r="H31" s="24">
        <f t="shared" si="18"/>
        <v>1.0900000000000001</v>
      </c>
      <c r="I31" s="39">
        <f t="shared" si="19"/>
        <v>0</v>
      </c>
      <c r="J31" s="38">
        <f t="shared" si="20"/>
        <v>0</v>
      </c>
      <c r="K31" s="40">
        <f t="shared" si="21"/>
        <v>0</v>
      </c>
      <c r="L31" s="22">
        <f t="shared" si="22"/>
        <v>0</v>
      </c>
      <c r="M31" s="24">
        <f t="shared" si="23"/>
        <v>0</v>
      </c>
      <c r="N31" s="2"/>
      <c r="O31" s="2"/>
      <c r="P31" s="2"/>
      <c r="Q31" s="59"/>
      <c r="R31" s="181"/>
      <c r="S31" s="181"/>
      <c r="T31" s="181"/>
      <c r="U31" s="56"/>
      <c r="V31" s="56"/>
      <c r="W31" s="116"/>
      <c r="X31" s="196">
        <f>X8</f>
        <v>1</v>
      </c>
      <c r="Y31" s="111"/>
      <c r="Z31" s="123">
        <f>Z8</f>
        <v>0.3841880470065217</v>
      </c>
      <c r="AA31" s="148">
        <f t="shared" ref="AA31:AA51" si="30">$J31*Z31</f>
        <v>0</v>
      </c>
      <c r="AB31" s="123">
        <f>AB8</f>
        <v>0.3841880470065217</v>
      </c>
      <c r="AC31" s="148">
        <f t="shared" ref="AC31:AC51" si="31">$J31*AB31</f>
        <v>0</v>
      </c>
      <c r="AD31" s="123">
        <f>AD8</f>
        <v>0.23162390598695656</v>
      </c>
      <c r="AE31" s="148">
        <f t="shared" ref="AE31:AE51" si="32">$J31*AD31</f>
        <v>0</v>
      </c>
      <c r="AF31" s="123">
        <f t="shared" si="24"/>
        <v>0</v>
      </c>
      <c r="AG31" s="148">
        <f t="shared" si="26"/>
        <v>0</v>
      </c>
      <c r="AH31" s="124">
        <f t="shared" si="27"/>
        <v>1</v>
      </c>
      <c r="AI31" s="113">
        <f t="shared" si="27"/>
        <v>0</v>
      </c>
      <c r="AJ31" s="149">
        <f t="shared" si="28"/>
        <v>0</v>
      </c>
      <c r="AK31" s="148">
        <f t="shared" si="29"/>
        <v>0</v>
      </c>
      <c r="AP31" s="25"/>
      <c r="AQ31" s="25"/>
      <c r="AR31" s="25"/>
      <c r="AS31" s="25"/>
      <c r="AT31" s="25"/>
      <c r="AU31" s="25"/>
      <c r="AW31" s="25"/>
      <c r="AX31" s="25"/>
      <c r="AY31" s="25"/>
      <c r="AZ31" s="25"/>
      <c r="BA31" s="25"/>
      <c r="BB31" s="25"/>
      <c r="BF31" s="25"/>
      <c r="BG31" s="25"/>
      <c r="BH31" s="25"/>
      <c r="BI31" s="25"/>
      <c r="BJ31" s="25"/>
      <c r="BK31" s="25"/>
      <c r="BM31" s="25"/>
      <c r="BN31" s="25"/>
      <c r="BO31" s="25"/>
      <c r="BP31" s="25"/>
      <c r="BQ31" s="25"/>
      <c r="BR31" s="25"/>
      <c r="BU31" s="25"/>
      <c r="BV31" s="25"/>
      <c r="BW31" s="25"/>
      <c r="BX31" s="25"/>
      <c r="BY31" s="25"/>
      <c r="BZ31" s="25"/>
      <c r="CB31" s="25"/>
      <c r="CC31" s="25"/>
      <c r="CD31" s="25"/>
      <c r="CE31" s="25"/>
      <c r="CF31" s="25"/>
      <c r="CG31" s="25"/>
    </row>
    <row r="32" spans="1:89" ht="14" customHeight="1">
      <c r="A32" s="74" t="str">
        <f>IF(Poor!A32=0,"",Poor!A32)</f>
        <v>Maize: kg produced</v>
      </c>
      <c r="B32" s="105">
        <f>IF([1]Summ!$H1067="",0,[1]Summ!$H1067)</f>
        <v>2304</v>
      </c>
      <c r="C32" s="105">
        <f>IF([1]Summ!$I1067="",0,[1]Summ!$I1067)</f>
        <v>-2304</v>
      </c>
      <c r="D32" s="38">
        <f t="shared" si="17"/>
        <v>0</v>
      </c>
      <c r="E32" s="75">
        <f>Poor!E32</f>
        <v>1</v>
      </c>
      <c r="F32" s="75">
        <f>Poor!F32</f>
        <v>1.02</v>
      </c>
      <c r="G32" s="22">
        <f t="shared" si="25"/>
        <v>1.1199999999999999</v>
      </c>
      <c r="H32" s="24">
        <f t="shared" si="18"/>
        <v>1.02</v>
      </c>
      <c r="I32" s="39">
        <f t="shared" si="19"/>
        <v>0</v>
      </c>
      <c r="J32" s="38">
        <f t="shared" si="20"/>
        <v>2354.9149745517584</v>
      </c>
      <c r="K32" s="40">
        <f t="shared" si="21"/>
        <v>1.315127606335045E-2</v>
      </c>
      <c r="L32" s="22">
        <f t="shared" si="22"/>
        <v>1.3414301584617459E-2</v>
      </c>
      <c r="M32" s="24">
        <f t="shared" si="23"/>
        <v>1.3441899711826421E-2</v>
      </c>
      <c r="N32" s="2"/>
      <c r="O32" s="2"/>
      <c r="P32" s="2"/>
      <c r="Q32" s="56"/>
      <c r="R32" s="68"/>
      <c r="S32" s="68"/>
      <c r="T32" s="68"/>
      <c r="U32" s="56"/>
      <c r="V32" s="56"/>
      <c r="W32" s="116"/>
      <c r="X32" s="196">
        <f>X9</f>
        <v>1</v>
      </c>
      <c r="Y32" s="111"/>
      <c r="Z32" s="123">
        <f>Z9</f>
        <v>0.38418804700652165</v>
      </c>
      <c r="AA32" s="148">
        <f t="shared" si="30"/>
        <v>904.73018493945267</v>
      </c>
      <c r="AB32" s="123">
        <f>AB9</f>
        <v>0.38418804700652165</v>
      </c>
      <c r="AC32" s="148">
        <f t="shared" si="31"/>
        <v>904.73018493945267</v>
      </c>
      <c r="AD32" s="123">
        <f>AD9</f>
        <v>0.23162390598695673</v>
      </c>
      <c r="AE32" s="148">
        <f t="shared" si="32"/>
        <v>545.45460467285307</v>
      </c>
      <c r="AF32" s="123">
        <f t="shared" si="24"/>
        <v>0</v>
      </c>
      <c r="AG32" s="148">
        <f t="shared" si="26"/>
        <v>0</v>
      </c>
      <c r="AH32" s="124">
        <f t="shared" si="27"/>
        <v>1</v>
      </c>
      <c r="AI32" s="113">
        <f t="shared" si="27"/>
        <v>2354.9149745517584</v>
      </c>
      <c r="AJ32" s="149">
        <f t="shared" si="28"/>
        <v>1809.4603698789053</v>
      </c>
      <c r="AK32" s="148">
        <f t="shared" si="29"/>
        <v>545.45460467285307</v>
      </c>
      <c r="AP32" s="25"/>
      <c r="AQ32" s="25"/>
      <c r="AR32" s="25"/>
      <c r="AS32" s="25"/>
      <c r="AT32" s="25"/>
      <c r="AU32" s="25"/>
      <c r="AW32" s="25"/>
      <c r="AX32" s="25"/>
      <c r="AY32" s="25"/>
      <c r="AZ32" s="25"/>
      <c r="BA32" s="25"/>
      <c r="BB32" s="25"/>
      <c r="BF32" s="25"/>
      <c r="BG32" s="25"/>
      <c r="BH32" s="25"/>
      <c r="BI32" s="25"/>
      <c r="BJ32" s="25"/>
      <c r="BK32" s="25"/>
      <c r="BM32" s="25"/>
      <c r="BN32" s="25"/>
      <c r="BO32" s="25"/>
      <c r="BP32" s="25"/>
      <c r="BQ32" s="25"/>
      <c r="BR32" s="25"/>
      <c r="BU32" s="25"/>
      <c r="BV32" s="25"/>
      <c r="BW32" s="25"/>
      <c r="BX32" s="25"/>
      <c r="BY32" s="25"/>
      <c r="BZ32" s="25"/>
      <c r="CB32" s="25"/>
      <c r="CC32" s="25"/>
      <c r="CD32" s="25"/>
      <c r="CE32" s="25"/>
      <c r="CF32" s="25"/>
      <c r="CG32" s="25"/>
    </row>
    <row r="33" spans="1:85" ht="14" customHeight="1">
      <c r="A33" s="74" t="str">
        <f>IF(Poor!A33=0,"",Poor!A33)</f>
        <v>Beans: kg produced</v>
      </c>
      <c r="B33" s="105">
        <f>IF([1]Summ!$H1068="",0,[1]Summ!$H1068)</f>
        <v>500</v>
      </c>
      <c r="C33" s="105">
        <f>IF([1]Summ!$I1068="",0,[1]Summ!$I1068)</f>
        <v>75</v>
      </c>
      <c r="D33" s="38">
        <f t="shared" si="17"/>
        <v>575</v>
      </c>
      <c r="E33" s="75">
        <f>Poor!E33</f>
        <v>1</v>
      </c>
      <c r="F33" s="75">
        <f>Poor!F33</f>
        <v>1.1299999999999999</v>
      </c>
      <c r="G33" s="22">
        <f t="shared" si="25"/>
        <v>1.1199999999999999</v>
      </c>
      <c r="H33" s="24">
        <f t="shared" si="18"/>
        <v>1.1299999999999999</v>
      </c>
      <c r="I33" s="39">
        <f t="shared" si="19"/>
        <v>649.74999999999989</v>
      </c>
      <c r="J33" s="38">
        <f t="shared" si="20"/>
        <v>564.82563823645933</v>
      </c>
      <c r="K33" s="40">
        <f t="shared" si="21"/>
        <v>2.8540095623590385E-3</v>
      </c>
      <c r="L33" s="22">
        <f t="shared" si="22"/>
        <v>3.225030805465713E-3</v>
      </c>
      <c r="M33" s="24">
        <f t="shared" si="23"/>
        <v>3.2240355451848041E-3</v>
      </c>
      <c r="N33" s="2"/>
      <c r="O33" s="2"/>
      <c r="P33" s="2"/>
      <c r="Q33" s="59"/>
      <c r="R33" s="220"/>
      <c r="S33" s="220"/>
      <c r="T33" s="220"/>
      <c r="U33" s="56"/>
      <c r="V33" s="56"/>
      <c r="W33" s="116"/>
      <c r="X33" s="196">
        <f>X11</f>
        <v>1</v>
      </c>
      <c r="Y33" s="111"/>
      <c r="Z33" s="123">
        <f>Z11</f>
        <v>0</v>
      </c>
      <c r="AA33" s="148">
        <f t="shared" si="30"/>
        <v>0</v>
      </c>
      <c r="AB33" s="123">
        <f>AB11</f>
        <v>0</v>
      </c>
      <c r="AC33" s="148">
        <f t="shared" si="31"/>
        <v>0</v>
      </c>
      <c r="AD33" s="123">
        <f>AD11</f>
        <v>0</v>
      </c>
      <c r="AE33" s="148">
        <f t="shared" si="32"/>
        <v>0</v>
      </c>
      <c r="AF33" s="123">
        <f t="shared" si="24"/>
        <v>1</v>
      </c>
      <c r="AG33" s="148">
        <f t="shared" si="26"/>
        <v>564.82563823645933</v>
      </c>
      <c r="AH33" s="124">
        <f t="shared" si="27"/>
        <v>1</v>
      </c>
      <c r="AI33" s="113">
        <f t="shared" si="27"/>
        <v>564.82563823645933</v>
      </c>
      <c r="AJ33" s="149">
        <f t="shared" si="28"/>
        <v>0</v>
      </c>
      <c r="AK33" s="148">
        <f t="shared" si="29"/>
        <v>564.82563823645933</v>
      </c>
      <c r="AP33" s="25"/>
      <c r="AQ33" s="25"/>
      <c r="AR33" s="25"/>
      <c r="AS33" s="25"/>
      <c r="AT33" s="25"/>
      <c r="AU33" s="25"/>
      <c r="AW33" s="25"/>
      <c r="AX33" s="25"/>
      <c r="AY33" s="25"/>
      <c r="AZ33" s="25"/>
      <c r="BA33" s="25"/>
      <c r="BB33" s="25"/>
      <c r="BF33" s="25"/>
      <c r="BG33" s="25"/>
      <c r="BH33" s="25"/>
      <c r="BI33" s="25"/>
      <c r="BJ33" s="25"/>
      <c r="BK33" s="25"/>
      <c r="BM33" s="25"/>
      <c r="BN33" s="25"/>
      <c r="BO33" s="25"/>
      <c r="BP33" s="25"/>
      <c r="BQ33" s="25"/>
      <c r="BR33" s="25"/>
      <c r="BU33" s="25"/>
      <c r="BV33" s="25"/>
      <c r="BW33" s="25"/>
      <c r="BX33" s="25"/>
      <c r="BY33" s="25"/>
      <c r="BZ33" s="25"/>
      <c r="CB33" s="25"/>
      <c r="CC33" s="25"/>
      <c r="CD33" s="25"/>
      <c r="CE33" s="25"/>
      <c r="CF33" s="25"/>
      <c r="CG33" s="25"/>
    </row>
    <row r="34" spans="1:85" ht="14" customHeight="1">
      <c r="A34" s="74" t="str">
        <f>IF(Poor!A34=0,"",Poor!A34)</f>
        <v>Water melon: no. local meas</v>
      </c>
      <c r="B34" s="105">
        <f>IF([1]Summ!$H1069="",0,[1]Summ!$H1069)</f>
        <v>0</v>
      </c>
      <c r="C34" s="105">
        <f>IF([1]Summ!$I1069="",0,[1]Summ!$I1069)</f>
        <v>0</v>
      </c>
      <c r="D34" s="38">
        <f t="shared" si="17"/>
        <v>0</v>
      </c>
      <c r="E34" s="75">
        <f>Poor!E34</f>
        <v>1</v>
      </c>
      <c r="F34" s="75">
        <f>Poor!F34</f>
        <v>1.22</v>
      </c>
      <c r="G34" s="22">
        <f t="shared" si="25"/>
        <v>1.1199999999999999</v>
      </c>
      <c r="H34" s="24">
        <f t="shared" si="18"/>
        <v>1.22</v>
      </c>
      <c r="I34" s="39">
        <f t="shared" si="19"/>
        <v>0</v>
      </c>
      <c r="J34" s="38">
        <f t="shared" si="20"/>
        <v>0</v>
      </c>
      <c r="K34" s="40">
        <f t="shared" si="21"/>
        <v>0</v>
      </c>
      <c r="L34" s="22">
        <f t="shared" si="22"/>
        <v>0</v>
      </c>
      <c r="M34" s="24">
        <f t="shared" si="23"/>
        <v>0</v>
      </c>
      <c r="N34" s="2"/>
      <c r="O34" s="2"/>
      <c r="P34" s="2"/>
      <c r="Q34" s="59"/>
      <c r="R34" s="220"/>
      <c r="S34" s="220"/>
      <c r="T34" s="220"/>
      <c r="U34" s="56"/>
      <c r="V34" s="56"/>
      <c r="W34" s="116"/>
      <c r="X34" s="119"/>
      <c r="Y34" s="111"/>
      <c r="Z34" s="157">
        <f>Poor!Z34</f>
        <v>0.25</v>
      </c>
      <c r="AA34" s="148">
        <f t="shared" si="30"/>
        <v>0</v>
      </c>
      <c r="AB34" s="157">
        <f>Poor!AB34</f>
        <v>0</v>
      </c>
      <c r="AC34" s="148">
        <f t="shared" si="31"/>
        <v>0</v>
      </c>
      <c r="AD34" s="157">
        <f>Poor!AD34</f>
        <v>0.5</v>
      </c>
      <c r="AE34" s="148">
        <f t="shared" si="32"/>
        <v>0</v>
      </c>
      <c r="AF34" s="123">
        <f t="shared" si="24"/>
        <v>0.25</v>
      </c>
      <c r="AG34" s="148">
        <f t="shared" si="26"/>
        <v>0</v>
      </c>
      <c r="AH34" s="124">
        <f t="shared" si="27"/>
        <v>1</v>
      </c>
      <c r="AI34" s="113">
        <f t="shared" si="27"/>
        <v>0</v>
      </c>
      <c r="AJ34" s="149">
        <f t="shared" si="28"/>
        <v>0</v>
      </c>
      <c r="AK34" s="148">
        <f t="shared" si="29"/>
        <v>0</v>
      </c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5" ht="14" customHeight="1">
      <c r="A35" s="74" t="str">
        <f>IF(Poor!A35=0,"",Poor!A35)</f>
        <v>WILD FOODS -- see worksheet Data 3</v>
      </c>
      <c r="B35" s="105">
        <f>IF([1]Summ!$H1070="",0,[1]Summ!$H1070)</f>
        <v>0</v>
      </c>
      <c r="C35" s="105">
        <f>IF([1]Summ!$I1070="",0,[1]Summ!$I1070)</f>
        <v>0</v>
      </c>
      <c r="D35" s="38">
        <f t="shared" si="17"/>
        <v>0</v>
      </c>
      <c r="E35" s="75">
        <f>Poor!E35</f>
        <v>0.8</v>
      </c>
      <c r="F35" s="75">
        <f>Poor!F35</f>
        <v>1</v>
      </c>
      <c r="G35" s="22">
        <f t="shared" si="25"/>
        <v>1.1199999999999999</v>
      </c>
      <c r="H35" s="24">
        <f t="shared" si="18"/>
        <v>0.8</v>
      </c>
      <c r="I35" s="39">
        <f t="shared" si="19"/>
        <v>0</v>
      </c>
      <c r="J35" s="38">
        <f t="shared" si="20"/>
        <v>0</v>
      </c>
      <c r="K35" s="40">
        <f t="shared" si="21"/>
        <v>0</v>
      </c>
      <c r="L35" s="22">
        <f t="shared" si="22"/>
        <v>0</v>
      </c>
      <c r="M35" s="24">
        <f t="shared" si="23"/>
        <v>0</v>
      </c>
      <c r="N35" s="2"/>
      <c r="O35" s="2"/>
      <c r="P35" s="2"/>
      <c r="Q35" s="56"/>
      <c r="R35" s="56"/>
      <c r="S35" s="56"/>
      <c r="T35" s="56"/>
      <c r="U35" s="56"/>
      <c r="V35" s="56"/>
      <c r="W35" s="116"/>
      <c r="X35" s="119"/>
      <c r="Y35" s="111"/>
      <c r="Z35" s="157">
        <f>Poor!Z35</f>
        <v>0.25</v>
      </c>
      <c r="AA35" s="148">
        <f t="shared" si="30"/>
        <v>0</v>
      </c>
      <c r="AB35" s="157">
        <f>Poor!AB35</f>
        <v>0.25</v>
      </c>
      <c r="AC35" s="148">
        <f t="shared" si="31"/>
        <v>0</v>
      </c>
      <c r="AD35" s="157">
        <f>Poor!AD35</f>
        <v>0.25</v>
      </c>
      <c r="AE35" s="148">
        <f t="shared" si="32"/>
        <v>0</v>
      </c>
      <c r="AF35" s="123">
        <f t="shared" si="24"/>
        <v>0.25</v>
      </c>
      <c r="AG35" s="148">
        <f t="shared" si="26"/>
        <v>0</v>
      </c>
      <c r="AH35" s="124">
        <f t="shared" si="27"/>
        <v>1</v>
      </c>
      <c r="AI35" s="113">
        <f t="shared" si="27"/>
        <v>0</v>
      </c>
      <c r="AJ35" s="149">
        <f t="shared" si="28"/>
        <v>0</v>
      </c>
      <c r="AK35" s="148">
        <f t="shared" si="29"/>
        <v>0</v>
      </c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5" ht="14" customHeight="1">
      <c r="A36" s="74" t="str">
        <f>IF(Poor!A36=0,"",Poor!A36)</f>
        <v>Agricultural cash income -- see Data2</v>
      </c>
      <c r="B36" s="105">
        <f>IF([1]Summ!$H1071="",0,[1]Summ!$H1071)</f>
        <v>0</v>
      </c>
      <c r="C36" s="105">
        <f>IF([1]Summ!$I1071="",0,[1]Summ!$I1071)</f>
        <v>0</v>
      </c>
      <c r="D36" s="38">
        <f t="shared" si="17"/>
        <v>0</v>
      </c>
      <c r="E36" s="75">
        <f>Poor!E36</f>
        <v>0.87</v>
      </c>
      <c r="F36" s="75">
        <f>Poor!F36</f>
        <v>1.1100000000000001</v>
      </c>
      <c r="G36" s="22">
        <f t="shared" si="25"/>
        <v>1.1199999999999999</v>
      </c>
      <c r="H36" s="24">
        <f t="shared" si="18"/>
        <v>0.96570000000000011</v>
      </c>
      <c r="I36" s="39">
        <f t="shared" si="19"/>
        <v>0</v>
      </c>
      <c r="J36" s="38">
        <f t="shared" si="20"/>
        <v>0</v>
      </c>
      <c r="K36" s="40">
        <f t="shared" si="21"/>
        <v>0</v>
      </c>
      <c r="L36" s="22">
        <f t="shared" si="22"/>
        <v>0</v>
      </c>
      <c r="M36" s="24">
        <f t="shared" si="23"/>
        <v>0</v>
      </c>
      <c r="N36" s="2"/>
      <c r="O36" s="2"/>
      <c r="P36" s="2"/>
      <c r="Q36" s="59"/>
      <c r="R36" s="220"/>
      <c r="S36" s="220"/>
      <c r="T36" s="220"/>
      <c r="U36" s="56"/>
      <c r="V36" s="56"/>
      <c r="W36" s="118"/>
      <c r="X36" s="119"/>
      <c r="Y36" s="111"/>
      <c r="Z36" s="157">
        <f>Poor!Z36</f>
        <v>0.25</v>
      </c>
      <c r="AA36" s="148">
        <f t="shared" si="30"/>
        <v>0</v>
      </c>
      <c r="AB36" s="157">
        <f>Poor!AB36</f>
        <v>0.25</v>
      </c>
      <c r="AC36" s="148">
        <f t="shared" si="31"/>
        <v>0</v>
      </c>
      <c r="AD36" s="157">
        <f>Poor!AD36</f>
        <v>0.25</v>
      </c>
      <c r="AE36" s="148">
        <f t="shared" si="32"/>
        <v>0</v>
      </c>
      <c r="AF36" s="123">
        <f t="shared" si="24"/>
        <v>0.25</v>
      </c>
      <c r="AG36" s="148">
        <f t="shared" si="26"/>
        <v>0</v>
      </c>
      <c r="AH36" s="124">
        <f t="shared" si="27"/>
        <v>1</v>
      </c>
      <c r="AI36" s="113">
        <f t="shared" si="27"/>
        <v>0</v>
      </c>
      <c r="AJ36" s="149">
        <f t="shared" si="28"/>
        <v>0</v>
      </c>
      <c r="AK36" s="148">
        <f t="shared" si="29"/>
        <v>0</v>
      </c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5" ht="14" customHeight="1">
      <c r="A37" s="74" t="str">
        <f>IF(Poor!A37=0,"",Poor!A37)</f>
        <v>Construction cash income -- see Data2</v>
      </c>
      <c r="B37" s="105">
        <f>IF([1]Summ!$H1072="",0,[1]Summ!$H1072)</f>
        <v>0</v>
      </c>
      <c r="C37" s="105">
        <f>IF([1]Summ!$I1072="",0,[1]Summ!$I1072)</f>
        <v>0</v>
      </c>
      <c r="D37" s="38">
        <f t="shared" si="17"/>
        <v>0</v>
      </c>
      <c r="E37" s="75">
        <f>Poor!E37</f>
        <v>1</v>
      </c>
      <c r="F37" s="75">
        <f>Poor!F37</f>
        <v>1.1000000000000001</v>
      </c>
      <c r="G37" s="22">
        <f t="shared" si="25"/>
        <v>1.1199999999999999</v>
      </c>
      <c r="H37" s="24">
        <f t="shared" si="18"/>
        <v>1.1000000000000001</v>
      </c>
      <c r="I37" s="39">
        <f t="shared" si="19"/>
        <v>0</v>
      </c>
      <c r="J37" s="38">
        <f t="shared" si="20"/>
        <v>0</v>
      </c>
      <c r="K37" s="40">
        <f t="shared" si="21"/>
        <v>0</v>
      </c>
      <c r="L37" s="22">
        <f t="shared" si="22"/>
        <v>0</v>
      </c>
      <c r="M37" s="24">
        <f t="shared" si="23"/>
        <v>0</v>
      </c>
      <c r="N37" s="2"/>
      <c r="O37" s="2"/>
      <c r="P37" s="2"/>
      <c r="Q37" s="2"/>
      <c r="R37" s="2"/>
      <c r="S37" s="2"/>
      <c r="T37" s="69"/>
      <c r="U37" s="56"/>
      <c r="V37" s="56"/>
      <c r="W37" s="111"/>
      <c r="X37" s="119"/>
      <c r="Y37" s="111"/>
      <c r="Z37" s="157">
        <f>Poor!Z37</f>
        <v>0.25</v>
      </c>
      <c r="AA37" s="148">
        <f t="shared" si="30"/>
        <v>0</v>
      </c>
      <c r="AB37" s="157">
        <f>Poor!AB37</f>
        <v>0.25</v>
      </c>
      <c r="AC37" s="148">
        <f t="shared" si="31"/>
        <v>0</v>
      </c>
      <c r="AD37" s="157">
        <f>Poor!AD37</f>
        <v>0.25</v>
      </c>
      <c r="AE37" s="148">
        <f t="shared" si="32"/>
        <v>0</v>
      </c>
      <c r="AF37" s="123">
        <f t="shared" si="24"/>
        <v>0.25</v>
      </c>
      <c r="AG37" s="148">
        <f t="shared" si="26"/>
        <v>0</v>
      </c>
      <c r="AH37" s="124">
        <f t="shared" si="27"/>
        <v>1</v>
      </c>
      <c r="AI37" s="113">
        <f t="shared" si="27"/>
        <v>0</v>
      </c>
      <c r="AJ37" s="149">
        <f t="shared" si="28"/>
        <v>0</v>
      </c>
      <c r="AK37" s="148">
        <f t="shared" si="29"/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5" ht="14" customHeight="1">
      <c r="A38" s="74" t="str">
        <f>IF(Poor!A38=0,"",Poor!A38)</f>
        <v>Domestic work cash income -- see Data2</v>
      </c>
      <c r="B38" s="105">
        <f>IF([1]Summ!$H1073="",0,[1]Summ!$H1073)</f>
        <v>0</v>
      </c>
      <c r="C38" s="105">
        <f>IF([1]Summ!$I1073="",0,[1]Summ!$I1073)</f>
        <v>0</v>
      </c>
      <c r="D38" s="38">
        <f t="shared" si="17"/>
        <v>0</v>
      </c>
      <c r="E38" s="75">
        <f>Poor!E38</f>
        <v>1</v>
      </c>
      <c r="F38" s="75">
        <f>Poor!F38</f>
        <v>1.1000000000000001</v>
      </c>
      <c r="G38" s="22">
        <f t="shared" si="25"/>
        <v>1.1199999999999999</v>
      </c>
      <c r="H38" s="24">
        <f t="shared" si="18"/>
        <v>1.1000000000000001</v>
      </c>
      <c r="I38" s="39">
        <f t="shared" si="19"/>
        <v>0</v>
      </c>
      <c r="J38" s="38">
        <f t="shared" si="20"/>
        <v>0</v>
      </c>
      <c r="K38" s="40">
        <f t="shared" si="21"/>
        <v>0</v>
      </c>
      <c r="L38" s="22">
        <f t="shared" si="22"/>
        <v>0</v>
      </c>
      <c r="M38" s="24">
        <f t="shared" si="23"/>
        <v>0</v>
      </c>
      <c r="N38" s="2"/>
      <c r="O38" s="2"/>
      <c r="P38" s="2"/>
      <c r="Q38" s="2"/>
      <c r="R38" s="2"/>
      <c r="S38" s="2"/>
      <c r="T38" s="69"/>
      <c r="U38" s="56"/>
      <c r="V38" s="56"/>
      <c r="W38" s="111"/>
      <c r="X38" s="119"/>
      <c r="Y38" s="111"/>
      <c r="Z38" s="157">
        <f>Poor!Z38</f>
        <v>0.25</v>
      </c>
      <c r="AA38" s="148">
        <f t="shared" si="30"/>
        <v>0</v>
      </c>
      <c r="AB38" s="157">
        <f>Poor!AB38</f>
        <v>0.25</v>
      </c>
      <c r="AC38" s="148">
        <f t="shared" si="31"/>
        <v>0</v>
      </c>
      <c r="AD38" s="157">
        <f>Poor!AD38</f>
        <v>0.25</v>
      </c>
      <c r="AE38" s="148">
        <f t="shared" si="32"/>
        <v>0</v>
      </c>
      <c r="AF38" s="123">
        <f t="shared" si="24"/>
        <v>0.25</v>
      </c>
      <c r="AG38" s="148">
        <f t="shared" si="26"/>
        <v>0</v>
      </c>
      <c r="AH38" s="124">
        <f t="shared" si="27"/>
        <v>1</v>
      </c>
      <c r="AI38" s="113">
        <f t="shared" si="27"/>
        <v>0</v>
      </c>
      <c r="AJ38" s="149">
        <f t="shared" si="28"/>
        <v>0</v>
      </c>
      <c r="AK38" s="148">
        <f t="shared" si="29"/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5" ht="14" customHeight="1">
      <c r="A39" s="74" t="str">
        <f>IF(Poor!A39=0,"",Poor!A39)</f>
        <v>Labour migration(formal employment): no. people per HH</v>
      </c>
      <c r="B39" s="105">
        <f>IF([1]Summ!$H1074="",0,[1]Summ!$H1074)</f>
        <v>0</v>
      </c>
      <c r="C39" s="105">
        <f>IF([1]Summ!$I1074="",0,[1]Summ!$I1074)</f>
        <v>0</v>
      </c>
      <c r="D39" s="38">
        <f t="shared" si="17"/>
        <v>0</v>
      </c>
      <c r="E39" s="75">
        <f>Poor!E39</f>
        <v>1</v>
      </c>
      <c r="F39" s="75">
        <f>Poor!F39</f>
        <v>1.07</v>
      </c>
      <c r="G39" s="22">
        <f t="shared" si="25"/>
        <v>1.1199999999999999</v>
      </c>
      <c r="H39" s="24">
        <f t="shared" si="18"/>
        <v>1.07</v>
      </c>
      <c r="I39" s="39">
        <f t="shared" si="19"/>
        <v>0</v>
      </c>
      <c r="J39" s="38">
        <f t="shared" si="20"/>
        <v>0</v>
      </c>
      <c r="K39" s="40">
        <f t="shared" si="21"/>
        <v>0</v>
      </c>
      <c r="L39" s="22">
        <f t="shared" si="22"/>
        <v>0</v>
      </c>
      <c r="M39" s="24">
        <f t="shared" si="23"/>
        <v>0</v>
      </c>
      <c r="N39" s="2"/>
      <c r="O39" s="2"/>
      <c r="P39" s="2"/>
      <c r="Q39" s="2"/>
      <c r="R39" s="2"/>
      <c r="S39" s="2"/>
      <c r="T39" s="2"/>
      <c r="U39" s="56"/>
      <c r="V39" s="56"/>
      <c r="W39" s="111"/>
      <c r="X39" s="119"/>
      <c r="Y39" s="111"/>
      <c r="Z39" s="157">
        <f>Poor!Z39</f>
        <v>0.25</v>
      </c>
      <c r="AA39" s="148">
        <f t="shared" si="30"/>
        <v>0</v>
      </c>
      <c r="AB39" s="157">
        <f>Poor!AB39</f>
        <v>0.25</v>
      </c>
      <c r="AC39" s="148">
        <f t="shared" si="31"/>
        <v>0</v>
      </c>
      <c r="AD39" s="157">
        <f>Poor!AD39</f>
        <v>0.25</v>
      </c>
      <c r="AE39" s="148">
        <f t="shared" si="32"/>
        <v>0</v>
      </c>
      <c r="AF39" s="123">
        <f t="shared" si="24"/>
        <v>0.25</v>
      </c>
      <c r="AG39" s="148">
        <f t="shared" si="26"/>
        <v>0</v>
      </c>
      <c r="AH39" s="124">
        <f t="shared" si="27"/>
        <v>1</v>
      </c>
      <c r="AI39" s="113">
        <f t="shared" si="27"/>
        <v>0</v>
      </c>
      <c r="AJ39" s="149">
        <f t="shared" si="28"/>
        <v>0</v>
      </c>
      <c r="AK39" s="148">
        <f t="shared" si="2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5" ht="14" customHeight="1">
      <c r="A40" s="74" t="str">
        <f>IF(Poor!A40=0,"",Poor!A40)</f>
        <v>Formal Employment (conservancies, etc.)</v>
      </c>
      <c r="B40" s="105">
        <f>IF([1]Summ!$H1075="",0,[1]Summ!$H1075)</f>
        <v>126000</v>
      </c>
      <c r="C40" s="105">
        <f>IF([1]Summ!$I1075="",0,[1]Summ!$I1075)</f>
        <v>0</v>
      </c>
      <c r="D40" s="38">
        <f t="shared" si="17"/>
        <v>126000</v>
      </c>
      <c r="E40" s="75">
        <f>Poor!E40</f>
        <v>1</v>
      </c>
      <c r="F40" s="75">
        <f>Poor!F40</f>
        <v>1.07</v>
      </c>
      <c r="G40" s="22">
        <f t="shared" si="25"/>
        <v>1.1199999999999999</v>
      </c>
      <c r="H40" s="24">
        <f t="shared" si="18"/>
        <v>1.07</v>
      </c>
      <c r="I40" s="39">
        <f t="shared" si="19"/>
        <v>134820</v>
      </c>
      <c r="J40" s="38">
        <f t="shared" si="20"/>
        <v>134820</v>
      </c>
      <c r="K40" s="40">
        <f t="shared" si="21"/>
        <v>0.71921040971447769</v>
      </c>
      <c r="L40" s="22">
        <f t="shared" si="22"/>
        <v>0.76955513839449119</v>
      </c>
      <c r="M40" s="24">
        <f t="shared" si="23"/>
        <v>0.76955513839449119</v>
      </c>
      <c r="N40" s="2"/>
      <c r="O40" s="2"/>
      <c r="P40" s="2"/>
      <c r="Q40" s="2"/>
      <c r="R40" s="2"/>
      <c r="S40" s="2"/>
      <c r="T40" s="2"/>
      <c r="U40" s="56"/>
      <c r="V40" s="56"/>
      <c r="W40" s="111"/>
      <c r="X40" s="119"/>
      <c r="Y40" s="111"/>
      <c r="Z40" s="157">
        <f>Poor!Z40</f>
        <v>0.25</v>
      </c>
      <c r="AA40" s="148">
        <f t="shared" si="30"/>
        <v>33705</v>
      </c>
      <c r="AB40" s="157">
        <f>Poor!AB40</f>
        <v>0.25</v>
      </c>
      <c r="AC40" s="148">
        <f t="shared" si="31"/>
        <v>33705</v>
      </c>
      <c r="AD40" s="157">
        <f>Poor!AD40</f>
        <v>0.25</v>
      </c>
      <c r="AE40" s="148">
        <f t="shared" si="32"/>
        <v>33705</v>
      </c>
      <c r="AF40" s="123">
        <f t="shared" si="24"/>
        <v>0.25</v>
      </c>
      <c r="AG40" s="148">
        <f t="shared" si="26"/>
        <v>33705</v>
      </c>
      <c r="AH40" s="124">
        <f t="shared" si="27"/>
        <v>1</v>
      </c>
      <c r="AI40" s="113">
        <f t="shared" si="27"/>
        <v>134820</v>
      </c>
      <c r="AJ40" s="149">
        <f t="shared" si="28"/>
        <v>67410</v>
      </c>
      <c r="AK40" s="148">
        <f t="shared" si="29"/>
        <v>67410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5" ht="14" customHeight="1">
      <c r="A41" s="74" t="str">
        <f>IF(Poor!A41=0,"",Poor!A41)</f>
        <v>Self-employment -- see Data2</v>
      </c>
      <c r="B41" s="105">
        <f>IF([1]Summ!$H1076="",0,[1]Summ!$H1076)</f>
        <v>0</v>
      </c>
      <c r="C41" s="105">
        <f>IF([1]Summ!$I1076="",0,[1]Summ!$I1076)</f>
        <v>0</v>
      </c>
      <c r="D41" s="38">
        <f t="shared" si="17"/>
        <v>0</v>
      </c>
      <c r="E41" s="75">
        <f>Poor!E41</f>
        <v>1</v>
      </c>
      <c r="F41" s="75">
        <f>Poor!F41</f>
        <v>1.1000000000000001</v>
      </c>
      <c r="G41" s="22">
        <f t="shared" si="25"/>
        <v>1.1199999999999999</v>
      </c>
      <c r="H41" s="24">
        <f t="shared" si="18"/>
        <v>1.1000000000000001</v>
      </c>
      <c r="I41" s="39">
        <f t="shared" si="19"/>
        <v>0</v>
      </c>
      <c r="J41" s="38">
        <f t="shared" si="20"/>
        <v>0</v>
      </c>
      <c r="K41" s="40">
        <f t="shared" si="21"/>
        <v>0</v>
      </c>
      <c r="L41" s="22">
        <f t="shared" si="22"/>
        <v>0</v>
      </c>
      <c r="M41" s="24">
        <f t="shared" si="23"/>
        <v>0</v>
      </c>
      <c r="N41" s="2"/>
      <c r="O41" s="2"/>
      <c r="P41" s="2"/>
      <c r="Q41" s="2"/>
      <c r="R41" s="2"/>
      <c r="S41" s="2"/>
      <c r="T41" s="2"/>
      <c r="U41" s="56"/>
      <c r="V41" s="56"/>
      <c r="W41" s="111"/>
      <c r="X41" s="119"/>
      <c r="Y41" s="111"/>
      <c r="Z41" s="157">
        <f>Poor!Z41</f>
        <v>0.25</v>
      </c>
      <c r="AA41" s="148">
        <f t="shared" si="30"/>
        <v>0</v>
      </c>
      <c r="AB41" s="157">
        <f>Poor!AB41</f>
        <v>0.25</v>
      </c>
      <c r="AC41" s="148">
        <f t="shared" si="31"/>
        <v>0</v>
      </c>
      <c r="AD41" s="157">
        <f>Poor!AD41</f>
        <v>0.25</v>
      </c>
      <c r="AE41" s="148">
        <f t="shared" si="32"/>
        <v>0</v>
      </c>
      <c r="AF41" s="123">
        <f t="shared" si="24"/>
        <v>0.25</v>
      </c>
      <c r="AG41" s="148">
        <f t="shared" si="26"/>
        <v>0</v>
      </c>
      <c r="AH41" s="124">
        <f t="shared" si="27"/>
        <v>1</v>
      </c>
      <c r="AI41" s="113">
        <f t="shared" si="27"/>
        <v>0</v>
      </c>
      <c r="AJ41" s="149">
        <f t="shared" si="28"/>
        <v>0</v>
      </c>
      <c r="AK41" s="148">
        <f t="shared" si="2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5" ht="14" customHeight="1">
      <c r="A42" s="74" t="str">
        <f>IF(Poor!A42=0,"",Poor!A42)</f>
        <v>Small business -- see Data2</v>
      </c>
      <c r="B42" s="105">
        <f>IF([1]Summ!$H1077="",0,[1]Summ!$H1077)</f>
        <v>31200</v>
      </c>
      <c r="C42" s="105">
        <f>IF([1]Summ!$I1077="",0,[1]Summ!$I1077)</f>
        <v>0</v>
      </c>
      <c r="D42" s="38">
        <f t="shared" si="17"/>
        <v>31200</v>
      </c>
      <c r="E42" s="75">
        <f>Poor!E42</f>
        <v>1</v>
      </c>
      <c r="F42" s="75">
        <f>Poor!F42</f>
        <v>1.05</v>
      </c>
      <c r="G42" s="22">
        <f t="shared" si="25"/>
        <v>1.1199999999999999</v>
      </c>
      <c r="H42" s="24">
        <f t="shared" si="18"/>
        <v>1.05</v>
      </c>
      <c r="I42" s="39">
        <f t="shared" si="19"/>
        <v>32760</v>
      </c>
      <c r="J42" s="38">
        <f t="shared" si="20"/>
        <v>32760.000000000004</v>
      </c>
      <c r="K42" s="40">
        <f t="shared" si="21"/>
        <v>0.17809019669120402</v>
      </c>
      <c r="L42" s="22">
        <f t="shared" si="22"/>
        <v>0.18699470652576422</v>
      </c>
      <c r="M42" s="24">
        <f t="shared" si="23"/>
        <v>0.18699470652576425</v>
      </c>
      <c r="N42" s="2"/>
      <c r="O42" s="2"/>
      <c r="P42" s="2"/>
      <c r="Q42" s="2"/>
      <c r="R42" s="2"/>
      <c r="S42" s="2"/>
      <c r="T42" s="2"/>
      <c r="U42" s="56"/>
      <c r="V42" s="56"/>
      <c r="W42" s="111"/>
      <c r="X42" s="119"/>
      <c r="Y42" s="111"/>
      <c r="Z42" s="157">
        <f>Poor!Z42</f>
        <v>0.25</v>
      </c>
      <c r="AA42" s="148">
        <f t="shared" si="30"/>
        <v>8190.0000000000009</v>
      </c>
      <c r="AB42" s="157">
        <f>Poor!AB42</f>
        <v>0.25</v>
      </c>
      <c r="AC42" s="148">
        <f t="shared" si="31"/>
        <v>8190.0000000000009</v>
      </c>
      <c r="AD42" s="157">
        <f>Poor!AD42</f>
        <v>0.25</v>
      </c>
      <c r="AE42" s="148">
        <f t="shared" si="32"/>
        <v>8190.0000000000009</v>
      </c>
      <c r="AF42" s="123">
        <f t="shared" si="24"/>
        <v>0.25</v>
      </c>
      <c r="AG42" s="148">
        <f t="shared" si="26"/>
        <v>8190.0000000000009</v>
      </c>
      <c r="AH42" s="124">
        <f t="shared" si="27"/>
        <v>1</v>
      </c>
      <c r="AI42" s="113">
        <f t="shared" si="27"/>
        <v>32760.000000000004</v>
      </c>
      <c r="AJ42" s="149">
        <f t="shared" si="28"/>
        <v>16380.000000000002</v>
      </c>
      <c r="AK42" s="148">
        <f t="shared" si="29"/>
        <v>16380.000000000002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5" ht="14" customHeight="1">
      <c r="A43" s="74" t="str">
        <f>IF(Poor!A43=0,"",Poor!A43)</f>
        <v>Social development -- see Data2</v>
      </c>
      <c r="B43" s="105">
        <f>IF([1]Summ!$H1078="",0,[1]Summ!$H1078)</f>
        <v>6588.1250000000009</v>
      </c>
      <c r="C43" s="105">
        <f>IF([1]Summ!$I1078="",0,[1]Summ!$I1078)</f>
        <v>0</v>
      </c>
      <c r="D43" s="38">
        <f t="shared" si="17"/>
        <v>6588.1250000000009</v>
      </c>
      <c r="E43" s="75">
        <f>Poor!E43</f>
        <v>1</v>
      </c>
      <c r="F43" s="75">
        <f>Poor!F43</f>
        <v>1.1100000000000001</v>
      </c>
      <c r="G43" s="22">
        <f t="shared" si="25"/>
        <v>1.1199999999999999</v>
      </c>
      <c r="H43" s="24">
        <f t="shared" si="18"/>
        <v>1.1100000000000001</v>
      </c>
      <c r="I43" s="39">
        <f t="shared" si="19"/>
        <v>7312.8187500000013</v>
      </c>
      <c r="J43" s="38">
        <f t="shared" si="20"/>
        <v>7312.8187500000013</v>
      </c>
      <c r="K43" s="40">
        <f t="shared" si="21"/>
        <v>3.7605143496033291E-2</v>
      </c>
      <c r="L43" s="22">
        <f t="shared" si="22"/>
        <v>4.1741709280596957E-2</v>
      </c>
      <c r="M43" s="24">
        <f t="shared" si="23"/>
        <v>4.174170928059695E-2</v>
      </c>
      <c r="N43" s="2"/>
      <c r="O43" s="2"/>
      <c r="P43" s="2"/>
      <c r="Q43" s="2"/>
      <c r="R43" s="2"/>
      <c r="S43" s="2"/>
      <c r="T43" s="2"/>
      <c r="U43" s="56"/>
      <c r="V43" s="56"/>
      <c r="W43" s="111"/>
      <c r="X43" s="119"/>
      <c r="Y43" s="111"/>
      <c r="Z43" s="157">
        <f>Poor!Z43</f>
        <v>0.25</v>
      </c>
      <c r="AA43" s="148">
        <f t="shared" si="30"/>
        <v>1828.2046875000003</v>
      </c>
      <c r="AB43" s="157">
        <f>Poor!AB43</f>
        <v>0.25</v>
      </c>
      <c r="AC43" s="148">
        <f t="shared" si="31"/>
        <v>1828.2046875000003</v>
      </c>
      <c r="AD43" s="157">
        <f>Poor!AD43</f>
        <v>0.25</v>
      </c>
      <c r="AE43" s="148">
        <f t="shared" si="32"/>
        <v>1828.2046875000003</v>
      </c>
      <c r="AF43" s="123">
        <f t="shared" si="24"/>
        <v>0.25</v>
      </c>
      <c r="AG43" s="148">
        <f t="shared" si="26"/>
        <v>1828.2046875000003</v>
      </c>
      <c r="AH43" s="124">
        <f t="shared" si="27"/>
        <v>1</v>
      </c>
      <c r="AI43" s="113">
        <f t="shared" si="27"/>
        <v>7312.8187500000013</v>
      </c>
      <c r="AJ43" s="149">
        <f t="shared" si="28"/>
        <v>3656.4093750000006</v>
      </c>
      <c r="AK43" s="148">
        <f t="shared" si="29"/>
        <v>3656.4093750000006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5" ht="14" customHeight="1">
      <c r="A44" s="74" t="str">
        <f>IF(Poor!A44=0,"",Poor!A44)</f>
        <v>Public works -- see Data2</v>
      </c>
      <c r="B44" s="105">
        <f>IF([1]Summ!$H1079="",0,[1]Summ!$H1079)</f>
        <v>0</v>
      </c>
      <c r="C44" s="105">
        <f>IF([1]Summ!$I1079="",0,[1]Summ!$I1079)</f>
        <v>0</v>
      </c>
      <c r="D44" s="38">
        <f t="shared" si="17"/>
        <v>0</v>
      </c>
      <c r="E44" s="75">
        <f>Poor!E44</f>
        <v>1</v>
      </c>
      <c r="F44" s="75">
        <f>Poor!F44</f>
        <v>1.07</v>
      </c>
      <c r="G44" s="22">
        <f t="shared" si="25"/>
        <v>1.1199999999999999</v>
      </c>
      <c r="H44" s="24">
        <f t="shared" si="18"/>
        <v>1.07</v>
      </c>
      <c r="I44" s="39">
        <f t="shared" si="19"/>
        <v>0</v>
      </c>
      <c r="J44" s="38">
        <f t="shared" si="20"/>
        <v>0</v>
      </c>
      <c r="K44" s="40">
        <f t="shared" si="21"/>
        <v>0</v>
      </c>
      <c r="L44" s="22">
        <f t="shared" si="22"/>
        <v>0</v>
      </c>
      <c r="M44" s="24">
        <f t="shared" si="23"/>
        <v>0</v>
      </c>
      <c r="N44" s="2"/>
      <c r="O44" s="2"/>
      <c r="P44" s="2"/>
      <c r="Q44" s="2"/>
      <c r="R44" s="2"/>
      <c r="S44" s="2"/>
      <c r="T44" s="2"/>
      <c r="U44" s="56"/>
      <c r="V44" s="56"/>
      <c r="W44" s="111"/>
      <c r="X44" s="119"/>
      <c r="Y44" s="111"/>
      <c r="Z44" s="157">
        <f>Poor!Z44</f>
        <v>0.25</v>
      </c>
      <c r="AA44" s="148">
        <f t="shared" si="30"/>
        <v>0</v>
      </c>
      <c r="AB44" s="157">
        <f>Poor!AB44</f>
        <v>0.25</v>
      </c>
      <c r="AC44" s="148">
        <f t="shared" si="31"/>
        <v>0</v>
      </c>
      <c r="AD44" s="157">
        <f>Poor!AD44</f>
        <v>0.25</v>
      </c>
      <c r="AE44" s="148">
        <f t="shared" si="32"/>
        <v>0</v>
      </c>
      <c r="AF44" s="123">
        <f t="shared" si="24"/>
        <v>0.25</v>
      </c>
      <c r="AG44" s="148">
        <f t="shared" si="26"/>
        <v>0</v>
      </c>
      <c r="AH44" s="124">
        <f t="shared" si="27"/>
        <v>1</v>
      </c>
      <c r="AI44" s="113">
        <f t="shared" si="27"/>
        <v>0</v>
      </c>
      <c r="AJ44" s="149">
        <f t="shared" si="28"/>
        <v>0</v>
      </c>
      <c r="AK44" s="148">
        <f t="shared" si="2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5" ht="14" customHeight="1">
      <c r="A45" s="74" t="str">
        <f>IF(Poor!A45=0,"",Poor!A45)</f>
        <v>Remittances: no. times per year</v>
      </c>
      <c r="B45" s="105">
        <f>IF([1]Summ!$H1080="",0,[1]Summ!$H1080)</f>
        <v>0</v>
      </c>
      <c r="C45" s="105">
        <f>IF([1]Summ!$I1080="",0,[1]Summ!$I1080)</f>
        <v>0</v>
      </c>
      <c r="D45" s="38">
        <f t="shared" si="17"/>
        <v>0</v>
      </c>
      <c r="E45" s="75">
        <f>Poor!E45</f>
        <v>1</v>
      </c>
      <c r="F45" s="75">
        <f>Poor!F45</f>
        <v>1.05</v>
      </c>
      <c r="G45" s="22">
        <f t="shared" si="25"/>
        <v>1.1199999999999999</v>
      </c>
      <c r="H45" s="24">
        <f t="shared" si="18"/>
        <v>1.05</v>
      </c>
      <c r="I45" s="39">
        <f t="shared" si="19"/>
        <v>0</v>
      </c>
      <c r="J45" s="38">
        <f t="shared" si="20"/>
        <v>0</v>
      </c>
      <c r="K45" s="40">
        <f t="shared" si="21"/>
        <v>0</v>
      </c>
      <c r="L45" s="22">
        <f t="shared" si="22"/>
        <v>0</v>
      </c>
      <c r="M45" s="24">
        <f t="shared" si="23"/>
        <v>0</v>
      </c>
      <c r="N45" s="2"/>
      <c r="O45" s="2"/>
      <c r="P45" s="2"/>
      <c r="Q45" s="2"/>
      <c r="R45" s="2"/>
      <c r="S45" s="2"/>
      <c r="T45" s="2"/>
      <c r="U45" s="56"/>
      <c r="V45" s="56"/>
      <c r="W45" s="111"/>
      <c r="X45" s="119"/>
      <c r="Y45" s="111"/>
      <c r="Z45" s="157">
        <f>Poor!Z45</f>
        <v>0.25</v>
      </c>
      <c r="AA45" s="148">
        <f t="shared" si="30"/>
        <v>0</v>
      </c>
      <c r="AB45" s="157">
        <f>Poor!AB45</f>
        <v>0.25</v>
      </c>
      <c r="AC45" s="148">
        <f t="shared" si="31"/>
        <v>0</v>
      </c>
      <c r="AD45" s="157">
        <f>Poor!AD45</f>
        <v>0.25</v>
      </c>
      <c r="AE45" s="148">
        <f t="shared" si="32"/>
        <v>0</v>
      </c>
      <c r="AF45" s="123">
        <f t="shared" si="24"/>
        <v>0.25</v>
      </c>
      <c r="AG45" s="148">
        <f t="shared" si="26"/>
        <v>0</v>
      </c>
      <c r="AH45" s="124">
        <f t="shared" si="27"/>
        <v>1</v>
      </c>
      <c r="AI45" s="113">
        <f t="shared" si="27"/>
        <v>0</v>
      </c>
      <c r="AJ45" s="149">
        <f t="shared" si="28"/>
        <v>0</v>
      </c>
      <c r="AK45" s="148">
        <f t="shared" si="2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5" ht="14" customHeight="1">
      <c r="A46" s="74" t="str">
        <f>IF(Poor!A46=0,"",Poor!A46)</f>
        <v/>
      </c>
      <c r="B46" s="105">
        <f>IF([1]Summ!$H1081="",0,[1]Summ!$H1081)</f>
        <v>0</v>
      </c>
      <c r="C46" s="105">
        <f>IF([1]Summ!$I1081="",0,[1]Summ!$I1081)</f>
        <v>0</v>
      </c>
      <c r="D46" s="38">
        <f t="shared" si="17"/>
        <v>0</v>
      </c>
      <c r="E46" s="75">
        <f>Poor!E46</f>
        <v>1</v>
      </c>
      <c r="F46" s="75">
        <f>Poor!F46</f>
        <v>1</v>
      </c>
      <c r="G46" s="22">
        <f t="shared" si="25"/>
        <v>1.1199999999999999</v>
      </c>
      <c r="H46" s="24">
        <f t="shared" si="18"/>
        <v>1</v>
      </c>
      <c r="I46" s="39">
        <f t="shared" si="19"/>
        <v>0</v>
      </c>
      <c r="J46" s="38">
        <f t="shared" si="20"/>
        <v>0</v>
      </c>
      <c r="K46" s="40">
        <f t="shared" si="21"/>
        <v>0</v>
      </c>
      <c r="L46" s="22">
        <f t="shared" si="22"/>
        <v>0</v>
      </c>
      <c r="M46" s="24">
        <f t="shared" si="23"/>
        <v>0</v>
      </c>
      <c r="N46" s="2"/>
      <c r="O46" s="2"/>
      <c r="P46" s="2"/>
      <c r="Q46" s="2"/>
      <c r="R46" s="2"/>
      <c r="S46" s="2"/>
      <c r="T46" s="2"/>
      <c r="U46" s="56"/>
      <c r="V46" s="56"/>
      <c r="W46" s="111"/>
      <c r="X46" s="119"/>
      <c r="Y46" s="111"/>
      <c r="Z46" s="157">
        <f>Poor!Z46</f>
        <v>0.25</v>
      </c>
      <c r="AA46" s="148">
        <f t="shared" si="30"/>
        <v>0</v>
      </c>
      <c r="AB46" s="157">
        <f>Poor!AB46</f>
        <v>0.25</v>
      </c>
      <c r="AC46" s="148">
        <f t="shared" si="31"/>
        <v>0</v>
      </c>
      <c r="AD46" s="157">
        <f>Poor!AD46</f>
        <v>0.25</v>
      </c>
      <c r="AE46" s="148">
        <f t="shared" si="32"/>
        <v>0</v>
      </c>
      <c r="AF46" s="123">
        <f t="shared" si="24"/>
        <v>0.25</v>
      </c>
      <c r="AG46" s="148">
        <f t="shared" si="26"/>
        <v>0</v>
      </c>
      <c r="AH46" s="124">
        <f t="shared" ref="AH46:AI51" si="33">SUM(Z46,AB46,AD46,AF46)</f>
        <v>1</v>
      </c>
      <c r="AI46" s="113">
        <f t="shared" si="33"/>
        <v>0</v>
      </c>
      <c r="AJ46" s="149">
        <f t="shared" si="28"/>
        <v>0</v>
      </c>
      <c r="AK46" s="148">
        <f t="shared" si="2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5" ht="14" customHeight="1">
      <c r="A47" s="74" t="str">
        <f>IF(Poor!A47=0,"",Poor!A47)</f>
        <v/>
      </c>
      <c r="B47" s="105">
        <f>IF([1]Summ!$H1082="",0,[1]Summ!$H1082)</f>
        <v>0</v>
      </c>
      <c r="C47" s="105">
        <f>IF([1]Summ!$I1082="",0,[1]Summ!$I1082)</f>
        <v>0</v>
      </c>
      <c r="D47" s="38">
        <f t="shared" si="17"/>
        <v>0</v>
      </c>
      <c r="E47" s="75">
        <f>Poor!E47</f>
        <v>1</v>
      </c>
      <c r="F47" s="75">
        <f>Poor!F47</f>
        <v>1</v>
      </c>
      <c r="G47" s="22">
        <f t="shared" si="25"/>
        <v>1.1199999999999999</v>
      </c>
      <c r="H47" s="24">
        <f t="shared" si="18"/>
        <v>1</v>
      </c>
      <c r="I47" s="39">
        <f t="shared" si="19"/>
        <v>0</v>
      </c>
      <c r="J47" s="38">
        <f t="shared" si="20"/>
        <v>0</v>
      </c>
      <c r="K47" s="40">
        <f t="shared" si="21"/>
        <v>0</v>
      </c>
      <c r="L47" s="22">
        <f t="shared" si="22"/>
        <v>0</v>
      </c>
      <c r="M47" s="24">
        <f t="shared" si="23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1"/>
      <c r="X47" s="119"/>
      <c r="Y47" s="111"/>
      <c r="Z47" s="157">
        <f>Poor!Z47</f>
        <v>0.25</v>
      </c>
      <c r="AA47" s="148">
        <f t="shared" si="30"/>
        <v>0</v>
      </c>
      <c r="AB47" s="157">
        <f>Poor!AB47</f>
        <v>0.25</v>
      </c>
      <c r="AC47" s="148">
        <f t="shared" si="31"/>
        <v>0</v>
      </c>
      <c r="AD47" s="157">
        <f>Poor!AD47</f>
        <v>0.25</v>
      </c>
      <c r="AE47" s="148">
        <f t="shared" si="32"/>
        <v>0</v>
      </c>
      <c r="AF47" s="123">
        <f t="shared" si="24"/>
        <v>0.25</v>
      </c>
      <c r="AG47" s="148">
        <f t="shared" si="26"/>
        <v>0</v>
      </c>
      <c r="AH47" s="124">
        <f t="shared" si="33"/>
        <v>1</v>
      </c>
      <c r="AI47" s="113">
        <f t="shared" si="33"/>
        <v>0</v>
      </c>
      <c r="AJ47" s="149">
        <f t="shared" si="28"/>
        <v>0</v>
      </c>
      <c r="AK47" s="148">
        <f t="shared" si="2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5" ht="14" customHeight="1">
      <c r="A48" s="74" t="str">
        <f>IF(Poor!A48=0,"",Poor!A48)</f>
        <v/>
      </c>
      <c r="B48" s="105">
        <f>IF([1]Summ!$H1083="",0,[1]Summ!$H1083)</f>
        <v>0</v>
      </c>
      <c r="C48" s="105">
        <f>IF([1]Summ!$I1083="",0,[1]Summ!$I1083)</f>
        <v>0</v>
      </c>
      <c r="D48" s="38">
        <f t="shared" si="17"/>
        <v>0</v>
      </c>
      <c r="E48" s="75">
        <f>Poor!E48</f>
        <v>1</v>
      </c>
      <c r="F48" s="75">
        <f>Poor!F48</f>
        <v>1</v>
      </c>
      <c r="G48" s="22">
        <f t="shared" si="25"/>
        <v>1.1199999999999999</v>
      </c>
      <c r="H48" s="24">
        <f t="shared" si="18"/>
        <v>1</v>
      </c>
      <c r="I48" s="39">
        <f t="shared" si="19"/>
        <v>0</v>
      </c>
      <c r="J48" s="38">
        <f t="shared" si="20"/>
        <v>0</v>
      </c>
      <c r="K48" s="40">
        <f t="shared" si="21"/>
        <v>0</v>
      </c>
      <c r="L48" s="22">
        <f t="shared" si="22"/>
        <v>0</v>
      </c>
      <c r="M48" s="24">
        <f t="shared" si="23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1"/>
      <c r="X48" s="119"/>
      <c r="Y48" s="111"/>
      <c r="Z48" s="157">
        <f>Poor!Z48</f>
        <v>0.25</v>
      </c>
      <c r="AA48" s="148">
        <f t="shared" si="30"/>
        <v>0</v>
      </c>
      <c r="AB48" s="157">
        <f>Poor!AB48</f>
        <v>0.25</v>
      </c>
      <c r="AC48" s="148">
        <f t="shared" si="31"/>
        <v>0</v>
      </c>
      <c r="AD48" s="157">
        <f>Poor!AD48</f>
        <v>0.25</v>
      </c>
      <c r="AE48" s="148">
        <f t="shared" si="32"/>
        <v>0</v>
      </c>
      <c r="AF48" s="123">
        <f t="shared" si="24"/>
        <v>0.25</v>
      </c>
      <c r="AG48" s="148">
        <f t="shared" si="26"/>
        <v>0</v>
      </c>
      <c r="AH48" s="124">
        <f t="shared" si="33"/>
        <v>1</v>
      </c>
      <c r="AI48" s="113">
        <f t="shared" si="33"/>
        <v>0</v>
      </c>
      <c r="AJ48" s="149">
        <f t="shared" si="28"/>
        <v>0</v>
      </c>
      <c r="AK48" s="148">
        <f t="shared" si="2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5">
        <f>IF([1]Summ!$H1084="",0,[1]Summ!$H1084)</f>
        <v>0</v>
      </c>
      <c r="C49" s="105">
        <f>IF([1]Summ!$I1084="",0,[1]Summ!$I1084)</f>
        <v>0</v>
      </c>
      <c r="D49" s="38">
        <f t="shared" si="17"/>
        <v>0</v>
      </c>
      <c r="E49" s="75">
        <f>Poor!E49</f>
        <v>1</v>
      </c>
      <c r="F49" s="75">
        <f>Poor!F49</f>
        <v>1</v>
      </c>
      <c r="G49" s="22">
        <f t="shared" si="25"/>
        <v>1.1199999999999999</v>
      </c>
      <c r="H49" s="24">
        <f t="shared" si="18"/>
        <v>1</v>
      </c>
      <c r="I49" s="39">
        <f t="shared" si="19"/>
        <v>0</v>
      </c>
      <c r="J49" s="38">
        <f t="shared" si="20"/>
        <v>0</v>
      </c>
      <c r="K49" s="40">
        <f t="shared" si="21"/>
        <v>0</v>
      </c>
      <c r="L49" s="22">
        <f t="shared" si="22"/>
        <v>0</v>
      </c>
      <c r="M49" s="24">
        <f t="shared" si="23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1"/>
      <c r="X49" s="119"/>
      <c r="Y49" s="111"/>
      <c r="Z49" s="157">
        <f>Poor!Z49</f>
        <v>0.25</v>
      </c>
      <c r="AA49" s="148">
        <f t="shared" si="30"/>
        <v>0</v>
      </c>
      <c r="AB49" s="157">
        <f>Poor!AB49</f>
        <v>0.25</v>
      </c>
      <c r="AC49" s="148">
        <f t="shared" si="31"/>
        <v>0</v>
      </c>
      <c r="AD49" s="157">
        <f>Poor!AD49</f>
        <v>0.25</v>
      </c>
      <c r="AE49" s="148">
        <f t="shared" si="32"/>
        <v>0</v>
      </c>
      <c r="AF49" s="123">
        <f t="shared" si="24"/>
        <v>0.25</v>
      </c>
      <c r="AG49" s="148">
        <f t="shared" si="26"/>
        <v>0</v>
      </c>
      <c r="AH49" s="124">
        <f t="shared" si="33"/>
        <v>1</v>
      </c>
      <c r="AI49" s="113">
        <f t="shared" si="33"/>
        <v>0</v>
      </c>
      <c r="AJ49" s="149">
        <f t="shared" si="28"/>
        <v>0</v>
      </c>
      <c r="AK49" s="148">
        <f t="shared" si="2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5">
        <f>IF([1]Summ!$H1085="",0,[1]Summ!$H1085)</f>
        <v>0</v>
      </c>
      <c r="C50" s="105">
        <f>IF([1]Summ!$I1085="",0,[1]Summ!$I1085)</f>
        <v>0</v>
      </c>
      <c r="D50" s="38">
        <f t="shared" si="17"/>
        <v>0</v>
      </c>
      <c r="E50" s="75">
        <f>Poor!E50</f>
        <v>1</v>
      </c>
      <c r="F50" s="75">
        <f>Poor!F50</f>
        <v>1</v>
      </c>
      <c r="G50" s="22">
        <f t="shared" si="25"/>
        <v>1.1199999999999999</v>
      </c>
      <c r="H50" s="24">
        <f t="shared" si="18"/>
        <v>1</v>
      </c>
      <c r="I50" s="39">
        <f t="shared" si="19"/>
        <v>0</v>
      </c>
      <c r="J50" s="38">
        <f t="shared" si="20"/>
        <v>0</v>
      </c>
      <c r="K50" s="40">
        <f t="shared" si="21"/>
        <v>0</v>
      </c>
      <c r="L50" s="22">
        <f t="shared" si="22"/>
        <v>0</v>
      </c>
      <c r="M50" s="24">
        <f t="shared" si="23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1"/>
      <c r="X50" s="119"/>
      <c r="Y50" s="111"/>
      <c r="Z50" s="157">
        <f>Poor!Z50</f>
        <v>0.25</v>
      </c>
      <c r="AA50" s="148">
        <f t="shared" si="30"/>
        <v>0</v>
      </c>
      <c r="AB50" s="157">
        <f>Poor!AB50</f>
        <v>0.25</v>
      </c>
      <c r="AC50" s="148">
        <f t="shared" si="31"/>
        <v>0</v>
      </c>
      <c r="AD50" s="157">
        <f>Poor!AD50</f>
        <v>0.25</v>
      </c>
      <c r="AE50" s="148">
        <f t="shared" si="32"/>
        <v>0</v>
      </c>
      <c r="AF50" s="123">
        <f t="shared" si="24"/>
        <v>0.25</v>
      </c>
      <c r="AG50" s="148">
        <f t="shared" si="26"/>
        <v>0</v>
      </c>
      <c r="AH50" s="124">
        <f t="shared" si="33"/>
        <v>1</v>
      </c>
      <c r="AI50" s="113">
        <f t="shared" si="33"/>
        <v>0</v>
      </c>
      <c r="AJ50" s="149">
        <f t="shared" si="28"/>
        <v>0</v>
      </c>
      <c r="AK50" s="148">
        <f t="shared" si="2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5">
        <f>IF([1]Summ!$H1086="",0,[1]Summ!$H1086)</f>
        <v>0</v>
      </c>
      <c r="C51" s="105">
        <f>IF([1]Summ!$I1086="",0,[1]Summ!$I1086)</f>
        <v>0</v>
      </c>
      <c r="D51" s="38">
        <f t="shared" si="17"/>
        <v>0</v>
      </c>
      <c r="E51" s="75">
        <f>Poor!E51</f>
        <v>1</v>
      </c>
      <c r="F51" s="75">
        <f>Poor!F51</f>
        <v>1</v>
      </c>
      <c r="G51" s="22">
        <f t="shared" si="25"/>
        <v>1.1199999999999999</v>
      </c>
      <c r="H51" s="24">
        <f t="shared" si="18"/>
        <v>1</v>
      </c>
      <c r="I51" s="39">
        <f t="shared" si="19"/>
        <v>0</v>
      </c>
      <c r="J51" s="38">
        <f t="shared" si="20"/>
        <v>0</v>
      </c>
      <c r="K51" s="40">
        <f t="shared" si="21"/>
        <v>0</v>
      </c>
      <c r="L51" s="22">
        <f t="shared" si="22"/>
        <v>0</v>
      </c>
      <c r="M51" s="24">
        <f t="shared" si="23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1"/>
      <c r="X51" s="119"/>
      <c r="Y51" s="111"/>
      <c r="Z51" s="157">
        <f>Poor!Z51</f>
        <v>0.25</v>
      </c>
      <c r="AA51" s="150">
        <f t="shared" si="30"/>
        <v>0</v>
      </c>
      <c r="AB51" s="157">
        <f>Poor!AB51</f>
        <v>0.25</v>
      </c>
      <c r="AC51" s="150">
        <f t="shared" si="31"/>
        <v>0</v>
      </c>
      <c r="AD51" s="157">
        <f>Poor!AD51</f>
        <v>0.25</v>
      </c>
      <c r="AE51" s="150">
        <f t="shared" si="32"/>
        <v>0</v>
      </c>
      <c r="AF51" s="151">
        <f t="shared" si="24"/>
        <v>0.25</v>
      </c>
      <c r="AG51" s="150">
        <f t="shared" si="26"/>
        <v>0</v>
      </c>
      <c r="AH51" s="124">
        <f t="shared" si="33"/>
        <v>1</v>
      </c>
      <c r="AI51" s="113">
        <f t="shared" si="33"/>
        <v>0</v>
      </c>
      <c r="AJ51" s="152">
        <f t="shared" si="28"/>
        <v>0</v>
      </c>
      <c r="AK51" s="150">
        <f t="shared" si="2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39" t="s">
        <v>32</v>
      </c>
      <c r="B52" s="39">
        <f>SUM(B29:B51)</f>
        <v>175192.125</v>
      </c>
      <c r="C52" s="39">
        <f>SUM(C29:C51)</f>
        <v>2071</v>
      </c>
      <c r="D52" s="42">
        <f>SUM(D29:D51)</f>
        <v>177263.125</v>
      </c>
      <c r="E52" s="32"/>
      <c r="F52" s="32"/>
      <c r="G52" s="32"/>
      <c r="H52" s="31"/>
      <c r="I52" s="39">
        <f>SUM(I29:I51)</f>
        <v>189843.56875000001</v>
      </c>
      <c r="J52" s="39">
        <f>SUM(J29:J51)</f>
        <v>187336.75189934517</v>
      </c>
      <c r="K52" s="40">
        <f>SUM(K29:K51)</f>
        <v>0.99999999999999989</v>
      </c>
      <c r="L52" s="22">
        <f>SUM(L29:L51)</f>
        <v>1.0693511409259977</v>
      </c>
      <c r="M52" s="24">
        <f>SUM(M29:M51)</f>
        <v>1.0693217626040279</v>
      </c>
      <c r="N52" s="2"/>
      <c r="O52" s="2"/>
      <c r="P52" s="2"/>
      <c r="Q52" s="2"/>
      <c r="R52" s="2"/>
      <c r="S52" s="2"/>
      <c r="T52" s="2"/>
      <c r="U52" s="56"/>
      <c r="V52" s="56"/>
      <c r="W52" s="111"/>
      <c r="X52" s="153"/>
      <c r="Y52" s="111"/>
      <c r="Z52" s="138"/>
      <c r="AA52" s="154">
        <f>SUM(AA29:AA51)</f>
        <v>44627.934872439451</v>
      </c>
      <c r="AB52" s="138"/>
      <c r="AC52" s="154">
        <f>SUM(AC29:AC51)</f>
        <v>44627.934872439451</v>
      </c>
      <c r="AD52" s="138"/>
      <c r="AE52" s="154">
        <f>SUM(AE29:AE51)</f>
        <v>44268.659292172852</v>
      </c>
      <c r="AF52" s="138"/>
      <c r="AG52" s="154">
        <f>SUM(AG29:AG51)</f>
        <v>53812.22286229342</v>
      </c>
      <c r="AH52" s="138"/>
      <c r="AI52" s="154">
        <f>SUM(AI29:AI51)</f>
        <v>187336.75189934517</v>
      </c>
      <c r="AJ52" s="154">
        <f>SUM(AJ29:AJ51)</f>
        <v>89255.869744878903</v>
      </c>
      <c r="AK52" s="154">
        <f>SUM(AK29:AK51)</f>
        <v>98080.882154466279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3.5" customHeight="1">
      <c r="A53" s="78"/>
      <c r="B53" s="78"/>
      <c r="C53" s="78"/>
      <c r="D53" s="44"/>
      <c r="E53" s="14"/>
      <c r="F53" s="14"/>
      <c r="G53" s="14"/>
      <c r="H53" s="44"/>
      <c r="I53" s="14"/>
      <c r="J53" s="44"/>
      <c r="K53" s="45"/>
      <c r="L53" s="11"/>
      <c r="M53" s="10"/>
      <c r="N53" s="2"/>
      <c r="O53" s="2"/>
      <c r="P53" s="2"/>
      <c r="Q53" s="2"/>
      <c r="R53" s="2"/>
      <c r="S53" s="2"/>
      <c r="T53" s="2"/>
      <c r="U53" s="56"/>
      <c r="V53" s="56"/>
      <c r="W53" s="111"/>
      <c r="X53" s="119"/>
      <c r="Y53" s="111"/>
      <c r="Z53" s="144"/>
      <c r="AA53" s="155"/>
      <c r="AB53" s="144"/>
      <c r="AC53" s="155"/>
      <c r="AD53" s="144"/>
      <c r="AE53" s="155"/>
      <c r="AF53" s="144"/>
      <c r="AG53" s="155"/>
      <c r="AH53" s="144"/>
      <c r="AI53" s="155"/>
      <c r="AJ53" s="144"/>
      <c r="AK53" s="145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5.75" customHeight="1">
      <c r="A54" s="73" t="s">
        <v>48</v>
      </c>
      <c r="B54" s="39"/>
      <c r="C54" s="39"/>
      <c r="D54" s="38"/>
      <c r="E54" s="32"/>
      <c r="F54" s="32"/>
      <c r="G54" s="32"/>
      <c r="H54" s="31"/>
      <c r="I54" s="47"/>
      <c r="J54" s="48"/>
      <c r="K54" s="34" t="s">
        <v>34</v>
      </c>
      <c r="L54" s="2"/>
      <c r="M54" s="31"/>
      <c r="N54" s="2"/>
      <c r="O54" s="2"/>
      <c r="P54" s="2"/>
      <c r="Q54" s="2"/>
      <c r="R54" s="2"/>
      <c r="S54" s="2"/>
      <c r="T54" s="2"/>
      <c r="U54" s="56"/>
      <c r="V54" s="56"/>
      <c r="W54" s="111"/>
      <c r="X54" s="119"/>
      <c r="Y54" s="111"/>
      <c r="Z54" s="146"/>
      <c r="AA54" s="148"/>
      <c r="AB54" s="146"/>
      <c r="AC54" s="148"/>
      <c r="AD54" s="146"/>
      <c r="AE54" s="148"/>
      <c r="AF54" s="146"/>
      <c r="AG54" s="148"/>
      <c r="AH54" s="146"/>
      <c r="AI54" s="148"/>
      <c r="AJ54" s="146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9"/>
      <c r="B55" s="80" t="s">
        <v>7</v>
      </c>
      <c r="C55" s="39"/>
      <c r="D55" s="50"/>
      <c r="E55" s="19" t="s">
        <v>10</v>
      </c>
      <c r="F55" s="2" t="s">
        <v>28</v>
      </c>
      <c r="G55" s="2"/>
      <c r="H55" s="16" t="s">
        <v>12</v>
      </c>
      <c r="I55" s="19" t="s">
        <v>13</v>
      </c>
      <c r="J55" s="16" t="s">
        <v>14</v>
      </c>
      <c r="K55" s="37" t="s">
        <v>7</v>
      </c>
      <c r="L55" s="19" t="s">
        <v>15</v>
      </c>
      <c r="M55" s="16" t="s">
        <v>14</v>
      </c>
      <c r="N55" s="2"/>
      <c r="O55" s="2"/>
      <c r="P55" s="2"/>
      <c r="Q55" s="2"/>
      <c r="R55" s="2"/>
      <c r="S55" s="2"/>
      <c r="T55" s="2"/>
      <c r="U55" s="56"/>
      <c r="V55" s="56"/>
      <c r="W55" s="113"/>
      <c r="X55" s="119"/>
      <c r="Y55" s="111"/>
      <c r="Z55" s="146"/>
      <c r="AA55" s="148"/>
      <c r="AB55" s="146"/>
      <c r="AC55" s="148"/>
      <c r="AD55" s="146"/>
      <c r="AE55" s="148"/>
      <c r="AF55" s="146"/>
      <c r="AG55" s="148"/>
      <c r="AH55" s="146"/>
      <c r="AI55" s="148"/>
      <c r="AJ55" s="146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39" t="s">
        <v>30</v>
      </c>
      <c r="B56" s="80" t="s">
        <v>35</v>
      </c>
      <c r="C56" s="39"/>
      <c r="D56" s="38"/>
      <c r="E56" s="19" t="s">
        <v>18</v>
      </c>
      <c r="F56" s="2" t="s">
        <v>31</v>
      </c>
      <c r="G56" s="2"/>
      <c r="H56" s="16" t="s">
        <v>18</v>
      </c>
      <c r="I56" s="19" t="s">
        <v>35</v>
      </c>
      <c r="J56" s="16" t="s">
        <v>35</v>
      </c>
      <c r="K56" s="37" t="s">
        <v>35</v>
      </c>
      <c r="L56" s="19" t="s">
        <v>19</v>
      </c>
      <c r="M56" s="16" t="s">
        <v>35</v>
      </c>
      <c r="N56" s="2"/>
      <c r="O56" s="2"/>
      <c r="P56" s="2"/>
      <c r="Q56" s="2"/>
      <c r="R56" s="2"/>
      <c r="S56" s="2"/>
      <c r="T56" s="2"/>
      <c r="U56" s="56"/>
      <c r="V56" s="56"/>
      <c r="W56" s="111"/>
      <c r="X56" s="119"/>
      <c r="Y56" s="111"/>
      <c r="Z56" s="146"/>
      <c r="AA56" s="148"/>
      <c r="AB56" s="146"/>
      <c r="AC56" s="148"/>
      <c r="AD56" s="146"/>
      <c r="AE56" s="148"/>
      <c r="AF56" s="146"/>
      <c r="AG56" s="148"/>
      <c r="AH56" s="146"/>
      <c r="AI56" s="148"/>
      <c r="AJ56" s="146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111" t="s">
        <v>131</v>
      </c>
      <c r="B57" s="105">
        <f>[1]Summ!$H1031</f>
        <v>12770.023097494908</v>
      </c>
      <c r="C57" s="39"/>
      <c r="D57" s="38"/>
      <c r="E57" s="75">
        <f>Poor!E57</f>
        <v>1</v>
      </c>
      <c r="F57" s="75">
        <f>Poor!F57</f>
        <v>1.1399999999999999</v>
      </c>
      <c r="G57" s="22"/>
      <c r="H57" s="24">
        <f>(E57*F57)</f>
        <v>1.1399999999999999</v>
      </c>
      <c r="I57" s="39">
        <f>I106*I$70</f>
        <v>14557.826331144193</v>
      </c>
      <c r="J57" s="51">
        <f>J106*I$70</f>
        <v>14557.826331144193</v>
      </c>
      <c r="K57" s="40">
        <f>B57/B$63</f>
        <v>7.2891536063592513E-2</v>
      </c>
      <c r="L57" s="22">
        <f>(L106*G$29*F$9/F$7)/B$112</f>
        <v>8.3096351112495456E-2</v>
      </c>
      <c r="M57" s="24">
        <f>J57/B$63</f>
        <v>8.3096351112495456E-2</v>
      </c>
      <c r="N57" s="2"/>
      <c r="O57" s="2"/>
      <c r="P57" s="2"/>
      <c r="Q57" s="2"/>
      <c r="R57" s="2"/>
      <c r="S57" s="2"/>
      <c r="T57" s="2"/>
      <c r="U57" s="56"/>
      <c r="V57" s="56"/>
      <c r="W57" s="111"/>
      <c r="X57" s="119"/>
      <c r="Y57" s="111"/>
      <c r="Z57" s="157">
        <f>Poor!Z57</f>
        <v>0.25</v>
      </c>
      <c r="AA57" s="148">
        <f>$J57*Z57</f>
        <v>3639.4565827860483</v>
      </c>
      <c r="AB57" s="157">
        <f>Poor!AB57</f>
        <v>0.25</v>
      </c>
      <c r="AC57" s="148">
        <f>$J57*AB57</f>
        <v>3639.4565827860483</v>
      </c>
      <c r="AD57" s="157">
        <f>Poor!AD57</f>
        <v>0.25</v>
      </c>
      <c r="AE57" s="148">
        <f>$J57*AD57</f>
        <v>3639.4565827860483</v>
      </c>
      <c r="AF57" s="157">
        <f>Poor!AF57</f>
        <v>0.25</v>
      </c>
      <c r="AG57" s="148">
        <f>$J57*AF57</f>
        <v>3639.4565827860483</v>
      </c>
      <c r="AH57" s="156">
        <f>SUM(Z57,AB57,AD57,AF57)</f>
        <v>1</v>
      </c>
      <c r="AI57" s="148">
        <f>SUM(AA57,AC57,AE57,AG57)</f>
        <v>14557.826331144193</v>
      </c>
      <c r="AJ57" s="149">
        <f>(AA57+AC57)</f>
        <v>7278.9131655720967</v>
      </c>
      <c r="AK57" s="148">
        <f>(AE57+AG57)</f>
        <v>7278.9131655720967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111" t="s">
        <v>132</v>
      </c>
      <c r="B58" s="105">
        <f>[1]Summ!$H1032</f>
        <v>9736.6666666666679</v>
      </c>
      <c r="C58" s="39"/>
      <c r="D58" s="38"/>
      <c r="E58" s="75">
        <f>Poor!E58</f>
        <v>1</v>
      </c>
      <c r="F58" s="75">
        <f>Poor!F58</f>
        <v>1.1100000000000001</v>
      </c>
      <c r="G58" s="22"/>
      <c r="H58" s="24">
        <f t="shared" ref="H58:H59" si="34">(E58*F58)</f>
        <v>1.1100000000000001</v>
      </c>
      <c r="I58" s="39">
        <f t="shared" ref="I58:I59" si="35">I107*I$70</f>
        <v>0</v>
      </c>
      <c r="J58" s="51">
        <f t="shared" ref="J58:J59" si="36">J107*I$70</f>
        <v>0</v>
      </c>
      <c r="K58" s="40">
        <f t="shared" ref="K58:K59" si="37">B58/B$63</f>
        <v>5.5577079544338354E-2</v>
      </c>
      <c r="L58" s="22">
        <f t="shared" ref="L58:L59" si="38">(L107*G$29*F$9/F$7)/B$112</f>
        <v>0</v>
      </c>
      <c r="M58" s="24">
        <f t="shared" ref="M58:M59" si="39">J58/B$63</f>
        <v>0</v>
      </c>
      <c r="N58" s="2"/>
      <c r="O58" s="2"/>
      <c r="P58" s="2"/>
      <c r="Q58" s="2"/>
      <c r="R58" s="2"/>
      <c r="S58" s="2"/>
      <c r="T58" s="2"/>
      <c r="U58" s="56"/>
      <c r="V58" s="56"/>
      <c r="W58" s="111"/>
      <c r="X58" s="119"/>
      <c r="Y58" s="111"/>
      <c r="Z58" s="157"/>
      <c r="AA58" s="148"/>
      <c r="AB58" s="157"/>
      <c r="AC58" s="148"/>
      <c r="AD58" s="157"/>
      <c r="AE58" s="148"/>
      <c r="AF58" s="157"/>
      <c r="AG58" s="148"/>
      <c r="AH58" s="156"/>
      <c r="AI58" s="148"/>
      <c r="AJ58" s="149"/>
      <c r="AK58" s="148"/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111" t="s">
        <v>133</v>
      </c>
      <c r="B59" s="105">
        <f>[1]Summ!$H1033</f>
        <v>17340</v>
      </c>
      <c r="C59" s="39"/>
      <c r="D59" s="38"/>
      <c r="E59" s="75">
        <f>Poor!E59</f>
        <v>1</v>
      </c>
      <c r="F59" s="75">
        <f>Poor!F59</f>
        <v>1.1100000000000001</v>
      </c>
      <c r="G59" s="22"/>
      <c r="H59" s="24">
        <f t="shared" si="34"/>
        <v>1.1100000000000001</v>
      </c>
      <c r="I59" s="39">
        <f t="shared" si="35"/>
        <v>0</v>
      </c>
      <c r="J59" s="51">
        <f t="shared" si="36"/>
        <v>0</v>
      </c>
      <c r="K59" s="40">
        <f t="shared" si="37"/>
        <v>9.8977051622611459E-2</v>
      </c>
      <c r="L59" s="22">
        <f t="shared" si="38"/>
        <v>0</v>
      </c>
      <c r="M59" s="24">
        <f t="shared" si="39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1"/>
      <c r="X59" s="119"/>
      <c r="Y59" s="111"/>
      <c r="Z59" s="157"/>
      <c r="AA59" s="148"/>
      <c r="AB59" s="157"/>
      <c r="AC59" s="148"/>
      <c r="AD59" s="157"/>
      <c r="AE59" s="148"/>
      <c r="AF59" s="157"/>
      <c r="AG59" s="148"/>
      <c r="AH59" s="156"/>
      <c r="AI59" s="148"/>
      <c r="AJ59" s="149"/>
      <c r="AK59" s="148"/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3.5" customHeight="1">
      <c r="A60" s="111" t="s">
        <v>134</v>
      </c>
      <c r="B60" s="105">
        <f>[1]Summ!$H1034</f>
        <v>30177</v>
      </c>
      <c r="C60" s="39"/>
      <c r="D60" s="38"/>
      <c r="E60" s="75">
        <f>Poor!E60</f>
        <v>1</v>
      </c>
      <c r="F60" s="75">
        <f>Poor!F60</f>
        <v>1.1100000000000001</v>
      </c>
      <c r="G60" s="22"/>
      <c r="H60" s="24">
        <f>(E60*F60)</f>
        <v>1.1100000000000001</v>
      </c>
      <c r="I60" s="39">
        <f>I109*I$70</f>
        <v>0</v>
      </c>
      <c r="J60" s="51">
        <f>J109*I$70</f>
        <v>33496.470000000008</v>
      </c>
      <c r="K60" s="40">
        <f>B60/B$63</f>
        <v>0.17225089312661743</v>
      </c>
      <c r="L60" s="22">
        <f>(L109*G$29*F$9/F$7)/B$112</f>
        <v>0.18323990666040643</v>
      </c>
      <c r="M60" s="24">
        <f>J60/B$63</f>
        <v>0.1911984913705454</v>
      </c>
      <c r="O60" s="2"/>
      <c r="P60" s="2"/>
      <c r="Q60" s="2"/>
      <c r="R60" s="2"/>
      <c r="S60" s="2"/>
      <c r="T60" s="2"/>
      <c r="U60" s="56"/>
      <c r="V60" s="56"/>
      <c r="W60" s="111"/>
      <c r="X60" s="119"/>
      <c r="Y60" s="111"/>
      <c r="Z60" s="157">
        <f>Poor!Z60</f>
        <v>0.09</v>
      </c>
      <c r="AA60" s="148">
        <f>$H$60*$B$60*Z60</f>
        <v>3014.6822999999999</v>
      </c>
      <c r="AB60" s="157">
        <f>Poor!AB60</f>
        <v>0.09</v>
      </c>
      <c r="AC60" s="148">
        <f>$H$60*$B$60*AB60</f>
        <v>3014.6822999999999</v>
      </c>
      <c r="AD60" s="157">
        <f>Poor!AD60</f>
        <v>0.23</v>
      </c>
      <c r="AE60" s="148">
        <f>$H$60*$B$60*AD60</f>
        <v>7704.1881000000003</v>
      </c>
      <c r="AF60" s="157">
        <f>Poor!AF60</f>
        <v>0.59</v>
      </c>
      <c r="AG60" s="148">
        <f>$H$60*$B$60*AF60</f>
        <v>19762.917300000001</v>
      </c>
      <c r="AH60" s="156">
        <f>SUM(Z60,AB60,AD60,AF60)</f>
        <v>1</v>
      </c>
      <c r="AI60" s="148">
        <f>SUM(AA60,AC60,AE60,AG60)</f>
        <v>33496.47</v>
      </c>
      <c r="AJ60" s="149">
        <f>(AA60+AC60)</f>
        <v>6029.3645999999999</v>
      </c>
      <c r="AK60" s="148">
        <f>(AE60+AG60)</f>
        <v>27467.1054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1" t="s">
        <v>135</v>
      </c>
      <c r="B61" s="81">
        <f>B110*B70</f>
        <v>2700.8287292817677</v>
      </c>
      <c r="C61" s="39"/>
      <c r="D61" s="38"/>
      <c r="E61" s="32"/>
      <c r="F61" s="32"/>
      <c r="G61" s="32"/>
      <c r="H61" s="31"/>
      <c r="I61" s="39">
        <f>I110*I$70</f>
        <v>175285.74241885581</v>
      </c>
      <c r="J61" s="51">
        <f>J110*I$70</f>
        <v>3034.8049147889619</v>
      </c>
      <c r="K61" s="40">
        <f>B61/B$63</f>
        <v>1.5416382039328352E-2</v>
      </c>
      <c r="L61" s="22">
        <f>(L110*G$29*F$9/F$7)/B$112</f>
        <v>1.6399894100120466E-2</v>
      </c>
      <c r="M61" s="24">
        <f>J61/B$63</f>
        <v>1.7322724493403809E-2</v>
      </c>
      <c r="O61" s="2"/>
      <c r="P61" s="2"/>
      <c r="Q61" s="2"/>
      <c r="R61" s="2"/>
      <c r="S61" s="2"/>
      <c r="T61" s="2"/>
      <c r="U61" s="56"/>
      <c r="V61" s="56"/>
      <c r="W61" s="111"/>
      <c r="X61" s="119"/>
      <c r="Y61" s="111"/>
      <c r="Z61" s="157"/>
      <c r="AA61" s="148">
        <f>AA22*$I$70/4</f>
        <v>0</v>
      </c>
      <c r="AB61" s="157"/>
      <c r="AC61" s="148">
        <f>AC22*$I$70/4</f>
        <v>0</v>
      </c>
      <c r="AD61" s="157"/>
      <c r="AE61" s="148">
        <f>AE22*$I$70/4</f>
        <v>324.57765305707022</v>
      </c>
      <c r="AF61" s="157"/>
      <c r="AG61" s="148">
        <f>AG22*$I$70/4</f>
        <v>865.60339434969012</v>
      </c>
      <c r="AH61" s="156"/>
      <c r="AI61" s="148">
        <f>SUM(AA61,AC61,AE61,AG61)</f>
        <v>1190.1810474067604</v>
      </c>
      <c r="AJ61" s="149">
        <f>(AA61+AC61)</f>
        <v>0</v>
      </c>
      <c r="AK61" s="148">
        <f>(AE61+AG61)</f>
        <v>1190.1810474067604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1" t="s">
        <v>55</v>
      </c>
      <c r="B62" s="81">
        <f>B111*B70</f>
        <v>129544.27317322332</v>
      </c>
      <c r="C62" s="39"/>
      <c r="D62" s="38"/>
      <c r="E62" s="32"/>
      <c r="F62" s="32"/>
      <c r="G62" s="32"/>
      <c r="H62" s="31"/>
      <c r="I62" s="47"/>
      <c r="J62" s="51">
        <f>J111*I$70</f>
        <v>136247.65065341204</v>
      </c>
      <c r="K62" s="40">
        <f>B62/B$63</f>
        <v>0.73944118877046172</v>
      </c>
      <c r="L62" s="22">
        <f>(L111*G$29*F$9/F$7)/B$112</f>
        <v>0.78661498905297544</v>
      </c>
      <c r="M62" s="24">
        <f>J62/B$63</f>
        <v>0.77770419562758342</v>
      </c>
      <c r="O62" s="2"/>
      <c r="P62" s="2"/>
      <c r="Q62" s="2"/>
      <c r="R62" s="2"/>
      <c r="S62" s="2"/>
      <c r="T62" s="2"/>
      <c r="U62" s="56"/>
      <c r="V62" s="56"/>
      <c r="W62" s="111"/>
      <c r="X62" s="158"/>
      <c r="Y62" s="162" t="s">
        <v>104</v>
      </c>
      <c r="Z62" s="159"/>
      <c r="AA62" s="150">
        <f>AA66-AA61</f>
        <v>40988.478289653402</v>
      </c>
      <c r="AB62" s="159"/>
      <c r="AC62" s="150">
        <f>AA62+AC52-SUM(AC57,AC61)</f>
        <v>81976.956579306803</v>
      </c>
      <c r="AD62" s="159"/>
      <c r="AE62" s="150">
        <f>AC62+AE52-SUM(AE57,AE61)</f>
        <v>122281.58163563652</v>
      </c>
      <c r="AF62" s="159"/>
      <c r="AG62" s="150">
        <f>IF(SUM(AG6:AG21)+((AG52-AG57-$J$62)*4/I$70)&lt;1,0,AG52-AG57-$J$62-(1-SUM(AG6:AG21))*I$70/4)</f>
        <v>0</v>
      </c>
      <c r="AH62" s="135"/>
      <c r="AI62" s="150">
        <f>AI63-SUM(AI57,AI61)</f>
        <v>171588.74452079422</v>
      </c>
      <c r="AJ62" s="152">
        <f>AJ63-SUM(AJ57,AJ61)</f>
        <v>81976.956579306803</v>
      </c>
      <c r="AK62" s="150">
        <f>AJ62+AK63-SUM(AK57,AK61)</f>
        <v>171588.74452079422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 thickBot="1">
      <c r="A63" s="1" t="s">
        <v>32</v>
      </c>
      <c r="B63" s="81">
        <f>B52</f>
        <v>175192.125</v>
      </c>
      <c r="C63" s="39"/>
      <c r="D63" s="38"/>
      <c r="E63" s="32"/>
      <c r="F63" s="32"/>
      <c r="G63" s="32"/>
      <c r="H63" s="31"/>
      <c r="I63" s="39">
        <f>I112*I$70</f>
        <v>189843.56875000001</v>
      </c>
      <c r="J63" s="51">
        <f>J112*I$70</f>
        <v>187336.75189934517</v>
      </c>
      <c r="K63" s="40">
        <f>SUM(K57:K62)</f>
        <v>1.1545541311669498</v>
      </c>
      <c r="L63" s="22">
        <f>SUM(L57:L62)</f>
        <v>1.0693511409259977</v>
      </c>
      <c r="M63" s="24">
        <f>SUM(M57:M62)</f>
        <v>1.0693217626040281</v>
      </c>
      <c r="O63" s="2"/>
      <c r="P63" s="2"/>
      <c r="Q63" s="2"/>
      <c r="R63" s="2"/>
      <c r="S63" s="2"/>
      <c r="T63" s="2"/>
      <c r="U63" s="56"/>
      <c r="V63" s="56"/>
      <c r="W63" s="111"/>
      <c r="X63" s="191"/>
      <c r="Y63" s="191"/>
      <c r="Z63" s="138"/>
      <c r="AA63" s="155">
        <f>AA52</f>
        <v>44627.934872439451</v>
      </c>
      <c r="AB63" s="138"/>
      <c r="AC63" s="154">
        <f>AC52</f>
        <v>44627.934872439451</v>
      </c>
      <c r="AD63" s="138"/>
      <c r="AE63" s="154">
        <f>AE52</f>
        <v>44268.659292172852</v>
      </c>
      <c r="AF63" s="138"/>
      <c r="AG63" s="154">
        <f>AG52</f>
        <v>53812.22286229342</v>
      </c>
      <c r="AH63" s="138"/>
      <c r="AI63" s="154">
        <f>SUM(AA63,AC63,AE63,AG63)</f>
        <v>187336.75189934517</v>
      </c>
      <c r="AJ63" s="155">
        <f>SUM(AA63,AC63)</f>
        <v>89255.869744878903</v>
      </c>
      <c r="AK63" s="155">
        <f>SUM(AE63,AG63)</f>
        <v>98080.882154466264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 thickBot="1">
      <c r="A64" s="100" t="s">
        <v>36</v>
      </c>
      <c r="B64" s="81"/>
      <c r="C64" s="39"/>
      <c r="D64" s="38"/>
      <c r="E64" s="32"/>
      <c r="F64" s="32"/>
      <c r="G64" s="32"/>
      <c r="H64" s="31"/>
      <c r="I64" s="39">
        <f>I113*I$70</f>
        <v>33496.469999999994</v>
      </c>
      <c r="J64" s="101">
        <f>J113*I$70</f>
        <v>0</v>
      </c>
      <c r="K64" s="40"/>
      <c r="L64" s="22">
        <f>-(L113*G$29*F$9/F$7)/B$112</f>
        <v>-7.9585847101388552E-3</v>
      </c>
      <c r="M64" s="24">
        <f>-J64/B$63</f>
        <v>0</v>
      </c>
      <c r="O64" s="2"/>
      <c r="P64" s="2"/>
      <c r="Q64" s="2"/>
      <c r="R64" s="2"/>
      <c r="S64" s="2"/>
      <c r="T64" s="2"/>
      <c r="U64" s="56"/>
      <c r="V64" s="56"/>
      <c r="W64" s="111"/>
      <c r="X64" s="111"/>
      <c r="Y64" s="162" t="s">
        <v>102</v>
      </c>
      <c r="Z64" s="160"/>
      <c r="AA64" s="112">
        <f>AA23*$I$70/4</f>
        <v>0</v>
      </c>
      <c r="AB64" s="113"/>
      <c r="AC64" s="112">
        <f>AC23*$I$70/4</f>
        <v>0</v>
      </c>
      <c r="AD64" s="113"/>
      <c r="AE64" s="112">
        <f>AE23*$I$70/4</f>
        <v>0</v>
      </c>
      <c r="AF64" s="113"/>
      <c r="AG64" s="112">
        <f>AG23*$I$70/4</f>
        <v>0</v>
      </c>
      <c r="AH64" s="111"/>
      <c r="AI64" s="155">
        <f>SUM(AA64,AC64,AE64,AG64)</f>
        <v>0</v>
      </c>
      <c r="AJ64" s="154">
        <f>SUM(AA64,AC64)</f>
        <v>0</v>
      </c>
      <c r="AK64" s="161">
        <f>SUM(AE64,AG64)</f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82" t="s">
        <v>37</v>
      </c>
      <c r="B65" s="39"/>
      <c r="C65" s="39"/>
      <c r="D65" s="38"/>
      <c r="E65" s="32"/>
      <c r="F65" s="32"/>
      <c r="G65" s="32"/>
      <c r="H65" s="31"/>
      <c r="I65" s="47"/>
      <c r="J65" s="48"/>
      <c r="K65" s="32"/>
      <c r="L65" s="32"/>
      <c r="M65" s="48"/>
      <c r="N65" s="2"/>
      <c r="O65" s="2"/>
      <c r="P65" s="2"/>
      <c r="Q65" s="2"/>
      <c r="R65" s="2"/>
      <c r="S65" s="2"/>
      <c r="T65" s="2"/>
      <c r="U65" s="56"/>
      <c r="V65" s="56"/>
      <c r="W65" s="111"/>
      <c r="X65" s="111"/>
      <c r="Y65" s="162" t="s">
        <v>103</v>
      </c>
      <c r="Z65" s="111"/>
      <c r="AA65" s="113">
        <f>IF(SUM(AG6:AG21)+((AG52-AG57-$J$62)*4/I$70)&lt;1,0,AG52-AG57-$J$62-(1-SUM(AG6:AG21))*I$70/4)</f>
        <v>0</v>
      </c>
      <c r="AB65" s="113"/>
      <c r="AC65" s="113">
        <f>IF(AA62&lt;0,0,AA62)</f>
        <v>40988.478289653402</v>
      </c>
      <c r="AD65" s="113"/>
      <c r="AE65" s="113">
        <f>AC62</f>
        <v>81976.956579306803</v>
      </c>
      <c r="AF65" s="113"/>
      <c r="AG65" s="113">
        <f>AE62</f>
        <v>122281.58163563652</v>
      </c>
      <c r="AH65" s="111"/>
      <c r="AI65" s="147"/>
      <c r="AJ65" s="111"/>
      <c r="AK65" s="147"/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4" customHeight="1">
      <c r="A66" s="39" t="s">
        <v>38</v>
      </c>
      <c r="B66" s="236" t="str">
        <f>[1]Summ!$H1037</f>
        <v>maize</v>
      </c>
      <c r="C66" s="39"/>
      <c r="D66" s="38"/>
      <c r="E66" s="32"/>
      <c r="F66" s="32"/>
      <c r="G66" s="32"/>
      <c r="H66" s="31"/>
      <c r="I66" s="47"/>
      <c r="J66" s="48"/>
      <c r="K66" s="32"/>
      <c r="L66" s="32"/>
      <c r="M66" s="48"/>
      <c r="N66" s="32"/>
      <c r="O66" s="2"/>
      <c r="P66" s="2"/>
      <c r="Q66" s="2"/>
      <c r="R66" s="2"/>
      <c r="S66" s="2"/>
      <c r="T66" s="2"/>
      <c r="U66" s="56"/>
      <c r="V66" s="56"/>
      <c r="W66" s="111"/>
      <c r="X66" s="111"/>
      <c r="Y66" s="162" t="s">
        <v>63</v>
      </c>
      <c r="Z66" s="111"/>
      <c r="AA66" s="113">
        <f>AA52-AA57+IF(SUM(AG6:AG21)+((AG52-AG57-$J$62)*4/I$70)&lt;1,0,AG52-AG57-$J$62-(1-SUM(AG6:AG21))*I$70/4)</f>
        <v>40988.478289653402</v>
      </c>
      <c r="AB66" s="113"/>
      <c r="AC66" s="113">
        <f>AA66-AA61+AC52-AC57</f>
        <v>81976.956579306803</v>
      </c>
      <c r="AD66" s="113"/>
      <c r="AE66" s="113">
        <f>AC66-AC61+AE52-AE57</f>
        <v>122606.1592886936</v>
      </c>
      <c r="AF66" s="113"/>
      <c r="AG66" s="113">
        <f>AE66-AE61+AG52-AG57</f>
        <v>172454.34791514388</v>
      </c>
      <c r="AH66" s="111"/>
      <c r="AI66" s="147"/>
      <c r="AJ66" s="111"/>
      <c r="AK66" s="147"/>
      <c r="AS66" s="25"/>
      <c r="AT66" s="25"/>
      <c r="AU66" s="25"/>
      <c r="AV66" s="25"/>
      <c r="AW66" s="25"/>
      <c r="AX66" s="25"/>
      <c r="AZ66" s="25"/>
      <c r="BA66" s="25"/>
      <c r="BB66" s="25"/>
      <c r="BC66" s="25"/>
      <c r="BD66" s="25"/>
      <c r="BE66" s="25"/>
      <c r="BI66" s="25"/>
      <c r="BJ66" s="25"/>
      <c r="BK66" s="25"/>
      <c r="BL66" s="25"/>
      <c r="BM66" s="25"/>
      <c r="BN66" s="25"/>
      <c r="BP66" s="25"/>
      <c r="BQ66" s="25"/>
      <c r="BR66" s="25"/>
      <c r="BS66" s="25"/>
      <c r="BT66" s="25"/>
      <c r="BU66" s="25"/>
      <c r="BX66" s="25"/>
      <c r="BY66" s="25"/>
      <c r="BZ66" s="25"/>
      <c r="CA66" s="25"/>
      <c r="CB66" s="25"/>
      <c r="CC66" s="25"/>
      <c r="CE66" s="25"/>
      <c r="CF66" s="25"/>
      <c r="CG66" s="25"/>
      <c r="CH66" s="25"/>
      <c r="CI66" s="25"/>
      <c r="CJ66" s="25"/>
    </row>
    <row r="67" spans="1:88" ht="14" customHeight="1">
      <c r="A67" s="39" t="s">
        <v>39</v>
      </c>
      <c r="B67" s="106">
        <f>[1]Summ!$H1038</f>
        <v>0.58061985920496251</v>
      </c>
      <c r="C67" s="39"/>
      <c r="D67" s="38"/>
      <c r="E67" s="32"/>
      <c r="F67" s="32"/>
      <c r="G67" s="32"/>
      <c r="H67" s="31"/>
      <c r="I67" s="47"/>
      <c r="J67" s="48"/>
      <c r="K67" s="32"/>
      <c r="L67" s="32"/>
      <c r="M67" s="48"/>
      <c r="N67" s="32"/>
      <c r="O67" s="2"/>
      <c r="P67" s="2"/>
      <c r="Q67" s="2"/>
      <c r="R67" s="2"/>
      <c r="S67" s="2"/>
      <c r="T67" s="2"/>
      <c r="U67" s="56"/>
      <c r="V67" s="56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47"/>
      <c r="AJ67" s="111"/>
      <c r="AK67" s="147"/>
      <c r="AS67" s="25"/>
      <c r="AT67" s="25"/>
      <c r="AU67" s="25"/>
      <c r="AV67" s="25"/>
      <c r="AW67" s="25"/>
      <c r="AX67" s="25"/>
      <c r="AZ67" s="25"/>
      <c r="BA67" s="25"/>
      <c r="BB67" s="25"/>
      <c r="BC67" s="25"/>
      <c r="BD67" s="25"/>
      <c r="BE67" s="25"/>
      <c r="BI67" s="25"/>
      <c r="BJ67" s="25"/>
      <c r="BK67" s="25"/>
      <c r="BL67" s="25"/>
      <c r="BM67" s="25"/>
      <c r="BN67" s="25"/>
      <c r="BP67" s="25"/>
      <c r="BQ67" s="25"/>
      <c r="BR67" s="25"/>
      <c r="BS67" s="25"/>
      <c r="BT67" s="25"/>
      <c r="BU67" s="25"/>
      <c r="BX67" s="25"/>
      <c r="BY67" s="25"/>
      <c r="BZ67" s="25"/>
      <c r="CA67" s="25"/>
      <c r="CB67" s="25"/>
      <c r="CC67" s="25"/>
      <c r="CE67" s="25"/>
      <c r="CF67" s="25"/>
      <c r="CG67" s="25"/>
      <c r="CH67" s="25"/>
      <c r="CI67" s="25"/>
      <c r="CJ67" s="25"/>
    </row>
    <row r="68" spans="1:88" ht="14" customHeight="1">
      <c r="A68" s="39" t="s">
        <v>40</v>
      </c>
      <c r="B68" s="236">
        <f>[1]Summ!$H1039</f>
        <v>5</v>
      </c>
      <c r="C68" s="39"/>
      <c r="D68" s="38"/>
      <c r="E68" s="32"/>
      <c r="F68" s="32"/>
      <c r="G68" s="32"/>
      <c r="H68" s="31"/>
      <c r="I68" s="47"/>
      <c r="J68" s="48"/>
      <c r="K68" s="32"/>
      <c r="L68" s="32"/>
      <c r="M68" s="48"/>
      <c r="N68" s="32"/>
      <c r="O68" s="2"/>
      <c r="P68" s="2"/>
      <c r="Q68" s="2"/>
      <c r="R68" s="2"/>
      <c r="S68" s="2"/>
      <c r="T68" s="2"/>
      <c r="U68" s="56"/>
      <c r="V68" s="56"/>
      <c r="W68" s="111"/>
      <c r="X68" s="111"/>
      <c r="Y68" s="111"/>
      <c r="Z68" s="144" t="s">
        <v>64</v>
      </c>
      <c r="AA68" s="160"/>
      <c r="AB68" s="160"/>
      <c r="AC68" s="160"/>
      <c r="AD68" s="160"/>
      <c r="AE68" s="160"/>
      <c r="AF68" s="160"/>
      <c r="AG68" s="145"/>
      <c r="AH68" s="115" t="s">
        <v>65</v>
      </c>
      <c r="AI68" s="147"/>
      <c r="AJ68" s="111"/>
      <c r="AK68" s="147"/>
      <c r="AS68" s="25"/>
      <c r="AT68" s="25"/>
      <c r="AU68" s="25"/>
      <c r="AV68" s="25"/>
      <c r="AW68" s="25"/>
      <c r="AX68" s="25"/>
      <c r="AZ68" s="25"/>
      <c r="BA68" s="25"/>
      <c r="BB68" s="25"/>
      <c r="BC68" s="25"/>
      <c r="BD68" s="25"/>
      <c r="BE68" s="25"/>
      <c r="BI68" s="25"/>
      <c r="BJ68" s="25"/>
      <c r="BK68" s="25"/>
      <c r="BL68" s="25"/>
      <c r="BM68" s="25"/>
      <c r="BN68" s="25"/>
      <c r="BP68" s="25"/>
      <c r="BQ68" s="25"/>
      <c r="BR68" s="25"/>
      <c r="BS68" s="25"/>
      <c r="BT68" s="25"/>
      <c r="BU68" s="25"/>
      <c r="BX68" s="25"/>
      <c r="BY68" s="25"/>
      <c r="BZ68" s="25"/>
      <c r="CA68" s="25"/>
      <c r="CB68" s="25"/>
      <c r="CC68" s="25"/>
      <c r="CE68" s="25"/>
      <c r="CF68" s="25"/>
      <c r="CG68" s="25"/>
      <c r="CH68" s="25"/>
      <c r="CI68" s="25"/>
      <c r="CJ68" s="25"/>
    </row>
    <row r="69" spans="1:88" ht="14" customHeight="1">
      <c r="A69" s="39" t="s">
        <v>41</v>
      </c>
      <c r="B69" s="106">
        <f>[1]Summ!$H1040</f>
        <v>5</v>
      </c>
      <c r="C69" s="39"/>
      <c r="D69" s="38"/>
      <c r="E69" s="32"/>
      <c r="F69" s="32"/>
      <c r="G69" s="32"/>
      <c r="H69" s="31"/>
      <c r="I69" s="47"/>
      <c r="J69" s="48"/>
      <c r="K69" s="32"/>
      <c r="L69" s="32"/>
      <c r="M69" s="48"/>
      <c r="N69" s="32"/>
      <c r="O69" s="2"/>
      <c r="P69" s="2"/>
      <c r="Q69" s="2"/>
      <c r="R69" s="2"/>
      <c r="S69" s="2"/>
      <c r="T69" s="2"/>
      <c r="U69" s="56"/>
      <c r="V69" s="56"/>
      <c r="X69" s="111"/>
      <c r="Y69" s="162" t="s">
        <v>66</v>
      </c>
      <c r="Z69" s="163">
        <f>IF($AH$69=0,0,AA69/$AH$69)</f>
        <v>1</v>
      </c>
      <c r="AA69" s="195">
        <f>Poor!AA69</f>
        <v>5.6</v>
      </c>
      <c r="AB69" s="163">
        <f>IF($AH$69=0,0,AC69/$AH$69)</f>
        <v>1</v>
      </c>
      <c r="AC69" s="195">
        <f>Poor!AC69</f>
        <v>5.6</v>
      </c>
      <c r="AD69" s="163">
        <f>IF($AH$69=0,0,AE69/$AH$69)</f>
        <v>1</v>
      </c>
      <c r="AE69" s="195">
        <f>Poor!AE69</f>
        <v>5.6</v>
      </c>
      <c r="AF69" s="163">
        <f>IF($AH$69=0,0,AG69/$AH$69)</f>
        <v>1</v>
      </c>
      <c r="AG69" s="195">
        <f>Poor!AG69</f>
        <v>5.6</v>
      </c>
      <c r="AH69" s="165">
        <f>IF(PRODUCT(AA69,AC69,AE69,AG69)=0,0,SUM(AA69,AC69,AE69,AG69)/4)</f>
        <v>5.6</v>
      </c>
      <c r="AI69" s="147"/>
      <c r="AJ69" s="111"/>
      <c r="AK69" s="147"/>
      <c r="AS69" s="25"/>
      <c r="AT69" s="25"/>
      <c r="AU69" s="25"/>
      <c r="AV69" s="25"/>
      <c r="AW69" s="25"/>
      <c r="AX69" s="25"/>
      <c r="AZ69" s="25"/>
      <c r="BA69" s="25"/>
      <c r="BB69" s="25"/>
      <c r="BC69" s="25"/>
      <c r="BD69" s="25"/>
      <c r="BE69" s="25"/>
      <c r="BI69" s="25"/>
      <c r="BJ69" s="25"/>
      <c r="BK69" s="25"/>
      <c r="BL69" s="25"/>
      <c r="BM69" s="25"/>
      <c r="BN69" s="25"/>
      <c r="BP69" s="25"/>
      <c r="BQ69" s="25"/>
      <c r="BR69" s="25"/>
      <c r="BS69" s="25"/>
      <c r="BT69" s="25"/>
      <c r="BU69" s="25"/>
      <c r="BX69" s="25"/>
      <c r="BY69" s="25"/>
      <c r="BZ69" s="25"/>
      <c r="CA69" s="25"/>
      <c r="CB69" s="25"/>
      <c r="CC69" s="25"/>
      <c r="CE69" s="25"/>
      <c r="CF69" s="25"/>
      <c r="CG69" s="25"/>
      <c r="CH69" s="25"/>
      <c r="CI69" s="25"/>
      <c r="CJ69" s="25"/>
    </row>
    <row r="70" spans="1:88" ht="14" customHeight="1">
      <c r="A70" s="39" t="s">
        <v>42</v>
      </c>
      <c r="B70" s="39">
        <f>365*B67*B68*B69</f>
        <v>5298.1562152452825</v>
      </c>
      <c r="C70" s="39"/>
      <c r="D70" s="38"/>
      <c r="E70" s="32"/>
      <c r="F70" s="32"/>
      <c r="G70" s="32"/>
      <c r="H70" s="24">
        <f>G$29*F$9/F$7</f>
        <v>1.1199999999999999</v>
      </c>
      <c r="I70" s="39">
        <f xml:space="preserve"> B70*H70</f>
        <v>5933.9349610747158</v>
      </c>
      <c r="J70" s="48"/>
      <c r="K70" s="32"/>
      <c r="L70" s="32"/>
      <c r="M70" s="48"/>
      <c r="N70" s="32"/>
      <c r="O70" s="2"/>
      <c r="P70" s="2"/>
      <c r="Q70" s="2"/>
      <c r="R70" s="2"/>
      <c r="S70" s="2"/>
      <c r="T70" s="2"/>
      <c r="U70" s="56"/>
      <c r="V70" s="56"/>
      <c r="X70" s="111"/>
      <c r="Y70" s="162" t="s">
        <v>130</v>
      </c>
      <c r="Z70" s="111"/>
      <c r="AA70" s="166">
        <f>$I$70*Z69/4</f>
        <v>1483.483740268679</v>
      </c>
      <c r="AB70" s="113"/>
      <c r="AC70" s="166">
        <f>$I$70*AB69/4</f>
        <v>1483.483740268679</v>
      </c>
      <c r="AD70" s="113"/>
      <c r="AE70" s="166">
        <f>$I$70*AD69/4</f>
        <v>1483.483740268679</v>
      </c>
      <c r="AF70" s="113"/>
      <c r="AG70" s="166">
        <f>$I$70*AF69/4</f>
        <v>1483.483740268679</v>
      </c>
      <c r="AH70" s="166">
        <f>SUM(AA70,AC70,AE70,AG70)</f>
        <v>5933.9349610747158</v>
      </c>
      <c r="AI70" s="147"/>
      <c r="AJ70" s="111"/>
      <c r="AK70" s="147"/>
      <c r="AS70" s="25"/>
      <c r="AT70" s="25"/>
      <c r="AU70" s="25"/>
      <c r="AV70" s="25"/>
      <c r="AW70" s="25"/>
      <c r="AX70" s="25"/>
      <c r="AZ70" s="25"/>
      <c r="BA70" s="25"/>
      <c r="BB70" s="25"/>
      <c r="BC70" s="25"/>
      <c r="BD70" s="25"/>
      <c r="BE70" s="25"/>
      <c r="BI70" s="25"/>
      <c r="BJ70" s="25"/>
      <c r="BK70" s="25"/>
      <c r="BL70" s="25"/>
      <c r="BM70" s="25"/>
      <c r="BN70" s="25"/>
      <c r="BP70" s="25"/>
      <c r="BQ70" s="25"/>
      <c r="BR70" s="25"/>
      <c r="BS70" s="25"/>
      <c r="BT70" s="25"/>
      <c r="BU70" s="25"/>
      <c r="BX70" s="25"/>
      <c r="BY70" s="25"/>
      <c r="BZ70" s="25"/>
      <c r="CA70" s="25"/>
      <c r="CB70" s="25"/>
      <c r="CC70" s="25"/>
      <c r="CE70" s="25"/>
      <c r="CF70" s="25"/>
      <c r="CG70" s="25"/>
      <c r="CH70" s="25"/>
      <c r="CI70" s="25"/>
      <c r="CJ70" s="25"/>
    </row>
    <row r="71" spans="1:88" ht="14" customHeight="1" thickBot="1">
      <c r="A71" s="46" t="s">
        <v>136</v>
      </c>
      <c r="B71" s="240">
        <f>B57+((1-D21)*B70)</f>
        <v>16085.619650545739</v>
      </c>
      <c r="C71" s="46"/>
      <c r="D71" s="241"/>
      <c r="E71" s="64"/>
      <c r="F71" s="64"/>
      <c r="G71" s="64"/>
      <c r="H71" s="242">
        <f>IF(B71=0,0,I71/B71)</f>
        <v>1.1358775644021417</v>
      </c>
      <c r="I71" s="240">
        <f>(B57*H57)+((1-(D21*H21))*I70)</f>
        <v>18271.294470561123</v>
      </c>
      <c r="J71" s="48"/>
      <c r="K71" s="32"/>
      <c r="L71" s="32"/>
      <c r="M71" s="48"/>
      <c r="N71" s="32"/>
      <c r="O71" s="2"/>
      <c r="P71" s="2"/>
      <c r="Q71" s="2"/>
      <c r="R71" s="2"/>
      <c r="S71" s="2"/>
      <c r="T71" s="2"/>
      <c r="U71" s="56"/>
      <c r="V71" s="56"/>
      <c r="X71" s="111"/>
      <c r="Y71" s="162"/>
      <c r="Z71" s="111"/>
      <c r="AA71" s="111"/>
      <c r="AB71" s="111"/>
      <c r="AC71" s="111"/>
      <c r="AD71" s="111"/>
      <c r="AE71" s="111"/>
      <c r="AF71" s="111"/>
      <c r="AG71" s="111"/>
      <c r="AH71" s="111"/>
      <c r="AI71" s="147"/>
      <c r="AJ71" s="111"/>
      <c r="AK71" s="147"/>
      <c r="AS71" s="25"/>
      <c r="AT71" s="25"/>
      <c r="AU71" s="25"/>
      <c r="AV71" s="25"/>
      <c r="AW71" s="25"/>
      <c r="AX71" s="25"/>
      <c r="AZ71" s="25"/>
      <c r="BA71" s="25"/>
      <c r="BB71" s="25"/>
      <c r="BC71" s="25"/>
      <c r="BD71" s="25"/>
      <c r="BE71" s="25"/>
      <c r="BI71" s="25"/>
      <c r="BJ71" s="25"/>
      <c r="BK71" s="25"/>
      <c r="BL71" s="25"/>
      <c r="BM71" s="25"/>
      <c r="BN71" s="25"/>
      <c r="BP71" s="25"/>
      <c r="BQ71" s="25"/>
      <c r="BR71" s="25"/>
      <c r="BS71" s="25"/>
      <c r="BT71" s="25"/>
      <c r="BU71" s="25"/>
      <c r="BX71" s="25"/>
      <c r="BY71" s="25"/>
      <c r="BZ71" s="25"/>
      <c r="CA71" s="25"/>
      <c r="CB71" s="25"/>
      <c r="CC71" s="25"/>
      <c r="CE71" s="25"/>
      <c r="CF71" s="25"/>
      <c r="CG71" s="25"/>
      <c r="CH71" s="25"/>
      <c r="CI71" s="25"/>
      <c r="CJ71" s="25"/>
    </row>
    <row r="72" spans="1:88" ht="14" customHeight="1" thickBot="1">
      <c r="A72" s="39" t="s">
        <v>43</v>
      </c>
      <c r="B72" s="39"/>
      <c r="C72" s="39"/>
      <c r="D72" s="38"/>
      <c r="E72" s="32"/>
      <c r="F72" s="32"/>
      <c r="G72" s="32"/>
      <c r="H72" s="31"/>
      <c r="I72" s="47"/>
      <c r="J72" s="48"/>
      <c r="K72" s="32"/>
      <c r="L72" s="32"/>
      <c r="M72" s="48"/>
      <c r="N72" s="32"/>
      <c r="O72" s="2"/>
      <c r="P72" s="2"/>
      <c r="Q72" s="2"/>
      <c r="R72" s="2"/>
      <c r="S72" s="2"/>
      <c r="T72" s="2"/>
      <c r="U72" s="56"/>
      <c r="V72" s="56"/>
      <c r="X72" s="111"/>
      <c r="Y72" s="162"/>
      <c r="Z72" s="111"/>
      <c r="AA72" s="114"/>
      <c r="AB72" s="111"/>
      <c r="AC72" s="114"/>
      <c r="AD72" s="111"/>
      <c r="AE72" s="114"/>
      <c r="AF72" s="111"/>
      <c r="AG72" s="114"/>
      <c r="AH72" s="111"/>
      <c r="AI72" s="192"/>
      <c r="AJ72" s="193"/>
      <c r="AK72" s="194"/>
      <c r="AS72" s="25"/>
      <c r="AT72" s="25"/>
      <c r="AU72" s="25"/>
      <c r="AV72" s="25"/>
      <c r="AW72" s="25"/>
      <c r="AX72" s="25"/>
      <c r="AZ72" s="25"/>
      <c r="BA72" s="25"/>
      <c r="BB72" s="25"/>
      <c r="BC72" s="25"/>
      <c r="BD72" s="25"/>
      <c r="BE72" s="25"/>
      <c r="BI72" s="25"/>
      <c r="BJ72" s="25"/>
      <c r="BK72" s="25"/>
      <c r="BL72" s="25"/>
      <c r="BM72" s="25"/>
      <c r="BN72" s="25"/>
      <c r="BP72" s="25"/>
      <c r="BQ72" s="25"/>
      <c r="BR72" s="25"/>
      <c r="BS72" s="25"/>
      <c r="BT72" s="25"/>
      <c r="BU72" s="25"/>
      <c r="BX72" s="25"/>
      <c r="BY72" s="25"/>
      <c r="BZ72" s="25"/>
      <c r="CA72" s="25"/>
      <c r="CB72" s="25"/>
      <c r="CC72" s="25"/>
      <c r="CE72" s="25"/>
      <c r="CF72" s="25"/>
      <c r="CG72" s="25"/>
      <c r="CH72" s="25"/>
      <c r="CI72" s="25"/>
      <c r="CJ72" s="25"/>
    </row>
    <row r="73" spans="1:88" ht="14" customHeight="1">
      <c r="A73" s="107"/>
      <c r="B73" s="108"/>
      <c r="C73" s="39"/>
      <c r="D73" s="38"/>
      <c r="E73" s="32"/>
      <c r="F73" s="32"/>
      <c r="G73" s="32"/>
      <c r="H73" s="31"/>
      <c r="I73" s="47"/>
      <c r="J73" s="48"/>
      <c r="K73" s="32"/>
      <c r="L73" s="32"/>
      <c r="M73" s="48"/>
      <c r="N73" s="3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S73" s="25"/>
      <c r="AT73" s="25"/>
      <c r="AU73" s="25"/>
      <c r="AV73" s="25"/>
      <c r="AW73" s="25"/>
      <c r="AX73" s="25"/>
      <c r="AZ73" s="25"/>
      <c r="BA73" s="25"/>
      <c r="BB73" s="25"/>
      <c r="BC73" s="25"/>
      <c r="BD73" s="25"/>
      <c r="BE73" s="25"/>
      <c r="BI73" s="25"/>
      <c r="BJ73" s="25"/>
      <c r="BK73" s="25"/>
      <c r="BL73" s="25"/>
      <c r="BM73" s="25"/>
      <c r="BN73" s="25"/>
      <c r="BP73" s="25"/>
      <c r="BQ73" s="25"/>
      <c r="BR73" s="25"/>
      <c r="BS73" s="25"/>
      <c r="BT73" s="25"/>
      <c r="BU73" s="25"/>
      <c r="BX73" s="25"/>
      <c r="BY73" s="25"/>
      <c r="BZ73" s="25"/>
      <c r="CA73" s="25"/>
      <c r="CB73" s="25"/>
      <c r="CC73" s="25"/>
      <c r="CE73" s="25"/>
      <c r="CF73" s="25"/>
      <c r="CG73" s="25"/>
      <c r="CH73" s="25"/>
      <c r="CI73" s="25"/>
      <c r="CJ73" s="25"/>
    </row>
    <row r="74" spans="1:88" ht="14" customHeight="1">
      <c r="A74" s="39" t="s">
        <v>123</v>
      </c>
      <c r="B74" s="75">
        <f>[1]Summ!$J$892</f>
        <v>0</v>
      </c>
      <c r="C74" s="14"/>
      <c r="D74" s="12"/>
      <c r="E74" s="14"/>
      <c r="F74" s="14"/>
      <c r="G74" s="14"/>
      <c r="H74" s="12"/>
      <c r="I74" s="14"/>
      <c r="J74" s="12"/>
      <c r="K74" s="14"/>
      <c r="L74" s="14"/>
      <c r="M74" s="10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S74" s="25"/>
      <c r="AT74" s="25"/>
      <c r="AU74" s="25"/>
      <c r="AV74" s="25"/>
      <c r="AW74" s="25"/>
      <c r="AX74" s="25"/>
      <c r="AZ74" s="25"/>
      <c r="BA74" s="25"/>
      <c r="BB74" s="25"/>
      <c r="BC74" s="25"/>
      <c r="BD74" s="25"/>
      <c r="BE74" s="25"/>
      <c r="BI74" s="25"/>
      <c r="BJ74" s="25"/>
      <c r="BK74" s="25"/>
      <c r="BL74" s="25"/>
      <c r="BM74" s="25"/>
      <c r="BN74" s="25"/>
      <c r="BP74" s="25"/>
      <c r="BQ74" s="25"/>
      <c r="BR74" s="25"/>
      <c r="BS74" s="25"/>
      <c r="BT74" s="25"/>
      <c r="BU74" s="25"/>
      <c r="BX74" s="25"/>
      <c r="BY74" s="25"/>
      <c r="BZ74" s="25"/>
      <c r="CA74" s="25"/>
      <c r="CB74" s="25"/>
      <c r="CC74" s="25"/>
      <c r="CE74" s="25"/>
      <c r="CF74" s="25"/>
      <c r="CG74" s="25"/>
      <c r="CH74" s="25"/>
      <c r="CI74" s="25"/>
      <c r="CJ74" s="25"/>
    </row>
    <row r="75" spans="1:88" ht="15.75" customHeight="1">
      <c r="A75" s="73" t="str">
        <f>A26</f>
        <v>Income : Middle HHs</v>
      </c>
      <c r="B75" s="2"/>
      <c r="C75" s="2"/>
      <c r="D75" s="31"/>
      <c r="E75" s="2"/>
      <c r="F75" s="2"/>
      <c r="G75" s="2"/>
      <c r="H75" s="17"/>
      <c r="I75" s="2"/>
      <c r="J75" s="33"/>
      <c r="M75" s="57"/>
      <c r="N75" s="58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S75" s="25"/>
      <c r="AT75" s="25"/>
      <c r="AU75" s="25"/>
      <c r="AV75" s="25"/>
      <c r="AW75" s="25"/>
      <c r="AX75" s="25"/>
      <c r="AZ75" s="25"/>
      <c r="BA75" s="25"/>
      <c r="BB75" s="25"/>
      <c r="BC75" s="25"/>
      <c r="BD75" s="25"/>
      <c r="BE75" s="25"/>
      <c r="BI75" s="25"/>
      <c r="BJ75" s="25"/>
      <c r="BK75" s="25"/>
      <c r="BL75" s="25"/>
      <c r="BM75" s="25"/>
      <c r="BN75" s="25"/>
      <c r="BP75" s="25"/>
      <c r="BQ75" s="25"/>
      <c r="BR75" s="25"/>
      <c r="BS75" s="25"/>
      <c r="BT75" s="25"/>
      <c r="BU75" s="25"/>
      <c r="BX75" s="25"/>
      <c r="BY75" s="25"/>
      <c r="BZ75" s="25"/>
      <c r="CA75" s="25"/>
      <c r="CB75" s="25"/>
      <c r="CC75" s="25"/>
      <c r="CE75" s="25"/>
      <c r="CF75" s="25"/>
      <c r="CG75" s="25"/>
      <c r="CH75" s="25"/>
      <c r="CI75" s="25"/>
      <c r="CJ75" s="25"/>
    </row>
    <row r="76" spans="1:88" ht="14" customHeight="1">
      <c r="A76" s="2"/>
      <c r="B76" s="19" t="s">
        <v>7</v>
      </c>
      <c r="C76" s="19" t="s">
        <v>8</v>
      </c>
      <c r="D76" s="16" t="s">
        <v>9</v>
      </c>
      <c r="H76" s="16" t="s">
        <v>12</v>
      </c>
      <c r="I76" s="19" t="s">
        <v>13</v>
      </c>
      <c r="J76" s="16" t="s">
        <v>14</v>
      </c>
      <c r="K76" s="19" t="s">
        <v>7</v>
      </c>
      <c r="L76" s="19" t="s">
        <v>15</v>
      </c>
      <c r="M76" s="57" t="str">
        <f t="shared" ref="M76:M101" si="40">(J76)</f>
        <v>Curr.</v>
      </c>
      <c r="N76" s="58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S76" s="25"/>
      <c r="AT76" s="25"/>
      <c r="AU76" s="25"/>
      <c r="AV76" s="25"/>
      <c r="AW76" s="25"/>
      <c r="AX76" s="25"/>
      <c r="AZ76" s="25"/>
      <c r="BA76" s="25"/>
      <c r="BB76" s="25"/>
      <c r="BC76" s="25"/>
      <c r="BD76" s="25"/>
      <c r="BE76" s="25"/>
      <c r="BI76" s="25"/>
      <c r="BJ76" s="25"/>
      <c r="BK76" s="25"/>
      <c r="BL76" s="25"/>
      <c r="BM76" s="25"/>
      <c r="BN76" s="25"/>
      <c r="BP76" s="25"/>
      <c r="BQ76" s="25"/>
      <c r="BR76" s="25"/>
      <c r="BS76" s="25"/>
      <c r="BT76" s="25"/>
      <c r="BU76" s="25"/>
      <c r="BX76" s="25"/>
      <c r="BY76" s="25"/>
      <c r="BZ76" s="25"/>
      <c r="CA76" s="25"/>
      <c r="CB76" s="25"/>
      <c r="CC76" s="25"/>
      <c r="CE76" s="25"/>
      <c r="CF76" s="25"/>
      <c r="CG76" s="25"/>
      <c r="CH76" s="25"/>
      <c r="CI76" s="25"/>
      <c r="CJ76" s="25"/>
    </row>
    <row r="77" spans="1:88" ht="14" customHeight="1">
      <c r="A77" s="2" t="s">
        <v>44</v>
      </c>
      <c r="B77" s="19" t="s">
        <v>16</v>
      </c>
      <c r="C77" s="19" t="s">
        <v>17</v>
      </c>
      <c r="D77" s="16" t="s">
        <v>16</v>
      </c>
      <c r="H77" s="16" t="s">
        <v>18</v>
      </c>
      <c r="I77" s="19" t="s">
        <v>16</v>
      </c>
      <c r="J77" s="16" t="s">
        <v>16</v>
      </c>
      <c r="K77" s="19" t="s">
        <v>16</v>
      </c>
      <c r="L77" s="19" t="s">
        <v>19</v>
      </c>
      <c r="M77" s="57" t="str">
        <f t="shared" si="40"/>
        <v>Access</v>
      </c>
      <c r="N77" s="58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S77" s="25"/>
      <c r="AT77" s="25"/>
      <c r="AU77" s="25"/>
      <c r="AV77" s="25"/>
      <c r="AW77" s="25"/>
      <c r="AX77" s="25"/>
      <c r="AZ77" s="25"/>
      <c r="BA77" s="25"/>
      <c r="BB77" s="25"/>
      <c r="BC77" s="25"/>
      <c r="BD77" s="25"/>
      <c r="BE77" s="25"/>
      <c r="BI77" s="25"/>
      <c r="BJ77" s="25"/>
      <c r="BK77" s="25"/>
      <c r="BL77" s="25"/>
      <c r="BM77" s="25"/>
      <c r="BN77" s="25"/>
      <c r="BP77" s="25"/>
      <c r="BQ77" s="25"/>
      <c r="BR77" s="25"/>
      <c r="BS77" s="25"/>
      <c r="BT77" s="25"/>
      <c r="BU77" s="25"/>
      <c r="BX77" s="25"/>
      <c r="BY77" s="25"/>
      <c r="BZ77" s="25"/>
      <c r="CA77" s="25"/>
      <c r="CB77" s="25"/>
      <c r="CC77" s="25"/>
      <c r="CE77" s="25"/>
      <c r="CF77" s="25"/>
      <c r="CG77" s="25"/>
      <c r="CH77" s="25"/>
      <c r="CI77" s="25"/>
      <c r="CJ77" s="25"/>
    </row>
    <row r="78" spans="1:88" ht="14" customHeight="1">
      <c r="A78" s="2" t="str">
        <f t="shared" ref="A78:A100" si="41">IF(A29="","",A29)</f>
        <v>Cattle sales - local: no. sold</v>
      </c>
      <c r="B78" s="75">
        <f t="shared" ref="B78:C100" si="42">(B29/$B$70)</f>
        <v>1.5099592528019927</v>
      </c>
      <c r="C78" s="75">
        <f t="shared" si="42"/>
        <v>0.75497962640099636</v>
      </c>
      <c r="D78" s="24">
        <f t="shared" ref="D78:D100" si="43">(B78+C78)</f>
        <v>2.264938879202989</v>
      </c>
      <c r="H78" s="24">
        <f t="shared" ref="H78:H100" si="44">(E29*F29/G29*F$7/F$9)</f>
        <v>0.99107142857142871</v>
      </c>
      <c r="I78" s="22">
        <f t="shared" ref="I78:I100" si="45">(D78*H78)</f>
        <v>2.2447162106386771</v>
      </c>
      <c r="J78" s="24">
        <f t="shared" ref="J78:J99" si="46">IF(I$24&lt;=1+I$113,I78,L78+J$25*(I78-L78))</f>
        <v>1.4949380728657644</v>
      </c>
      <c r="K78" s="22">
        <f t="shared" ref="K78:K100" si="47">(B78)</f>
        <v>1.5099592528019927</v>
      </c>
      <c r="L78" s="22">
        <f t="shared" ref="L78:L100" si="48">(K78*H78)</f>
        <v>1.496477473759118</v>
      </c>
      <c r="M78" s="233">
        <f t="shared" si="40"/>
        <v>1.4949380728657644</v>
      </c>
      <c r="N78" s="235">
        <v>5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S78" s="25"/>
      <c r="AT78" s="25"/>
      <c r="AU78" s="25"/>
      <c r="AV78" s="25"/>
      <c r="AW78" s="25"/>
      <c r="AX78" s="25"/>
      <c r="AZ78" s="25"/>
      <c r="BA78" s="25"/>
      <c r="BB78" s="25"/>
      <c r="BC78" s="25"/>
      <c r="BD78" s="25"/>
      <c r="BE78" s="25"/>
      <c r="BI78" s="25"/>
      <c r="BJ78" s="25"/>
      <c r="BK78" s="25"/>
      <c r="BL78" s="25"/>
      <c r="BM78" s="25"/>
      <c r="BN78" s="25"/>
      <c r="BP78" s="25"/>
      <c r="BQ78" s="25"/>
      <c r="BR78" s="25"/>
      <c r="BS78" s="25"/>
      <c r="BT78" s="25"/>
      <c r="BU78" s="25"/>
      <c r="BX78" s="25"/>
      <c r="BY78" s="25"/>
      <c r="BZ78" s="25"/>
      <c r="CA78" s="25"/>
      <c r="CB78" s="25"/>
      <c r="CC78" s="25"/>
      <c r="CE78" s="25"/>
      <c r="CF78" s="25"/>
      <c r="CG78" s="25"/>
      <c r="CH78" s="25"/>
      <c r="CI78" s="25"/>
      <c r="CJ78" s="25"/>
    </row>
    <row r="79" spans="1:88" ht="14" customHeight="1">
      <c r="A79" s="2" t="str">
        <f t="shared" si="41"/>
        <v>Goat sales - local: no. sold</v>
      </c>
      <c r="B79" s="75">
        <f t="shared" si="42"/>
        <v>0.11324694396014945</v>
      </c>
      <c r="C79" s="75">
        <f t="shared" si="42"/>
        <v>5.6623471980074724E-2</v>
      </c>
      <c r="D79" s="24">
        <f t="shared" si="43"/>
        <v>0.16987041594022417</v>
      </c>
      <c r="H79" s="24">
        <f t="shared" si="44"/>
        <v>0.97321428571428581</v>
      </c>
      <c r="I79" s="22">
        <f t="shared" si="45"/>
        <v>0.16532031551325391</v>
      </c>
      <c r="J79" s="24">
        <f t="shared" si="46"/>
        <v>0.11010016887997857</v>
      </c>
      <c r="K79" s="22">
        <f t="shared" si="47"/>
        <v>0.11324694396014945</v>
      </c>
      <c r="L79" s="22">
        <f t="shared" si="48"/>
        <v>0.1102135436755026</v>
      </c>
      <c r="M79" s="233">
        <f t="shared" si="40"/>
        <v>0.11010016887997857</v>
      </c>
      <c r="N79" s="235">
        <v>5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2" t="str">
        <f t="shared" si="41"/>
        <v>Chicken sales: no. sold</v>
      </c>
      <c r="B80" s="75">
        <f t="shared" si="42"/>
        <v>0</v>
      </c>
      <c r="C80" s="75">
        <f t="shared" si="42"/>
        <v>0</v>
      </c>
      <c r="D80" s="24">
        <f t="shared" si="43"/>
        <v>0</v>
      </c>
      <c r="H80" s="24">
        <f t="shared" si="44"/>
        <v>0.97321428571428581</v>
      </c>
      <c r="I80" s="22">
        <f t="shared" si="45"/>
        <v>0</v>
      </c>
      <c r="J80" s="24">
        <f t="shared" si="46"/>
        <v>0</v>
      </c>
      <c r="K80" s="22">
        <f t="shared" si="47"/>
        <v>0</v>
      </c>
      <c r="L80" s="22">
        <f t="shared" si="48"/>
        <v>0</v>
      </c>
      <c r="M80" s="233">
        <f t="shared" si="40"/>
        <v>0</v>
      </c>
      <c r="N80" s="235">
        <v>5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2" t="str">
        <f t="shared" si="41"/>
        <v>Maize: kg produced</v>
      </c>
      <c r="B81" s="75">
        <f t="shared" si="42"/>
        <v>0.43486826480697388</v>
      </c>
      <c r="C81" s="75">
        <f t="shared" si="42"/>
        <v>-0.43486826480697388</v>
      </c>
      <c r="D81" s="24">
        <f t="shared" si="43"/>
        <v>0</v>
      </c>
      <c r="H81" s="24">
        <f t="shared" si="44"/>
        <v>0.91071428571428581</v>
      </c>
      <c r="I81" s="22">
        <f t="shared" si="45"/>
        <v>0</v>
      </c>
      <c r="J81" s="24">
        <f t="shared" si="46"/>
        <v>0.39685554189580324</v>
      </c>
      <c r="K81" s="22">
        <f t="shared" si="47"/>
        <v>0.43486826480697388</v>
      </c>
      <c r="L81" s="22">
        <f t="shared" si="48"/>
        <v>0.39604074116349414</v>
      </c>
      <c r="M81" s="233">
        <f t="shared" si="40"/>
        <v>0.39685554189580324</v>
      </c>
      <c r="N81" s="235">
        <v>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2" t="str">
        <f t="shared" si="41"/>
        <v>Beans: kg produced</v>
      </c>
      <c r="B82" s="75">
        <f t="shared" si="42"/>
        <v>9.4372453300124545E-2</v>
      </c>
      <c r="C82" s="75">
        <f t="shared" si="42"/>
        <v>1.4155867995018681E-2</v>
      </c>
      <c r="D82" s="24">
        <f t="shared" si="43"/>
        <v>0.10852832129514323</v>
      </c>
      <c r="H82" s="24">
        <f t="shared" si="44"/>
        <v>1.0089285714285714</v>
      </c>
      <c r="I82" s="22">
        <f t="shared" si="45"/>
        <v>0.10949732416384986</v>
      </c>
      <c r="J82" s="24">
        <f t="shared" si="46"/>
        <v>9.5185680655684474E-2</v>
      </c>
      <c r="K82" s="22">
        <f t="shared" si="47"/>
        <v>9.4372453300124545E-2</v>
      </c>
      <c r="L82" s="22">
        <f t="shared" si="48"/>
        <v>9.521506449030423E-2</v>
      </c>
      <c r="M82" s="233">
        <f t="shared" si="40"/>
        <v>9.5185680655684474E-2</v>
      </c>
      <c r="N82" s="235">
        <v>2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2" t="str">
        <f t="shared" si="41"/>
        <v>Water melon: no. local meas</v>
      </c>
      <c r="B83" s="75">
        <f t="shared" si="42"/>
        <v>0</v>
      </c>
      <c r="C83" s="75">
        <f t="shared" si="42"/>
        <v>0</v>
      </c>
      <c r="D83" s="24">
        <f t="shared" si="43"/>
        <v>0</v>
      </c>
      <c r="H83" s="24">
        <f t="shared" si="44"/>
        <v>1.0892857142857144</v>
      </c>
      <c r="I83" s="22">
        <f t="shared" si="45"/>
        <v>0</v>
      </c>
      <c r="J83" s="24">
        <f t="shared" si="46"/>
        <v>0</v>
      </c>
      <c r="K83" s="22">
        <f t="shared" si="47"/>
        <v>0</v>
      </c>
      <c r="L83" s="22">
        <f t="shared" si="48"/>
        <v>0</v>
      </c>
      <c r="M83" s="233">
        <f t="shared" si="40"/>
        <v>0</v>
      </c>
      <c r="N83" s="235">
        <v>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>
      <c r="A84" s="2" t="str">
        <f t="shared" si="41"/>
        <v>WILD FOODS -- see worksheet Data 3</v>
      </c>
      <c r="B84" s="75">
        <f t="shared" si="42"/>
        <v>0</v>
      </c>
      <c r="C84" s="75">
        <f t="shared" si="42"/>
        <v>0</v>
      </c>
      <c r="D84" s="24">
        <f t="shared" si="43"/>
        <v>0</v>
      </c>
      <c r="H84" s="24">
        <f t="shared" si="44"/>
        <v>0.71428571428571441</v>
      </c>
      <c r="I84" s="22">
        <f t="shared" si="45"/>
        <v>0</v>
      </c>
      <c r="J84" s="24">
        <f t="shared" si="46"/>
        <v>0</v>
      </c>
      <c r="K84" s="22">
        <f t="shared" si="47"/>
        <v>0</v>
      </c>
      <c r="L84" s="22">
        <f t="shared" si="48"/>
        <v>0</v>
      </c>
      <c r="M84" s="233">
        <f t="shared" si="40"/>
        <v>0</v>
      </c>
      <c r="N84" s="235">
        <v>6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>
      <c r="A85" s="2" t="str">
        <f t="shared" si="41"/>
        <v>Agricultural cash income -- see Data2</v>
      </c>
      <c r="B85" s="75">
        <f t="shared" si="42"/>
        <v>0</v>
      </c>
      <c r="C85" s="75">
        <f t="shared" si="42"/>
        <v>0</v>
      </c>
      <c r="D85" s="24">
        <f t="shared" si="43"/>
        <v>0</v>
      </c>
      <c r="H85" s="24">
        <f t="shared" si="44"/>
        <v>0.862232142857143</v>
      </c>
      <c r="I85" s="22">
        <f t="shared" si="45"/>
        <v>0</v>
      </c>
      <c r="J85" s="24">
        <f t="shared" si="46"/>
        <v>0</v>
      </c>
      <c r="K85" s="22">
        <f t="shared" si="47"/>
        <v>0</v>
      </c>
      <c r="L85" s="22">
        <f t="shared" si="48"/>
        <v>0</v>
      </c>
      <c r="M85" s="233">
        <f t="shared" si="40"/>
        <v>0</v>
      </c>
      <c r="N85" s="235">
        <v>7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2" t="str">
        <f t="shared" si="41"/>
        <v>Construction cash income -- see Data2</v>
      </c>
      <c r="B86" s="75">
        <f t="shared" si="42"/>
        <v>0</v>
      </c>
      <c r="C86" s="75">
        <f t="shared" si="42"/>
        <v>0</v>
      </c>
      <c r="D86" s="24">
        <f t="shared" si="43"/>
        <v>0</v>
      </c>
      <c r="H86" s="24">
        <f t="shared" si="44"/>
        <v>0.98214285714285743</v>
      </c>
      <c r="I86" s="22">
        <f t="shared" si="45"/>
        <v>0</v>
      </c>
      <c r="J86" s="24">
        <f t="shared" si="46"/>
        <v>0</v>
      </c>
      <c r="K86" s="22">
        <f t="shared" si="47"/>
        <v>0</v>
      </c>
      <c r="L86" s="22">
        <f t="shared" si="48"/>
        <v>0</v>
      </c>
      <c r="M86" s="233">
        <f t="shared" si="40"/>
        <v>0</v>
      </c>
      <c r="N86" s="235">
        <v>7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2" t="str">
        <f t="shared" si="41"/>
        <v>Domestic work cash income -- see Data2</v>
      </c>
      <c r="B87" s="75">
        <f t="shared" si="42"/>
        <v>0</v>
      </c>
      <c r="C87" s="75">
        <f t="shared" si="42"/>
        <v>0</v>
      </c>
      <c r="D87" s="24">
        <f t="shared" si="43"/>
        <v>0</v>
      </c>
      <c r="H87" s="24">
        <f t="shared" si="44"/>
        <v>0.98214285714285743</v>
      </c>
      <c r="I87" s="22">
        <f t="shared" si="45"/>
        <v>0</v>
      </c>
      <c r="J87" s="24">
        <f t="shared" si="46"/>
        <v>0</v>
      </c>
      <c r="K87" s="22">
        <f t="shared" si="47"/>
        <v>0</v>
      </c>
      <c r="L87" s="22">
        <f t="shared" si="48"/>
        <v>0</v>
      </c>
      <c r="M87" s="233">
        <f t="shared" si="40"/>
        <v>0</v>
      </c>
      <c r="N87" s="235">
        <v>7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4" customHeight="1">
      <c r="A88" s="2" t="str">
        <f t="shared" si="41"/>
        <v>Labour migration(formal employment): no. people per HH</v>
      </c>
      <c r="B88" s="75">
        <f t="shared" si="42"/>
        <v>0</v>
      </c>
      <c r="C88" s="75">
        <f t="shared" si="42"/>
        <v>0</v>
      </c>
      <c r="D88" s="24">
        <f t="shared" si="43"/>
        <v>0</v>
      </c>
      <c r="H88" s="24">
        <f t="shared" si="44"/>
        <v>0.95535714285714302</v>
      </c>
      <c r="I88" s="22">
        <f t="shared" si="45"/>
        <v>0</v>
      </c>
      <c r="J88" s="24">
        <f t="shared" si="46"/>
        <v>0</v>
      </c>
      <c r="K88" s="22">
        <f t="shared" si="47"/>
        <v>0</v>
      </c>
      <c r="L88" s="22">
        <f t="shared" si="48"/>
        <v>0</v>
      </c>
      <c r="M88" s="233">
        <f t="shared" si="40"/>
        <v>0</v>
      </c>
      <c r="N88" s="235">
        <v>8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 t="str">
        <f t="shared" si="41"/>
        <v>Formal Employment (conservancies, etc.)</v>
      </c>
      <c r="B89" s="75">
        <f t="shared" si="42"/>
        <v>23.781858231631382</v>
      </c>
      <c r="C89" s="75">
        <f t="shared" si="42"/>
        <v>0</v>
      </c>
      <c r="D89" s="24">
        <f t="shared" si="43"/>
        <v>23.781858231631382</v>
      </c>
      <c r="H89" s="24">
        <f t="shared" si="44"/>
        <v>0.95535714285714302</v>
      </c>
      <c r="I89" s="22">
        <f t="shared" si="45"/>
        <v>22.720168132004986</v>
      </c>
      <c r="J89" s="24">
        <f t="shared" si="46"/>
        <v>22.720168132004986</v>
      </c>
      <c r="K89" s="22">
        <f t="shared" si="47"/>
        <v>23.781858231631382</v>
      </c>
      <c r="L89" s="22">
        <f t="shared" si="48"/>
        <v>22.720168132004986</v>
      </c>
      <c r="M89" s="233">
        <f t="shared" si="40"/>
        <v>22.720168132004986</v>
      </c>
      <c r="N89" s="235">
        <v>8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tr">
        <f t="shared" si="41"/>
        <v>Self-employment -- see Data2</v>
      </c>
      <c r="B90" s="75">
        <f t="shared" si="42"/>
        <v>0</v>
      </c>
      <c r="C90" s="75">
        <f t="shared" si="42"/>
        <v>0</v>
      </c>
      <c r="D90" s="24">
        <f t="shared" si="43"/>
        <v>0</v>
      </c>
      <c r="H90" s="24">
        <f t="shared" si="44"/>
        <v>0.98214285714285743</v>
      </c>
      <c r="I90" s="22">
        <f t="shared" si="45"/>
        <v>0</v>
      </c>
      <c r="J90" s="24">
        <f t="shared" si="46"/>
        <v>0</v>
      </c>
      <c r="K90" s="22">
        <f t="shared" si="47"/>
        <v>0</v>
      </c>
      <c r="L90" s="22">
        <f t="shared" si="48"/>
        <v>0</v>
      </c>
      <c r="M90" s="233">
        <f t="shared" si="40"/>
        <v>0</v>
      </c>
      <c r="N90" s="235">
        <v>10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si="41"/>
        <v>Small business -- see Data2</v>
      </c>
      <c r="B91" s="75">
        <f t="shared" si="42"/>
        <v>5.8888410859277709</v>
      </c>
      <c r="C91" s="75">
        <f t="shared" si="42"/>
        <v>0</v>
      </c>
      <c r="D91" s="24">
        <f t="shared" si="43"/>
        <v>5.8888410859277709</v>
      </c>
      <c r="H91" s="24">
        <f t="shared" si="44"/>
        <v>0.93750000000000022</v>
      </c>
      <c r="I91" s="22">
        <f t="shared" si="45"/>
        <v>5.5207885180572864</v>
      </c>
      <c r="J91" s="24">
        <f t="shared" si="46"/>
        <v>5.5207885180572864</v>
      </c>
      <c r="K91" s="22">
        <f t="shared" si="47"/>
        <v>5.8888410859277709</v>
      </c>
      <c r="L91" s="22">
        <f t="shared" si="48"/>
        <v>5.5207885180572864</v>
      </c>
      <c r="M91" s="233">
        <f t="shared" si="40"/>
        <v>5.5207885180572864</v>
      </c>
      <c r="N91" s="235">
        <v>11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1"/>
        <v>Social development -- see Data2</v>
      </c>
      <c r="B92" s="75">
        <f t="shared" si="42"/>
        <v>1.2434750377957662</v>
      </c>
      <c r="C92" s="75">
        <f t="shared" si="42"/>
        <v>0</v>
      </c>
      <c r="D92" s="24">
        <f t="shared" si="43"/>
        <v>1.2434750377957662</v>
      </c>
      <c r="H92" s="24">
        <f t="shared" si="44"/>
        <v>0.99107142857142871</v>
      </c>
      <c r="I92" s="22">
        <f t="shared" si="45"/>
        <v>1.2323725821011613</v>
      </c>
      <c r="J92" s="24">
        <f t="shared" si="46"/>
        <v>1.2323725821011613</v>
      </c>
      <c r="K92" s="22">
        <f t="shared" si="47"/>
        <v>1.2434750377957662</v>
      </c>
      <c r="L92" s="22">
        <f t="shared" si="48"/>
        <v>1.2323725821011613</v>
      </c>
      <c r="M92" s="233">
        <f t="shared" si="40"/>
        <v>1.2323725821011613</v>
      </c>
      <c r="N92" s="235">
        <v>14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1"/>
        <v>Public works -- see Data2</v>
      </c>
      <c r="B93" s="75">
        <f t="shared" si="42"/>
        <v>0</v>
      </c>
      <c r="C93" s="75">
        <f t="shared" si="42"/>
        <v>0</v>
      </c>
      <c r="D93" s="24">
        <f t="shared" si="43"/>
        <v>0</v>
      </c>
      <c r="H93" s="24">
        <f t="shared" si="44"/>
        <v>0.95535714285714302</v>
      </c>
      <c r="I93" s="22">
        <f t="shared" si="45"/>
        <v>0</v>
      </c>
      <c r="J93" s="24">
        <f t="shared" si="46"/>
        <v>0</v>
      </c>
      <c r="K93" s="22">
        <f t="shared" si="47"/>
        <v>0</v>
      </c>
      <c r="L93" s="22">
        <f t="shared" si="48"/>
        <v>0</v>
      </c>
      <c r="M93" s="233">
        <f t="shared" si="40"/>
        <v>0</v>
      </c>
      <c r="N93" s="235">
        <v>9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1"/>
        <v>Remittances: no. times per year</v>
      </c>
      <c r="B94" s="75">
        <f t="shared" si="42"/>
        <v>0</v>
      </c>
      <c r="C94" s="75">
        <f t="shared" si="42"/>
        <v>0</v>
      </c>
      <c r="D94" s="24">
        <f t="shared" si="43"/>
        <v>0</v>
      </c>
      <c r="H94" s="24">
        <f t="shared" si="44"/>
        <v>0.93750000000000022</v>
      </c>
      <c r="I94" s="22">
        <f t="shared" si="45"/>
        <v>0</v>
      </c>
      <c r="J94" s="24">
        <f t="shared" si="46"/>
        <v>0</v>
      </c>
      <c r="K94" s="22">
        <f t="shared" si="47"/>
        <v>0</v>
      </c>
      <c r="L94" s="22">
        <f t="shared" si="48"/>
        <v>0</v>
      </c>
      <c r="M94" s="57">
        <f t="shared" si="40"/>
        <v>0</v>
      </c>
      <c r="N94" s="235">
        <v>15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1"/>
        <v/>
      </c>
      <c r="B95" s="75">
        <f t="shared" si="42"/>
        <v>0</v>
      </c>
      <c r="C95" s="75">
        <f t="shared" si="42"/>
        <v>0</v>
      </c>
      <c r="D95" s="24">
        <f t="shared" si="43"/>
        <v>0</v>
      </c>
      <c r="H95" s="24">
        <f t="shared" si="44"/>
        <v>0.8928571428571429</v>
      </c>
      <c r="I95" s="22">
        <f t="shared" si="45"/>
        <v>0</v>
      </c>
      <c r="J95" s="24">
        <f t="shared" si="46"/>
        <v>0</v>
      </c>
      <c r="K95" s="22">
        <f t="shared" si="47"/>
        <v>0</v>
      </c>
      <c r="L95" s="22">
        <f t="shared" si="48"/>
        <v>0</v>
      </c>
      <c r="M95" s="57">
        <f t="shared" si="40"/>
        <v>0</v>
      </c>
      <c r="N95" s="235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1"/>
        <v/>
      </c>
      <c r="B96" s="75">
        <f t="shared" si="42"/>
        <v>0</v>
      </c>
      <c r="C96" s="75">
        <f t="shared" si="42"/>
        <v>0</v>
      </c>
      <c r="D96" s="24">
        <f t="shared" si="43"/>
        <v>0</v>
      </c>
      <c r="H96" s="24">
        <f t="shared" si="44"/>
        <v>0.8928571428571429</v>
      </c>
      <c r="I96" s="22">
        <f t="shared" si="45"/>
        <v>0</v>
      </c>
      <c r="J96" s="24">
        <f t="shared" si="46"/>
        <v>0</v>
      </c>
      <c r="K96" s="22">
        <f t="shared" si="47"/>
        <v>0</v>
      </c>
      <c r="L96" s="22">
        <f t="shared" si="48"/>
        <v>0</v>
      </c>
      <c r="M96" s="57">
        <f t="shared" si="40"/>
        <v>0</v>
      </c>
      <c r="N96" s="235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1"/>
        <v/>
      </c>
      <c r="B97" s="75">
        <f t="shared" si="42"/>
        <v>0</v>
      </c>
      <c r="C97" s="75">
        <f t="shared" si="42"/>
        <v>0</v>
      </c>
      <c r="D97" s="24">
        <f t="shared" si="43"/>
        <v>0</v>
      </c>
      <c r="H97" s="24">
        <f t="shared" si="44"/>
        <v>0.8928571428571429</v>
      </c>
      <c r="I97" s="22">
        <f t="shared" si="45"/>
        <v>0</v>
      </c>
      <c r="J97" s="24">
        <f t="shared" si="46"/>
        <v>0</v>
      </c>
      <c r="K97" s="22">
        <f t="shared" si="47"/>
        <v>0</v>
      </c>
      <c r="L97" s="22">
        <f t="shared" si="48"/>
        <v>0</v>
      </c>
      <c r="M97" s="57">
        <f t="shared" si="40"/>
        <v>0</v>
      </c>
      <c r="N97" s="235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1"/>
        <v/>
      </c>
      <c r="B98" s="75">
        <f t="shared" si="42"/>
        <v>0</v>
      </c>
      <c r="C98" s="75">
        <f t="shared" si="42"/>
        <v>0</v>
      </c>
      <c r="D98" s="24">
        <f t="shared" si="43"/>
        <v>0</v>
      </c>
      <c r="H98" s="24">
        <f t="shared" si="44"/>
        <v>0.8928571428571429</v>
      </c>
      <c r="I98" s="22">
        <f t="shared" si="45"/>
        <v>0</v>
      </c>
      <c r="J98" s="24">
        <f t="shared" si="46"/>
        <v>0</v>
      </c>
      <c r="K98" s="22">
        <f t="shared" si="47"/>
        <v>0</v>
      </c>
      <c r="L98" s="22">
        <f t="shared" si="48"/>
        <v>0</v>
      </c>
      <c r="M98" s="57">
        <f t="shared" si="40"/>
        <v>0</v>
      </c>
      <c r="N98" s="235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1"/>
        <v/>
      </c>
      <c r="B99" s="75">
        <f t="shared" si="42"/>
        <v>0</v>
      </c>
      <c r="C99" s="75">
        <f t="shared" si="42"/>
        <v>0</v>
      </c>
      <c r="D99" s="24">
        <f t="shared" si="43"/>
        <v>0</v>
      </c>
      <c r="H99" s="24">
        <f t="shared" si="44"/>
        <v>0.8928571428571429</v>
      </c>
      <c r="I99" s="22">
        <f t="shared" si="45"/>
        <v>0</v>
      </c>
      <c r="J99" s="24">
        <f t="shared" si="46"/>
        <v>0</v>
      </c>
      <c r="K99" s="22">
        <f t="shared" si="47"/>
        <v>0</v>
      </c>
      <c r="L99" s="22">
        <f t="shared" si="48"/>
        <v>0</v>
      </c>
      <c r="M99" s="57">
        <f t="shared" si="40"/>
        <v>0</v>
      </c>
      <c r="N99" s="23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1"/>
        <v/>
      </c>
      <c r="B100" s="75">
        <f t="shared" si="42"/>
        <v>0</v>
      </c>
      <c r="C100" s="75">
        <f t="shared" si="42"/>
        <v>0</v>
      </c>
      <c r="D100" s="24">
        <f t="shared" si="43"/>
        <v>0</v>
      </c>
      <c r="H100" s="24">
        <f t="shared" si="44"/>
        <v>0.8928571428571429</v>
      </c>
      <c r="I100" s="22">
        <f t="shared" si="45"/>
        <v>0</v>
      </c>
      <c r="J100" s="24">
        <f>IF(I$24&lt;=1+I$113,I100,L100+J$25*(I100-L100))</f>
        <v>0</v>
      </c>
      <c r="K100" s="22">
        <f t="shared" si="47"/>
        <v>0</v>
      </c>
      <c r="L100" s="22">
        <f t="shared" si="48"/>
        <v>0</v>
      </c>
      <c r="M100" s="57">
        <f t="shared" si="40"/>
        <v>0</v>
      </c>
      <c r="N100" s="23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">
        <v>32</v>
      </c>
      <c r="B101" s="22">
        <f>SUM(B78:B100)</f>
        <v>33.066621270224161</v>
      </c>
      <c r="C101" s="22">
        <f>SUM(C78:C100)</f>
        <v>0.39089070156911593</v>
      </c>
      <c r="D101" s="24">
        <f>SUM(D78:D100)</f>
        <v>33.457511971793281</v>
      </c>
      <c r="E101" s="22"/>
      <c r="F101" s="2"/>
      <c r="G101" s="2"/>
      <c r="H101" s="31"/>
      <c r="I101" s="22">
        <f>SUM(I78:I100)</f>
        <v>31.992863082479214</v>
      </c>
      <c r="J101" s="24">
        <f>SUM(J78:J100)</f>
        <v>31.570408696460664</v>
      </c>
      <c r="K101" s="22">
        <f>SUM(K78:K100)</f>
        <v>33.066621270224161</v>
      </c>
      <c r="L101" s="22">
        <f>SUM(L78:L100)</f>
        <v>31.571276055251854</v>
      </c>
      <c r="M101" s="57">
        <f t="shared" si="40"/>
        <v>31.570408696460664</v>
      </c>
      <c r="N101" s="5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83"/>
      <c r="B102" s="83"/>
      <c r="C102" s="83"/>
      <c r="D102" s="10"/>
      <c r="E102" s="11"/>
      <c r="F102" s="11"/>
      <c r="G102" s="11"/>
      <c r="H102" s="10"/>
      <c r="I102" s="11"/>
      <c r="J102" s="62"/>
      <c r="K102" s="14"/>
      <c r="L102" s="11"/>
      <c r="M102" s="63"/>
      <c r="N102" s="5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>
      <c r="A103" s="73" t="str">
        <f>A54</f>
        <v>Expenditure : Middle HHs</v>
      </c>
      <c r="B103" s="2"/>
      <c r="C103" s="2"/>
      <c r="D103" s="31"/>
      <c r="E103" s="2"/>
      <c r="F103" s="2"/>
      <c r="G103" s="2"/>
      <c r="H103" s="31"/>
      <c r="I103" s="22"/>
      <c r="J103" s="18"/>
      <c r="L103" s="2"/>
      <c r="M103" s="57"/>
      <c r="N103" s="5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2"/>
      <c r="AC103" s="2"/>
      <c r="AD103" s="2"/>
      <c r="AE103" s="2"/>
      <c r="AF103" s="2"/>
      <c r="AG103" s="2"/>
      <c r="AM103" s="21"/>
      <c r="AN103" s="21"/>
      <c r="AO103" s="21"/>
      <c r="AV103" s="21"/>
      <c r="AW103" s="21"/>
      <c r="AX103" s="21"/>
      <c r="BC103" s="21"/>
      <c r="BD103" s="21"/>
      <c r="BE103" s="21"/>
      <c r="BL103" s="21"/>
      <c r="BM103" s="21"/>
      <c r="BN103" s="21"/>
      <c r="BS103" s="21"/>
      <c r="BT103" s="21"/>
      <c r="BU103" s="21"/>
      <c r="CA103" s="21"/>
      <c r="CB103" s="21"/>
      <c r="CC103" s="21"/>
      <c r="CH103" s="21"/>
      <c r="CI103" s="21"/>
      <c r="CJ103" s="21"/>
    </row>
    <row r="104" spans="1:88" ht="14" customHeight="1">
      <c r="A104" s="84"/>
      <c r="B104" s="19" t="s">
        <v>7</v>
      </c>
      <c r="C104" s="2"/>
      <c r="D104" s="16"/>
      <c r="H104" s="16" t="s">
        <v>12</v>
      </c>
      <c r="I104" s="19" t="s">
        <v>13</v>
      </c>
      <c r="J104" s="16" t="s">
        <v>14</v>
      </c>
      <c r="K104" s="19" t="s">
        <v>7</v>
      </c>
      <c r="L104" s="19" t="s">
        <v>15</v>
      </c>
      <c r="M104" s="57" t="str">
        <f t="shared" ref="M104:M112" si="49">(J104)</f>
        <v>Curr.</v>
      </c>
      <c r="N104" s="5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">
        <v>44</v>
      </c>
      <c r="B105" s="19" t="s">
        <v>35</v>
      </c>
      <c r="C105" s="2"/>
      <c r="D105" s="31"/>
      <c r="H105" s="16" t="s">
        <v>18</v>
      </c>
      <c r="I105" s="19" t="s">
        <v>35</v>
      </c>
      <c r="J105" s="16" t="s">
        <v>35</v>
      </c>
      <c r="K105" s="19" t="s">
        <v>35</v>
      </c>
      <c r="L105" s="19" t="s">
        <v>19</v>
      </c>
      <c r="M105" s="57" t="str">
        <f t="shared" si="49"/>
        <v>Expend</v>
      </c>
      <c r="N105" s="5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2"/>
      <c r="AC105" s="2"/>
      <c r="AD105" s="2"/>
      <c r="AE105" s="2"/>
      <c r="AF105" s="2"/>
      <c r="AG105" s="2"/>
    </row>
    <row r="106" spans="1:88" ht="14" customHeight="1">
      <c r="A106" s="111" t="s">
        <v>131</v>
      </c>
      <c r="B106" s="75">
        <f>B57/B70</f>
        <v>2.4102768168197</v>
      </c>
      <c r="C106" s="2"/>
      <c r="D106" s="24"/>
      <c r="H106" s="24">
        <f>(E57*F57/G$29*F$7/F$9)</f>
        <v>1.0178571428571428</v>
      </c>
      <c r="I106" s="29">
        <f>IF(SUMPRODUCT($B$106:$B106,$H$106:$H106)&lt;I$101,($B106*$H106),I$101)</f>
        <v>2.4533174742629087</v>
      </c>
      <c r="J106" s="243">
        <f>IF(SUMPRODUCT($B$106:$B106,$H$106:$H106)&lt;J$101,($B106*$H106),J$101)</f>
        <v>2.4533174742629087</v>
      </c>
      <c r="K106" s="22">
        <f>(B106)</f>
        <v>2.4102768168197</v>
      </c>
      <c r="L106" s="22">
        <f>IF(B106*H106&gt;=L101,L101,B106*H106)</f>
        <v>2.4533174742629087</v>
      </c>
      <c r="M106" s="57">
        <f t="shared" si="49"/>
        <v>2.4533174742629087</v>
      </c>
      <c r="N106" s="5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2"/>
      <c r="AC106" s="2"/>
      <c r="AD106" s="2"/>
      <c r="AE106" s="2"/>
      <c r="AF106" s="2"/>
      <c r="AG106" s="2"/>
    </row>
    <row r="107" spans="1:88" ht="14" customHeight="1">
      <c r="A107" s="111" t="s">
        <v>132</v>
      </c>
      <c r="B107" s="75"/>
      <c r="C107" s="2"/>
      <c r="D107" s="24"/>
      <c r="H107" s="24">
        <f t="shared" ref="H107:H108" si="50">(E58*F58/G$29*F$7/F$9)</f>
        <v>0.99107142857142871</v>
      </c>
      <c r="I107" s="29">
        <f>IF(SUMPRODUCT($B$106:$B107,$H$106:$H107)&lt;I$101,($B107*$H107),IF(SUMPRODUCT($B$106:$B106,$H$106:$H106)&lt;I$101,I$101-SUMPRODUCT($B$106:$B106,$H$106:$H106),0))</f>
        <v>0</v>
      </c>
      <c r="J107" s="243">
        <f>IF(SUMPRODUCT($B$106:$B107,$H$106:$H107)&lt;J$101,($B107*$H107),IF(SUMPRODUCT($B$106:$B106,$H$106:$H106)&lt;J$101,J$101-SUMPRODUCT($B$106:$B106,$H$106:$H106),0))</f>
        <v>0</v>
      </c>
      <c r="K107" s="22">
        <f t="shared" ref="K107:K108" si="51">(B107)</f>
        <v>0</v>
      </c>
      <c r="L107" s="22">
        <f t="shared" ref="L107:L108" si="52">IF(B107*H107&gt;=L102,L102,B107*H107)</f>
        <v>0</v>
      </c>
      <c r="M107" s="57">
        <f t="shared" ref="M107:M108" si="53">(J107)</f>
        <v>0</v>
      </c>
      <c r="N107" s="5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2"/>
      <c r="AC107" s="2"/>
      <c r="AD107" s="2"/>
      <c r="AE107" s="2"/>
      <c r="AF107" s="2"/>
      <c r="AG107" s="2"/>
    </row>
    <row r="108" spans="1:88" ht="14" customHeight="1">
      <c r="A108" s="111" t="s">
        <v>133</v>
      </c>
      <c r="B108" s="75"/>
      <c r="C108" s="2"/>
      <c r="D108" s="24"/>
      <c r="H108" s="24">
        <f t="shared" si="50"/>
        <v>0.99107142857142871</v>
      </c>
      <c r="I108" s="29">
        <f>IF(SUMPRODUCT($B$106:$B108,$H$106:$H108)&lt;(I$101-I$110),($B108*$H108),IF(SUMPRODUCT($B$106:$B107,$H$106:$H107)&lt;(I$101-I$110),I$101-I$110-SUMPRODUCT($B$106:$B107,$H$106:$H107),0))</f>
        <v>0</v>
      </c>
      <c r="J108" s="243">
        <f>IF(SUMPRODUCT($B$106:$B108,$H$106:$H108)&lt;(J$101-J$110),($B108*$H108),IF(SUMPRODUCT($B$106:$B107,$H$106:$H107)&lt;(J$101-J$110),J$101-J$110-SUMPRODUCT($B$106:$B107,$H$106:$H107),0))</f>
        <v>0</v>
      </c>
      <c r="K108" s="22">
        <f t="shared" si="51"/>
        <v>0</v>
      </c>
      <c r="L108" s="22">
        <f t="shared" si="52"/>
        <v>0</v>
      </c>
      <c r="M108" s="57">
        <f t="shared" si="53"/>
        <v>0</v>
      </c>
      <c r="N108" s="5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2"/>
      <c r="AC108" s="2"/>
      <c r="AD108" s="2"/>
      <c r="AE108" s="2"/>
      <c r="AF108" s="2"/>
      <c r="AG108" s="2"/>
    </row>
    <row r="109" spans="1:88" ht="14" customHeight="1">
      <c r="A109" s="111" t="s">
        <v>134</v>
      </c>
      <c r="B109" s="75">
        <f>B60/B70</f>
        <v>5.6957550464757167</v>
      </c>
      <c r="C109" s="2"/>
      <c r="D109" s="24"/>
      <c r="H109" s="24">
        <f>(E60*F60/G$29*F$7/F$9)</f>
        <v>0.99107142857142871</v>
      </c>
      <c r="I109" s="29">
        <f>IF(SUMPRODUCT($B$106:$B109,$H$106:$H109)&lt;(I$101-I$110),($B109*$H109),IF(SUMPRODUCT($B$106:$B108,$H$106:$H108)&lt;(I$101-I110),I$101-I$110-SUMPRODUCT($B$106:$B108,$H$106:$H108),0))</f>
        <v>0</v>
      </c>
      <c r="J109" s="243">
        <f>IF(SUMPRODUCT($B$106:$B109,$H$106:$H109)&lt;(J$101-J$110),($B109*$H109),IF(SUMPRODUCT($B$106:$B108,$H$106:$H108)&lt;(J$101-J110),J$101-J$110-SUMPRODUCT($B$106:$B108,$H$106:$H108),0))</f>
        <v>5.6449000907036133</v>
      </c>
      <c r="K109" s="22">
        <f>(B109)</f>
        <v>5.6957550464757167</v>
      </c>
      <c r="L109" s="22">
        <f>IF(L106=L101,0,(L101-L106)/(B101-B106)*K109)</f>
        <v>5.4099326742240059</v>
      </c>
      <c r="M109" s="57">
        <f t="shared" si="49"/>
        <v>5.6449000907036133</v>
      </c>
      <c r="N109" s="58"/>
      <c r="Q109" s="2"/>
      <c r="R109" s="22"/>
      <c r="S109" s="2"/>
      <c r="T109" s="2"/>
      <c r="U109" s="2"/>
      <c r="V109" s="2"/>
      <c r="W109" s="2"/>
      <c r="X109" s="2"/>
      <c r="Y109" s="2"/>
      <c r="Z109" s="2"/>
      <c r="AA109" s="2"/>
      <c r="AB109" s="22"/>
      <c r="AC109" s="2"/>
      <c r="AD109" s="2"/>
      <c r="AE109" s="2"/>
      <c r="AF109" s="2"/>
      <c r="AG109" s="2"/>
    </row>
    <row r="110" spans="1:88" ht="14" customHeight="1">
      <c r="A110" s="1" t="s">
        <v>135</v>
      </c>
      <c r="B110" s="22">
        <f>(B22)</f>
        <v>0.50976766625155667</v>
      </c>
      <c r="C110" s="2"/>
      <c r="D110" s="31"/>
      <c r="E110" s="2"/>
      <c r="F110" s="2"/>
      <c r="G110" s="2"/>
      <c r="H110" s="24"/>
      <c r="I110" s="29">
        <f>(I22)</f>
        <v>29.539545608216304</v>
      </c>
      <c r="J110" s="234">
        <f>(J22)</f>
        <v>0.51143211624269602</v>
      </c>
      <c r="K110" s="22">
        <f>(B110)</f>
        <v>0.50976766625155667</v>
      </c>
      <c r="L110" s="22">
        <f>IF(L106=L101,0,(L101-L106)/(B101-B106)*K110)</f>
        <v>0.48418668489327427</v>
      </c>
      <c r="M110" s="57">
        <f t="shared" si="49"/>
        <v>0.51143211624269602</v>
      </c>
      <c r="N110" s="5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2"/>
      <c r="AC110" s="2"/>
      <c r="AD110" s="2"/>
      <c r="AE110" s="2"/>
      <c r="AF110" s="2"/>
      <c r="AG110" s="2"/>
    </row>
    <row r="111" spans="1:88" ht="14" customHeight="1">
      <c r="A111" s="56" t="s">
        <v>55</v>
      </c>
      <c r="B111" s="22">
        <f>(B112-B106-B109-B110)</f>
        <v>24.450821740677188</v>
      </c>
      <c r="C111" s="2"/>
      <c r="D111" s="31"/>
      <c r="E111" s="2"/>
      <c r="F111" s="2"/>
      <c r="G111" s="2"/>
      <c r="H111" s="24"/>
      <c r="I111" s="29"/>
      <c r="J111" s="234">
        <f>(J112-J106-J107-J108-J109-J110)</f>
        <v>22.960759015251448</v>
      </c>
      <c r="K111" s="22">
        <f>(B111)</f>
        <v>24.450821740677188</v>
      </c>
      <c r="L111" s="22">
        <f>IF(L106=L101,0,(L101-L106)/(B101-B106)*K111)</f>
        <v>23.223839221871664</v>
      </c>
      <c r="M111" s="57">
        <f t="shared" si="49"/>
        <v>22.960759015251448</v>
      </c>
      <c r="N111" s="5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2"/>
      <c r="AC111" s="2"/>
      <c r="AD111" s="2"/>
      <c r="AE111" s="2"/>
      <c r="AF111" s="2"/>
      <c r="AG111" s="2"/>
    </row>
    <row r="112" spans="1:88" ht="14" customHeight="1">
      <c r="A112" s="2" t="s">
        <v>32</v>
      </c>
      <c r="B112" s="22">
        <f>(B101)</f>
        <v>33.066621270224161</v>
      </c>
      <c r="C112" s="2"/>
      <c r="D112" s="31"/>
      <c r="E112" s="2"/>
      <c r="F112" s="2"/>
      <c r="G112" s="2"/>
      <c r="H112" s="24"/>
      <c r="I112" s="29">
        <f>(I101)</f>
        <v>31.992863082479214</v>
      </c>
      <c r="J112" s="234">
        <f>(J101)</f>
        <v>31.570408696460664</v>
      </c>
      <c r="K112" s="22">
        <f>(B112)</f>
        <v>33.066621270224161</v>
      </c>
      <c r="L112" s="22">
        <f>(L101)</f>
        <v>31.571276055251854</v>
      </c>
      <c r="M112" s="57">
        <f t="shared" si="49"/>
        <v>31.570408696460664</v>
      </c>
      <c r="N112" s="5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2"/>
      <c r="AC112" s="2"/>
      <c r="AD112" s="2"/>
      <c r="AE112" s="2"/>
      <c r="AF112" s="2"/>
      <c r="AG112" s="2"/>
    </row>
    <row r="113" spans="1:33" ht="14" customHeight="1">
      <c r="A113" s="2" t="s">
        <v>36</v>
      </c>
      <c r="B113" s="22"/>
      <c r="C113" s="2"/>
      <c r="D113" s="31"/>
      <c r="E113" s="2"/>
      <c r="F113" s="2"/>
      <c r="G113" s="2"/>
      <c r="H113" s="24"/>
      <c r="I113" s="29">
        <f>IF(SUMPRODUCT($B106:$B109,$H106:$H109)&gt;(I101-I110),SUMPRODUCT($B106:$B109,$H106:$H109)+I110-I101,0)</f>
        <v>5.6449000907036115</v>
      </c>
      <c r="J113" s="243">
        <f>IF(SUMPRODUCT($B106:$B109,$H106:$H109)&gt;(J101-J110),SUMPRODUCT($B106:$B109,$H106:$H109)+J110-J101,0)</f>
        <v>0</v>
      </c>
      <c r="K113" s="22"/>
      <c r="L113" s="22">
        <f>I113-L109</f>
        <v>0.23496741647960562</v>
      </c>
      <c r="M113" s="57">
        <f>I113-M109</f>
        <v>0</v>
      </c>
      <c r="N113" s="5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2"/>
      <c r="AC113" s="2"/>
      <c r="AD113" s="2"/>
      <c r="AE113" s="2"/>
      <c r="AF113" s="2"/>
      <c r="AG113" s="2"/>
    </row>
    <row r="114" spans="1:33" ht="14" customHeight="1">
      <c r="A114" s="14"/>
      <c r="B114" s="14"/>
      <c r="C114" s="14"/>
      <c r="D114" s="12"/>
      <c r="E114" s="14"/>
      <c r="F114" s="14"/>
      <c r="G114" s="14"/>
      <c r="H114" s="12"/>
      <c r="I114" s="14"/>
      <c r="J114" s="12"/>
      <c r="K114" s="14"/>
      <c r="L114" s="14"/>
      <c r="M114" s="66"/>
      <c r="N114" s="58"/>
    </row>
    <row r="124" spans="1:33">
      <c r="A124" s="2"/>
      <c r="B124" s="2"/>
      <c r="C124" s="2"/>
      <c r="D124" s="2"/>
      <c r="E124" s="2"/>
      <c r="F124" s="2"/>
      <c r="G124" s="2"/>
      <c r="H124" s="2"/>
      <c r="I124" s="2"/>
      <c r="J124" s="2"/>
      <c r="L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B125" s="22"/>
      <c r="C125" s="22"/>
      <c r="D125" s="2"/>
      <c r="E125" s="2"/>
      <c r="F125" s="2"/>
      <c r="G125" s="2"/>
      <c r="H125" s="2"/>
      <c r="I125" s="22"/>
      <c r="J125" s="2"/>
      <c r="L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68"/>
      <c r="AC125" s="2"/>
      <c r="AD125" s="2"/>
      <c r="AE125" s="2"/>
      <c r="AF125" s="2"/>
      <c r="AG125" s="2"/>
    </row>
    <row r="126" spans="1:33">
      <c r="B126" s="22"/>
      <c r="C126" s="22"/>
      <c r="D126" s="2"/>
      <c r="E126" s="2"/>
      <c r="F126" s="2"/>
      <c r="G126" s="2"/>
      <c r="H126" s="2"/>
      <c r="I126" s="2"/>
      <c r="J126" s="2"/>
      <c r="L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68"/>
      <c r="AC126" s="2"/>
      <c r="AD126" s="2"/>
      <c r="AE126" s="2"/>
      <c r="AF126" s="2"/>
      <c r="AG126" s="2"/>
    </row>
    <row r="127" spans="1:33">
      <c r="B127" s="22"/>
      <c r="C127" s="22"/>
      <c r="D127" s="2"/>
      <c r="E127" s="2"/>
      <c r="F127" s="2"/>
      <c r="G127" s="2"/>
      <c r="H127" s="2"/>
      <c r="I127" s="22"/>
      <c r="J127" s="2"/>
      <c r="L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68"/>
      <c r="AC127" s="2"/>
      <c r="AD127" s="2"/>
      <c r="AE127" s="2"/>
      <c r="AF127" s="2"/>
      <c r="AG127" s="2"/>
    </row>
    <row r="128" spans="1:33">
      <c r="B128" s="2"/>
      <c r="C128" s="2"/>
      <c r="D128" s="2"/>
      <c r="E128" s="2"/>
      <c r="F128" s="2"/>
      <c r="G128" s="2"/>
      <c r="H128" s="2"/>
      <c r="I128" s="2"/>
      <c r="J128" s="2"/>
      <c r="L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68"/>
      <c r="AC128" s="2"/>
      <c r="AD128" s="2"/>
      <c r="AE128" s="2"/>
      <c r="AF128" s="2"/>
      <c r="AG128" s="2"/>
    </row>
    <row r="129" spans="1:33">
      <c r="B129" s="22"/>
      <c r="C129" s="22"/>
      <c r="D129" s="2"/>
      <c r="E129" s="2"/>
      <c r="F129" s="2"/>
      <c r="G129" s="2"/>
      <c r="H129" s="2"/>
      <c r="I129" s="2"/>
      <c r="J129" s="2"/>
      <c r="L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68"/>
      <c r="AC129" s="2"/>
      <c r="AD129" s="2"/>
      <c r="AE129" s="2"/>
      <c r="AF129" s="2"/>
      <c r="AG129" s="2"/>
    </row>
    <row r="130" spans="1:33">
      <c r="B130" s="22"/>
      <c r="C130" s="22"/>
      <c r="D130" s="2"/>
      <c r="E130" s="2"/>
      <c r="F130" s="2"/>
      <c r="G130" s="2"/>
      <c r="H130" s="2"/>
      <c r="I130" s="2"/>
      <c r="J130" s="2"/>
      <c r="L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68"/>
      <c r="AC130" s="2"/>
      <c r="AD130" s="2"/>
      <c r="AE130" s="2"/>
      <c r="AF130" s="2"/>
      <c r="AG130" s="2"/>
    </row>
    <row r="131" spans="1:33">
      <c r="B131" s="22"/>
      <c r="C131" s="22"/>
      <c r="D131" s="2"/>
      <c r="E131" s="2"/>
      <c r="F131" s="2"/>
      <c r="G131" s="2"/>
      <c r="H131" s="2"/>
      <c r="I131" s="2"/>
      <c r="J131" s="2"/>
      <c r="L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68"/>
      <c r="AC131" s="2"/>
      <c r="AD131" s="2"/>
      <c r="AE131" s="2"/>
      <c r="AF131" s="2"/>
      <c r="AG131" s="2"/>
    </row>
    <row r="132" spans="1:33">
      <c r="B132" s="22"/>
      <c r="C132" s="22"/>
      <c r="D132" s="2"/>
      <c r="E132" s="2"/>
      <c r="F132" s="2"/>
      <c r="G132" s="2"/>
      <c r="H132" s="2"/>
      <c r="I132" s="2"/>
      <c r="J132" s="2"/>
      <c r="L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68"/>
      <c r="AC132" s="2"/>
      <c r="AD132" s="2"/>
      <c r="AE132" s="2"/>
      <c r="AF132" s="2"/>
      <c r="AG132" s="2"/>
    </row>
    <row r="133" spans="1:33">
      <c r="B133" s="22"/>
      <c r="C133" s="22"/>
      <c r="D133" s="2"/>
      <c r="E133" s="2"/>
      <c r="F133" s="2"/>
      <c r="G133" s="2"/>
      <c r="H133" s="2"/>
      <c r="I133" s="2"/>
      <c r="J133" s="2"/>
      <c r="L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68"/>
      <c r="AC133" s="2"/>
      <c r="AD133" s="2"/>
      <c r="AE133" s="2"/>
      <c r="AF133" s="2"/>
      <c r="AG133" s="2"/>
    </row>
    <row r="134" spans="1:33">
      <c r="B134" s="22"/>
      <c r="C134" s="22"/>
      <c r="D134" s="2"/>
      <c r="E134" s="2"/>
      <c r="F134" s="2"/>
      <c r="G134" s="2"/>
      <c r="H134" s="2"/>
      <c r="I134" s="2"/>
      <c r="J134" s="2"/>
      <c r="L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68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2"/>
      <c r="E135" s="2"/>
      <c r="F135" s="2"/>
      <c r="G135" s="2"/>
      <c r="H135" s="2"/>
      <c r="I135" s="2"/>
      <c r="J135" s="2"/>
      <c r="L135" s="2"/>
      <c r="O135" s="2"/>
      <c r="P135" s="2"/>
      <c r="Q135" s="2"/>
      <c r="R135" s="2"/>
      <c r="S135" s="2"/>
      <c r="T135" s="2"/>
      <c r="U135" s="2"/>
      <c r="V135" s="2"/>
      <c r="W135" s="69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3"/>
      <c r="B136" s="2"/>
      <c r="C136" s="2"/>
      <c r="D136" s="2"/>
      <c r="E136" s="2"/>
      <c r="F136" s="2"/>
      <c r="H136" s="2"/>
      <c r="I136" s="2"/>
      <c r="J136" s="2"/>
      <c r="L136" s="2"/>
      <c r="W136" s="71"/>
    </row>
    <row r="137" spans="1:33">
      <c r="A137" s="2"/>
      <c r="B137" s="2"/>
      <c r="C137" s="2"/>
      <c r="D137" s="2"/>
      <c r="E137" s="2"/>
      <c r="F137" s="2"/>
      <c r="H137" s="2"/>
      <c r="I137" s="2"/>
      <c r="J137" s="2"/>
      <c r="L137" s="2"/>
      <c r="W137" s="71"/>
    </row>
    <row r="138" spans="1:33">
      <c r="A138" s="2"/>
      <c r="B138" s="2"/>
      <c r="C138" s="2"/>
      <c r="D138" s="2"/>
      <c r="E138" s="2"/>
      <c r="F138" s="2"/>
      <c r="H138" s="2"/>
      <c r="I138" s="2"/>
      <c r="J138" s="2"/>
      <c r="L138" s="2"/>
      <c r="W138" s="71"/>
    </row>
    <row r="139" spans="1:33">
      <c r="A139" s="22"/>
      <c r="B139" s="2"/>
      <c r="C139" s="2"/>
      <c r="D139" s="2"/>
      <c r="E139" s="2"/>
      <c r="F139" s="2"/>
      <c r="H139" s="2"/>
      <c r="I139" s="2"/>
      <c r="J139" s="2"/>
      <c r="L139" s="2"/>
      <c r="W139" s="71"/>
    </row>
    <row r="140" spans="1:33">
      <c r="A140" s="2"/>
      <c r="B140" s="2"/>
      <c r="C140" s="2"/>
      <c r="D140" s="2"/>
      <c r="E140" s="2"/>
      <c r="F140" s="2"/>
      <c r="H140" s="2"/>
      <c r="I140" s="2"/>
      <c r="J140" s="2"/>
      <c r="L140" s="2"/>
      <c r="W140" s="71"/>
    </row>
    <row r="141" spans="1:33">
      <c r="A141" s="2"/>
      <c r="B141" s="2"/>
      <c r="C141" s="2"/>
      <c r="D141" s="2"/>
      <c r="E141" s="2"/>
      <c r="F141" s="2"/>
      <c r="H141" s="2"/>
      <c r="I141" s="2"/>
      <c r="J141" s="2"/>
      <c r="L141" s="2"/>
    </row>
    <row r="142" spans="1:33">
      <c r="A142" s="2"/>
      <c r="B142" s="2"/>
      <c r="C142" s="2"/>
      <c r="D142" s="2"/>
      <c r="E142" s="2"/>
      <c r="F142" s="2"/>
      <c r="H142" s="2"/>
      <c r="I142" s="2"/>
      <c r="J142" s="2"/>
      <c r="L142" s="2"/>
    </row>
    <row r="143" spans="1:33">
      <c r="A143" s="2"/>
      <c r="B143" s="2"/>
      <c r="C143" s="2"/>
      <c r="D143" s="2"/>
      <c r="E143" s="2"/>
      <c r="F143" s="2"/>
      <c r="H143" s="2"/>
      <c r="I143" s="2"/>
      <c r="J143" s="2"/>
      <c r="L143" s="2"/>
      <c r="AB143" s="71"/>
    </row>
    <row r="144" spans="1:33">
      <c r="A144" s="2"/>
      <c r="B144" s="2"/>
      <c r="C144" s="2"/>
      <c r="D144" s="2"/>
      <c r="E144" s="2"/>
      <c r="F144" s="2"/>
      <c r="H144" s="2"/>
      <c r="I144" s="2"/>
      <c r="J144" s="2"/>
      <c r="L144" s="2"/>
      <c r="AB144" s="71"/>
    </row>
    <row r="145" spans="1:28">
      <c r="A145" s="2"/>
      <c r="B145" s="2"/>
      <c r="C145" s="2"/>
      <c r="D145" s="2"/>
      <c r="E145" s="2"/>
      <c r="F145" s="2"/>
      <c r="H145" s="2"/>
      <c r="I145" s="2"/>
      <c r="J145" s="2"/>
      <c r="L145" s="2"/>
      <c r="AB145" s="71"/>
    </row>
    <row r="146" spans="1:28">
      <c r="A146" s="2"/>
      <c r="B146" s="2"/>
      <c r="C146" s="2"/>
      <c r="D146" s="2"/>
      <c r="E146" s="2"/>
      <c r="F146" s="2"/>
      <c r="H146" s="2"/>
      <c r="I146" s="2"/>
      <c r="J146" s="2"/>
      <c r="L146" s="2"/>
      <c r="AB146" s="71"/>
    </row>
    <row r="147" spans="1:28">
      <c r="A147" s="2"/>
      <c r="B147" s="2"/>
      <c r="C147" s="2"/>
      <c r="D147" s="2"/>
      <c r="E147" s="2"/>
      <c r="F147" s="2"/>
      <c r="H147" s="2"/>
      <c r="I147" s="2"/>
      <c r="J147" s="2"/>
      <c r="L147" s="2"/>
      <c r="W147" s="72"/>
      <c r="AB147" s="71"/>
    </row>
    <row r="148" spans="1:28">
      <c r="A148" s="2"/>
      <c r="B148" s="2"/>
      <c r="C148" s="2"/>
      <c r="D148" s="2"/>
      <c r="E148" s="2"/>
      <c r="F148" s="2"/>
      <c r="H148" s="2"/>
      <c r="I148" s="2"/>
      <c r="J148" s="2"/>
      <c r="L148" s="2"/>
      <c r="W148" s="72"/>
      <c r="AB148" s="71"/>
    </row>
    <row r="149" spans="1:28">
      <c r="A149" s="2"/>
      <c r="B149" s="2"/>
      <c r="C149" s="2"/>
      <c r="D149" s="2"/>
      <c r="E149" s="2"/>
      <c r="F149" s="2"/>
      <c r="H149" s="2"/>
      <c r="I149" s="2"/>
      <c r="J149" s="2"/>
      <c r="L149" s="2"/>
      <c r="AB149" s="71"/>
    </row>
    <row r="150" spans="1:28">
      <c r="A150" s="2"/>
      <c r="B150" s="2"/>
      <c r="C150" s="2"/>
      <c r="D150" s="2"/>
      <c r="E150" s="2"/>
      <c r="F150" s="2"/>
      <c r="H150" s="2"/>
      <c r="I150" s="2"/>
      <c r="J150" s="2"/>
      <c r="L150" s="2"/>
      <c r="AB150" s="71"/>
    </row>
    <row r="151" spans="1:28">
      <c r="A151" s="2"/>
      <c r="B151" s="2"/>
      <c r="C151" s="2"/>
      <c r="D151" s="2"/>
      <c r="E151" s="2"/>
      <c r="F151" s="2"/>
      <c r="H151" s="2"/>
      <c r="I151" s="2"/>
      <c r="J151" s="2"/>
      <c r="L151" s="2"/>
      <c r="AB151" s="71"/>
    </row>
    <row r="152" spans="1:28">
      <c r="A152" s="2"/>
      <c r="B152" s="2"/>
      <c r="C152" s="2"/>
      <c r="D152" s="2"/>
      <c r="E152" s="2"/>
      <c r="F152" s="2"/>
      <c r="H152" s="2"/>
      <c r="I152" s="2"/>
      <c r="J152" s="2"/>
      <c r="L152" s="2"/>
    </row>
    <row r="153" spans="1:28">
      <c r="A153" s="2"/>
      <c r="B153" s="2"/>
      <c r="C153" s="2"/>
      <c r="D153" s="2"/>
      <c r="E153" s="2"/>
      <c r="F153" s="2"/>
      <c r="H153" s="2"/>
      <c r="I153" s="2"/>
      <c r="J153" s="2"/>
      <c r="L153" s="2"/>
      <c r="W153" s="72"/>
      <c r="AB153" s="71"/>
    </row>
    <row r="154" spans="1:28">
      <c r="A154" s="2"/>
      <c r="B154" s="2"/>
      <c r="C154" s="2"/>
      <c r="D154" s="2"/>
      <c r="E154" s="2"/>
      <c r="F154" s="2"/>
      <c r="H154" s="2"/>
      <c r="I154" s="2"/>
      <c r="J154" s="2"/>
      <c r="L154" s="2"/>
      <c r="W154" s="72"/>
    </row>
    <row r="155" spans="1:28">
      <c r="A155" s="2"/>
      <c r="B155" s="2"/>
      <c r="C155" s="2"/>
      <c r="D155" s="2"/>
      <c r="E155" s="2"/>
      <c r="F155" s="2"/>
      <c r="H155" s="2"/>
      <c r="I155" s="2"/>
      <c r="J155" s="2"/>
      <c r="L155" s="2"/>
    </row>
    <row r="156" spans="1:28">
      <c r="A156" s="2"/>
      <c r="B156" s="2"/>
      <c r="C156" s="2"/>
      <c r="D156" s="2"/>
      <c r="E156" s="2"/>
      <c r="F156" s="2"/>
      <c r="H156" s="2"/>
      <c r="I156" s="2"/>
      <c r="J156" s="2"/>
      <c r="L156" s="2"/>
    </row>
    <row r="157" spans="1:28">
      <c r="A157" s="2"/>
      <c r="B157" s="2"/>
      <c r="C157" s="2"/>
      <c r="D157" s="2"/>
      <c r="E157" s="2"/>
      <c r="F157" s="2"/>
      <c r="H157" s="2"/>
      <c r="I157" s="2"/>
      <c r="J157" s="2"/>
      <c r="L157" s="2"/>
      <c r="AB157" s="71"/>
    </row>
    <row r="158" spans="1:28">
      <c r="A158" s="2"/>
      <c r="B158" s="2"/>
      <c r="C158" s="2"/>
      <c r="D158" s="2"/>
      <c r="E158" s="2"/>
      <c r="F158" s="2"/>
      <c r="H158" s="2"/>
      <c r="I158" s="2"/>
      <c r="J158" s="2"/>
      <c r="L158" s="2"/>
      <c r="AB158" s="71"/>
    </row>
    <row r="159" spans="1:28">
      <c r="A159" s="2"/>
      <c r="B159" s="2"/>
      <c r="C159" s="2"/>
      <c r="D159" s="2"/>
      <c r="E159" s="2"/>
      <c r="F159" s="2"/>
      <c r="H159" s="2"/>
      <c r="I159" s="2"/>
      <c r="J159" s="2"/>
      <c r="L159" s="2"/>
      <c r="W159" s="72"/>
      <c r="AB159" s="71"/>
    </row>
    <row r="160" spans="1:28">
      <c r="A160" s="2"/>
      <c r="B160" s="2"/>
      <c r="C160" s="2"/>
      <c r="D160" s="2"/>
      <c r="E160" s="2"/>
      <c r="F160" s="2"/>
      <c r="H160" s="2"/>
      <c r="I160" s="2"/>
      <c r="J160" s="2"/>
      <c r="L160" s="2"/>
      <c r="W160" s="72"/>
      <c r="AB160" s="71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</row>
    <row r="167" spans="1:28">
      <c r="AB167" s="71"/>
    </row>
    <row r="168" spans="1:28">
      <c r="AB168" s="71"/>
    </row>
    <row r="169" spans="1:28">
      <c r="AB169" s="71"/>
    </row>
    <row r="170" spans="1:28">
      <c r="AB170" s="71"/>
    </row>
    <row r="171" spans="1:28">
      <c r="W171" s="72"/>
      <c r="AB171" s="71"/>
    </row>
    <row r="172" spans="1:28">
      <c r="W172" s="72"/>
      <c r="AB172" s="71"/>
    </row>
    <row r="173" spans="1:28">
      <c r="W173" s="72"/>
    </row>
    <row r="175" spans="1:28">
      <c r="AB175" s="71"/>
    </row>
    <row r="176" spans="1:28">
      <c r="AB176" s="71"/>
    </row>
    <row r="177" spans="23:28">
      <c r="AB177" s="71"/>
    </row>
    <row r="178" spans="23:28">
      <c r="AB178" s="71"/>
    </row>
    <row r="179" spans="23:28">
      <c r="AB179" s="71"/>
    </row>
    <row r="180" spans="23:28">
      <c r="W180" s="72"/>
      <c r="AB180" s="71"/>
    </row>
    <row r="181" spans="23:28">
      <c r="W181" s="72"/>
    </row>
    <row r="182" spans="23:28">
      <c r="W182" s="72"/>
    </row>
    <row r="189" spans="23:28">
      <c r="W189" s="72"/>
    </row>
    <row r="190" spans="23:28">
      <c r="W190" s="72"/>
    </row>
    <row r="191" spans="23:28">
      <c r="W191" s="72"/>
    </row>
    <row r="201" spans="23:23">
      <c r="W201" s="72"/>
    </row>
    <row r="202" spans="23:23">
      <c r="W202" s="72"/>
    </row>
    <row r="203" spans="23:23">
      <c r="W203" s="72"/>
    </row>
    <row r="210" spans="23:23">
      <c r="W210" s="72"/>
    </row>
    <row r="211" spans="23:23">
      <c r="W211" s="72"/>
    </row>
    <row r="212" spans="23:23">
      <c r="W212" s="72"/>
    </row>
    <row r="219" spans="23:23">
      <c r="W219" s="72"/>
    </row>
    <row r="220" spans="23:23">
      <c r="W220" s="72"/>
    </row>
    <row r="221" spans="23:23">
      <c r="W221" s="72"/>
    </row>
    <row r="231" spans="23:23">
      <c r="W231" s="72"/>
    </row>
    <row r="232" spans="23:23">
      <c r="W232" s="72"/>
    </row>
    <row r="233" spans="23:23">
      <c r="W233" s="72"/>
    </row>
    <row r="240" spans="23:23">
      <c r="W240" s="72"/>
    </row>
    <row r="241" spans="23:23">
      <c r="W241" s="72"/>
    </row>
    <row r="242" spans="23:23">
      <c r="W242" s="72"/>
    </row>
    <row r="249" spans="23:23">
      <c r="W249" s="72"/>
    </row>
    <row r="250" spans="23:23">
      <c r="W250" s="72"/>
    </row>
    <row r="251" spans="23:23">
      <c r="W251" s="72"/>
    </row>
  </sheetData>
  <sheetProtection sheet="1" objects="1" scenarios="1"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19" val="1" numFmtId="9"/>
      <inputCells r="E20" val="1" numFmtId="9"/>
      <inputCells r="E21" val="1" numFmtId="9"/>
      <inputCells r="E32" val="1" numFmtId="9"/>
      <inputCells r="E36" val="1" numFmtId="9"/>
      <inputCells r="E37" val="1" numFmtId="9"/>
      <inputCells r="E38" val="1" numFmtId="9"/>
      <inputCells r="E51" val="1" numFmtId="9"/>
      <inputCells r="F30" val="1" numFmtId="9"/>
      <inputCells r="F31" val="2" numFmtId="9"/>
      <inputCells r="F32" val="1.25" numFmtId="9"/>
      <inputCells r="F36" val="1" numFmtId="9"/>
      <inputCells r="F37" val="0.4" numFmtId="9"/>
      <inputCells r="F38" val="1" numFmtId="9"/>
      <inputCells r="F51" val="1" numFmtId="9"/>
      <inputCells r="F29" val="2.5" numFmtId="9"/>
      <inputCells r="G29" val="2" numFmtId="9"/>
      <inputCells r="F57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19" val="1" numFmtId="9"/>
      <inputCells r="E20" val="1" numFmtId="9"/>
      <inputCells r="E21" val="1" numFmtId="9"/>
      <inputCells r="E32" val="1" numFmtId="9"/>
      <inputCells r="E36" val="1" numFmtId="9"/>
      <inputCells r="E37" val="1" numFmtId="9"/>
      <inputCells r="E38" val="1" numFmtId="9"/>
      <inputCells r="E51" val="1" numFmtId="9"/>
      <inputCells r="F29" val="1" numFmtId="9"/>
      <inputCells r="F30" val="1" numFmtId="9"/>
      <inputCells r="F31" val="1" numFmtId="9"/>
      <inputCells r="F32" val="1" numFmtId="9"/>
      <inputCells r="F36" val="1" numFmtId="9"/>
      <inputCells r="F37" val="1" numFmtId="9"/>
      <inputCells r="F38" val="1" numFmtId="9"/>
      <inputCells r="F51" val="1" numFmtId="9"/>
      <inputCells r="G29" val="1" numFmtId="9"/>
      <inputCells r="F57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1" priority="113" operator="equal">
      <formula>16</formula>
    </cfRule>
    <cfRule type="cellIs" dxfId="190" priority="114" operator="equal">
      <formula>15</formula>
    </cfRule>
    <cfRule type="cellIs" dxfId="189" priority="115" operator="equal">
      <formula>14</formula>
    </cfRule>
    <cfRule type="cellIs" dxfId="188" priority="116" operator="equal">
      <formula>13</formula>
    </cfRule>
    <cfRule type="cellIs" dxfId="187" priority="117" operator="equal">
      <formula>12</formula>
    </cfRule>
    <cfRule type="cellIs" dxfId="186" priority="118" operator="equal">
      <formula>11</formula>
    </cfRule>
    <cfRule type="cellIs" dxfId="185" priority="119" operator="equal">
      <formula>10</formula>
    </cfRule>
    <cfRule type="cellIs" dxfId="184" priority="120" operator="equal">
      <formula>9</formula>
    </cfRule>
    <cfRule type="cellIs" dxfId="183" priority="121" operator="equal">
      <formula>8</formula>
    </cfRule>
    <cfRule type="cellIs" dxfId="182" priority="122" operator="equal">
      <formula>7</formula>
    </cfRule>
    <cfRule type="cellIs" dxfId="181" priority="123" operator="equal">
      <formula>6</formula>
    </cfRule>
    <cfRule type="cellIs" dxfId="180" priority="124" operator="equal">
      <formula>5</formula>
    </cfRule>
    <cfRule type="cellIs" dxfId="179" priority="125" operator="equal">
      <formula>4</formula>
    </cfRule>
    <cfRule type="cellIs" dxfId="178" priority="126" operator="equal">
      <formula>3</formula>
    </cfRule>
    <cfRule type="cellIs" dxfId="177" priority="127" operator="equal">
      <formula>2</formula>
    </cfRule>
    <cfRule type="cellIs" dxfId="176" priority="128" operator="equal">
      <formula>1</formula>
    </cfRule>
  </conditionalFormatting>
  <conditionalFormatting sqref="N21">
    <cfRule type="cellIs" dxfId="175" priority="97" operator="equal">
      <formula>16</formula>
    </cfRule>
    <cfRule type="cellIs" dxfId="174" priority="98" operator="equal">
      <formula>15</formula>
    </cfRule>
    <cfRule type="cellIs" dxfId="173" priority="99" operator="equal">
      <formula>14</formula>
    </cfRule>
    <cfRule type="cellIs" dxfId="172" priority="100" operator="equal">
      <formula>13</formula>
    </cfRule>
    <cfRule type="cellIs" dxfId="171" priority="101" operator="equal">
      <formula>12</formula>
    </cfRule>
    <cfRule type="cellIs" dxfId="170" priority="102" operator="equal">
      <formula>11</formula>
    </cfRule>
    <cfRule type="cellIs" dxfId="169" priority="103" operator="equal">
      <formula>10</formula>
    </cfRule>
    <cfRule type="cellIs" dxfId="168" priority="104" operator="equal">
      <formula>9</formula>
    </cfRule>
    <cfRule type="cellIs" dxfId="167" priority="105" operator="equal">
      <formula>8</formula>
    </cfRule>
    <cfRule type="cellIs" dxfId="166" priority="106" operator="equal">
      <formula>7</formula>
    </cfRule>
    <cfRule type="cellIs" dxfId="165" priority="107" operator="equal">
      <formula>6</formula>
    </cfRule>
    <cfRule type="cellIs" dxfId="164" priority="108" operator="equal">
      <formula>5</formula>
    </cfRule>
    <cfRule type="cellIs" dxfId="163" priority="109" operator="equal">
      <formula>4</formula>
    </cfRule>
    <cfRule type="cellIs" dxfId="162" priority="110" operator="equal">
      <formula>3</formula>
    </cfRule>
    <cfRule type="cellIs" dxfId="161" priority="111" operator="equal">
      <formula>2</formula>
    </cfRule>
    <cfRule type="cellIs" dxfId="160" priority="112" operator="equal">
      <formula>1</formula>
    </cfRule>
  </conditionalFormatting>
  <conditionalFormatting sqref="N95:N100">
    <cfRule type="cellIs" dxfId="159" priority="49" operator="equal">
      <formula>16</formula>
    </cfRule>
    <cfRule type="cellIs" dxfId="158" priority="50" operator="equal">
      <formula>15</formula>
    </cfRule>
    <cfRule type="cellIs" dxfId="157" priority="51" operator="equal">
      <formula>14</formula>
    </cfRule>
    <cfRule type="cellIs" dxfId="156" priority="52" operator="equal">
      <formula>13</formula>
    </cfRule>
    <cfRule type="cellIs" dxfId="155" priority="53" operator="equal">
      <formula>12</formula>
    </cfRule>
    <cfRule type="cellIs" dxfId="154" priority="54" operator="equal">
      <formula>11</formula>
    </cfRule>
    <cfRule type="cellIs" dxfId="153" priority="55" operator="equal">
      <formula>10</formula>
    </cfRule>
    <cfRule type="cellIs" dxfId="152" priority="56" operator="equal">
      <formula>9</formula>
    </cfRule>
    <cfRule type="cellIs" dxfId="151" priority="57" operator="equal">
      <formula>8</formula>
    </cfRule>
    <cfRule type="cellIs" dxfId="150" priority="58" operator="equal">
      <formula>7</formula>
    </cfRule>
    <cfRule type="cellIs" dxfId="149" priority="59" operator="equal">
      <formula>6</formula>
    </cfRule>
    <cfRule type="cellIs" dxfId="148" priority="60" operator="equal">
      <formula>5</formula>
    </cfRule>
    <cfRule type="cellIs" dxfId="147" priority="61" operator="equal">
      <formula>4</formula>
    </cfRule>
    <cfRule type="cellIs" dxfId="146" priority="62" operator="equal">
      <formula>3</formula>
    </cfRule>
    <cfRule type="cellIs" dxfId="145" priority="63" operator="equal">
      <formula>2</formula>
    </cfRule>
    <cfRule type="cellIs" dxfId="144" priority="64" operator="equal">
      <formula>1</formula>
    </cfRule>
  </conditionalFormatting>
  <conditionalFormatting sqref="N6:N20">
    <cfRule type="cellIs" dxfId="143" priority="33" operator="equal">
      <formula>16</formula>
    </cfRule>
    <cfRule type="cellIs" dxfId="142" priority="34" operator="equal">
      <formula>15</formula>
    </cfRule>
    <cfRule type="cellIs" dxfId="141" priority="35" operator="equal">
      <formula>14</formula>
    </cfRule>
    <cfRule type="cellIs" dxfId="140" priority="36" operator="equal">
      <formula>13</formula>
    </cfRule>
    <cfRule type="cellIs" dxfId="139" priority="37" operator="equal">
      <formula>12</formula>
    </cfRule>
    <cfRule type="cellIs" dxfId="138" priority="38" operator="equal">
      <formula>11</formula>
    </cfRule>
    <cfRule type="cellIs" dxfId="137" priority="39" operator="equal">
      <formula>10</formula>
    </cfRule>
    <cfRule type="cellIs" dxfId="136" priority="40" operator="equal">
      <formula>9</formula>
    </cfRule>
    <cfRule type="cellIs" dxfId="135" priority="41" operator="equal">
      <formula>8</formula>
    </cfRule>
    <cfRule type="cellIs" dxfId="134" priority="42" operator="equal">
      <formula>7</formula>
    </cfRule>
    <cfRule type="cellIs" dxfId="133" priority="43" operator="equal">
      <formula>6</formula>
    </cfRule>
    <cfRule type="cellIs" dxfId="132" priority="44" operator="equal">
      <formula>5</formula>
    </cfRule>
    <cfRule type="cellIs" dxfId="131" priority="45" operator="equal">
      <formula>4</formula>
    </cfRule>
    <cfRule type="cellIs" dxfId="130" priority="46" operator="equal">
      <formula>3</formula>
    </cfRule>
    <cfRule type="cellIs" dxfId="129" priority="47" operator="equal">
      <formula>2</formula>
    </cfRule>
    <cfRule type="cellIs" dxfId="128" priority="48" operator="equal">
      <formula>1</formula>
    </cfRule>
  </conditionalFormatting>
  <conditionalFormatting sqref="N78:N91">
    <cfRule type="cellIs" dxfId="127" priority="17" operator="equal">
      <formula>16</formula>
    </cfRule>
    <cfRule type="cellIs" dxfId="126" priority="18" operator="equal">
      <formula>15</formula>
    </cfRule>
    <cfRule type="cellIs" dxfId="125" priority="19" operator="equal">
      <formula>14</formula>
    </cfRule>
    <cfRule type="cellIs" dxfId="124" priority="20" operator="equal">
      <formula>13</formula>
    </cfRule>
    <cfRule type="cellIs" dxfId="123" priority="21" operator="equal">
      <formula>12</formula>
    </cfRule>
    <cfRule type="cellIs" dxfId="122" priority="22" operator="equal">
      <formula>11</formula>
    </cfRule>
    <cfRule type="cellIs" dxfId="121" priority="23" operator="equal">
      <formula>10</formula>
    </cfRule>
    <cfRule type="cellIs" dxfId="120" priority="24" operator="equal">
      <formula>9</formula>
    </cfRule>
    <cfRule type="cellIs" dxfId="119" priority="25" operator="equal">
      <formula>8</formula>
    </cfRule>
    <cfRule type="cellIs" dxfId="118" priority="26" operator="equal">
      <formula>7</formula>
    </cfRule>
    <cfRule type="cellIs" dxfId="117" priority="27" operator="equal">
      <formula>6</formula>
    </cfRule>
    <cfRule type="cellIs" dxfId="116" priority="28" operator="equal">
      <formula>5</formula>
    </cfRule>
    <cfRule type="cellIs" dxfId="115" priority="29" operator="equal">
      <formula>4</formula>
    </cfRule>
    <cfRule type="cellIs" dxfId="114" priority="30" operator="equal">
      <formula>3</formula>
    </cfRule>
    <cfRule type="cellIs" dxfId="113" priority="31" operator="equal">
      <formula>2</formula>
    </cfRule>
    <cfRule type="cellIs" dxfId="112" priority="32" operator="equal">
      <formula>1</formula>
    </cfRule>
  </conditionalFormatting>
  <conditionalFormatting sqref="N92:N94">
    <cfRule type="cellIs" dxfId="111" priority="1" operator="equal">
      <formula>16</formula>
    </cfRule>
    <cfRule type="cellIs" dxfId="110" priority="2" operator="equal">
      <formula>15</formula>
    </cfRule>
    <cfRule type="cellIs" dxfId="109" priority="3" operator="equal">
      <formula>14</formula>
    </cfRule>
    <cfRule type="cellIs" dxfId="108" priority="4" operator="equal">
      <formula>13</formula>
    </cfRule>
    <cfRule type="cellIs" dxfId="107" priority="5" operator="equal">
      <formula>12</formula>
    </cfRule>
    <cfRule type="cellIs" dxfId="106" priority="6" operator="equal">
      <formula>11</formula>
    </cfRule>
    <cfRule type="cellIs" dxfId="105" priority="7" operator="equal">
      <formula>10</formula>
    </cfRule>
    <cfRule type="cellIs" dxfId="104" priority="8" operator="equal">
      <formula>9</formula>
    </cfRule>
    <cfRule type="cellIs" dxfId="103" priority="9" operator="equal">
      <formula>8</formula>
    </cfRule>
    <cfRule type="cellIs" dxfId="102" priority="10" operator="equal">
      <formula>7</formula>
    </cfRule>
    <cfRule type="cellIs" dxfId="101" priority="11" operator="equal">
      <formula>6</formula>
    </cfRule>
    <cfRule type="cellIs" dxfId="100" priority="12" operator="equal">
      <formula>5</formula>
    </cfRule>
    <cfRule type="cellIs" dxfId="99" priority="13" operator="equal">
      <formula>4</formula>
    </cfRule>
    <cfRule type="cellIs" dxfId="98" priority="14" operator="equal">
      <formula>3</formula>
    </cfRule>
    <cfRule type="cellIs" dxfId="97" priority="15" operator="equal">
      <formula>2</formula>
    </cfRule>
    <cfRule type="cellIs" dxfId="9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51"/>
  <sheetViews>
    <sheetView showGridLines="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E40" sqref="E4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1"/>
      <c r="X1" s="115" t="s">
        <v>67</v>
      </c>
      <c r="Y1" s="116" t="s">
        <v>58</v>
      </c>
      <c r="Z1" s="182" t="str">
        <f>Poor!Z1</f>
        <v>Apr-Jun</v>
      </c>
      <c r="AA1" s="183"/>
      <c r="AB1" s="182" t="str">
        <f>Poor!AB1</f>
        <v>Jul-Sep</v>
      </c>
      <c r="AC1" s="183"/>
      <c r="AD1" s="182" t="str">
        <f>Poor!AD1</f>
        <v>Oct-Dec</v>
      </c>
      <c r="AE1" s="183"/>
      <c r="AF1" s="182" t="str">
        <f>Poor!AF1</f>
        <v>Jan-Mar</v>
      </c>
      <c r="AG1" s="183"/>
      <c r="AH1" s="118"/>
      <c r="AI1" s="111"/>
      <c r="AJ1" s="182" t="str">
        <f>LEFT(Z1,4) &amp; MID(AB1,5,3)</f>
        <v>Apr-Sep</v>
      </c>
      <c r="AK1" s="183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1"/>
      <c r="X2" s="119" t="s">
        <v>59</v>
      </c>
      <c r="Y2" s="116" t="s">
        <v>60</v>
      </c>
      <c r="Z2" s="247" t="str">
        <f>Poor!Z2</f>
        <v>Q1</v>
      </c>
      <c r="AA2" s="248"/>
      <c r="AB2" s="247" t="str">
        <f>Poor!AB2</f>
        <v>Q2</v>
      </c>
      <c r="AC2" s="248"/>
      <c r="AD2" s="247" t="str">
        <f>Poor!AD2</f>
        <v>Q3</v>
      </c>
      <c r="AE2" s="248"/>
      <c r="AF2" s="247" t="str">
        <f>Poor!AF2</f>
        <v>Q4</v>
      </c>
      <c r="AG2" s="248"/>
      <c r="AH2" s="118"/>
      <c r="AI2" s="111"/>
      <c r="AJ2" s="199" t="str">
        <f>Poor!AJ2</f>
        <v>H1</v>
      </c>
      <c r="AK2" s="200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1"/>
      <c r="X3" s="119"/>
      <c r="Y3" s="116" t="s">
        <v>61</v>
      </c>
      <c r="Z3" s="121"/>
      <c r="AA3" s="120"/>
      <c r="AB3" s="121"/>
      <c r="AC3" s="120"/>
      <c r="AD3" s="121"/>
      <c r="AE3" s="120"/>
      <c r="AF3" s="121"/>
      <c r="AG3" s="120"/>
      <c r="AH3" s="118"/>
      <c r="AI3" s="111"/>
      <c r="AJ3" s="121"/>
      <c r="AK3" s="120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1"/>
      <c r="X4" s="119"/>
      <c r="Y4" s="116" t="s">
        <v>62</v>
      </c>
      <c r="Z4" s="121"/>
      <c r="AA4" s="120"/>
      <c r="AB4" s="121"/>
      <c r="AC4" s="120"/>
      <c r="AD4" s="121"/>
      <c r="AE4" s="120"/>
      <c r="AF4" s="121"/>
      <c r="AG4" s="120"/>
      <c r="AH4" s="118"/>
      <c r="AI4" s="111"/>
      <c r="AJ4" s="121"/>
      <c r="AK4" s="120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1"/>
      <c r="X5" s="119"/>
      <c r="Y5" s="116"/>
      <c r="Z5" s="121"/>
      <c r="AA5" s="120"/>
      <c r="AB5" s="121"/>
      <c r="AC5" s="120"/>
      <c r="AD5" s="121"/>
      <c r="AE5" s="120"/>
      <c r="AF5" s="121"/>
      <c r="AG5" s="120"/>
      <c r="AH5" s="118"/>
      <c r="AI5" s="111"/>
      <c r="AJ5" s="121"/>
      <c r="AK5" s="120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2">
        <f>IF([1]Summ!$J1044="",0,[1]Summ!$J1044)</f>
        <v>4.0049813200498136E-2</v>
      </c>
      <c r="C6" s="103">
        <f>IF([1]Summ!$K1044="",0,[1]Summ!$K1044)</f>
        <v>0</v>
      </c>
      <c r="D6" s="24">
        <f t="shared" ref="D6:D21" si="0">(B6+C6)</f>
        <v>4.0049813200498136E-2</v>
      </c>
      <c r="E6" s="75">
        <f>Middle!E6</f>
        <v>1</v>
      </c>
      <c r="F6" s="2" t="s">
        <v>21</v>
      </c>
      <c r="H6" s="24">
        <f t="shared" ref="H6:H21" si="1">(E6*F$7/F$9)</f>
        <v>1</v>
      </c>
      <c r="I6" s="22">
        <f t="shared" ref="I6:I21" si="2">(D6*H6)</f>
        <v>4.0049813200498136E-2</v>
      </c>
      <c r="J6" s="24">
        <f t="shared" ref="J6:J13" si="3">IF(I$24&lt;=1+I$113,I6,B6*H6+J$25*(I6-B6*H6))</f>
        <v>4.0049813200498136E-2</v>
      </c>
      <c r="K6" s="22">
        <f t="shared" ref="K6:K23" si="4">B6</f>
        <v>4.0049813200498136E-2</v>
      </c>
      <c r="L6" s="22">
        <f t="shared" ref="L6:L21" si="5">IF(K6="","",K6*H6)</f>
        <v>4.0049813200498136E-2</v>
      </c>
      <c r="M6" s="178">
        <f t="shared" ref="M6:M23" si="6">J6</f>
        <v>4.0049813200498136E-2</v>
      </c>
      <c r="N6" s="235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6"/>
      <c r="X6" s="119"/>
      <c r="Y6" s="185">
        <f>M6*4</f>
        <v>0.16019925280199254</v>
      </c>
      <c r="Z6" s="157">
        <f>Poor!Z6</f>
        <v>0.17</v>
      </c>
      <c r="AA6" s="122">
        <f>$M6*Z6*4</f>
        <v>2.7233872976338735E-2</v>
      </c>
      <c r="AB6" s="157">
        <f>Poor!AB6</f>
        <v>0.17</v>
      </c>
      <c r="AC6" s="122">
        <f t="shared" ref="AC6:AC21" si="7">$M6*AB6*4</f>
        <v>2.7233872976338735E-2</v>
      </c>
      <c r="AD6" s="157">
        <f>Poor!AD6</f>
        <v>0.33</v>
      </c>
      <c r="AE6" s="122">
        <f t="shared" ref="AE6:AE21" si="8">$M6*AD6*4</f>
        <v>5.286575342465754E-2</v>
      </c>
      <c r="AF6" s="123">
        <f>1-SUM(Z6,AB6,AD6)</f>
        <v>0.32999999999999996</v>
      </c>
      <c r="AG6" s="122">
        <f>$M6*AF6*4</f>
        <v>5.2865753424657533E-2</v>
      </c>
      <c r="AH6" s="124">
        <f>SUM(Z6,AB6,AD6,AF6)</f>
        <v>1</v>
      </c>
      <c r="AI6" s="185">
        <f>SUM(AA6,AC6,AE6,AG6)/4</f>
        <v>4.0049813200498136E-2</v>
      </c>
      <c r="AJ6" s="121">
        <f>(AA6+AC6)/2</f>
        <v>2.7233872976338735E-2</v>
      </c>
      <c r="AK6" s="120">
        <f>(AE6+AG6)/2</f>
        <v>5.2865753424657533E-2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2">
        <f>IF([1]Summ!$J1045="",0,[1]Summ!$J1045)</f>
        <v>3.1153362391033626E-2</v>
      </c>
      <c r="C7" s="103">
        <f>IF([1]Summ!$K1045="",0,[1]Summ!$K1045)</f>
        <v>0</v>
      </c>
      <c r="D7" s="24">
        <f t="shared" si="0"/>
        <v>3.1153362391033626E-2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3.1153362391033626E-2</v>
      </c>
      <c r="J7" s="24">
        <f t="shared" si="3"/>
        <v>3.1153362391033626E-2</v>
      </c>
      <c r="K7" s="22">
        <f t="shared" si="4"/>
        <v>3.1153362391033626E-2</v>
      </c>
      <c r="L7" s="22">
        <f t="shared" si="5"/>
        <v>3.1153362391033626E-2</v>
      </c>
      <c r="M7" s="178">
        <f t="shared" si="6"/>
        <v>3.1153362391033626E-2</v>
      </c>
      <c r="N7" s="235">
        <v>3</v>
      </c>
      <c r="O7" s="2"/>
      <c r="P7" s="22"/>
      <c r="Q7" s="59" t="s">
        <v>71</v>
      </c>
      <c r="R7" s="228">
        <f>IF($B$68=0,0,(SUMIF($N$6:$N$20,$U7,K$6:K$20)+SUMIF($N$78:$N$100,$U7,K$78:K$100))*$I$70*Poor!$B$68/$B$68)</f>
        <v>4088.2475138121531</v>
      </c>
      <c r="S7" s="228">
        <f>IF($B$68=0,0,(SUMIF($N$6:$N$20,$U7,L$6:L$20)+SUMIF($N$78:$N$100,$U7,L$78:L$100))*$I$70*Poor!$B$68/$B$68)</f>
        <v>4088.2475138121531</v>
      </c>
      <c r="T7" s="228">
        <f>IF($B$68=0,0,(SUMIF($N$6:$N$20,$U7,M$6:M$20)+SUMIF($N$78:$N$100,$U7,M$78:M$100))*$I$70*Poor!$B$68/$B$68)</f>
        <v>4072.0926399923628</v>
      </c>
      <c r="U7" s="229">
        <v>1</v>
      </c>
      <c r="V7" s="56"/>
      <c r="W7" s="116"/>
      <c r="X7" s="119">
        <f>Poor!X7</f>
        <v>4</v>
      </c>
      <c r="Y7" s="185">
        <f t="shared" ref="Y7:Y21" si="9">M7*4</f>
        <v>0.1246134495641345</v>
      </c>
      <c r="Z7" s="126">
        <f>IF($Y7=0,0,AA7/$Y7)</f>
        <v>0</v>
      </c>
      <c r="AA7" s="122">
        <f>IF($X7=1,IF(SUM(AA$6,AA$12:AA$21)&lt;1,IF((1-SUM(AA$6,AA$12:AA$21))*$M7/SUM($M$7*IF($X$7=1,1,0),$M$8*IF($X$8=1,1,0),$M$9*IF($X$9=1,1,0),$M$10*IF($X$10=1,1,0),$M$11*IF($X$11=1,1,0))&lt;Y7,(1-SUM(AA$6,AA$12:AA$21))*$M7/SUM($M$7*IF($X$7=1,1,0),$M$8*IF($X$8=1,1,0),$M$9*IF($X$9=1,1,0),$M$10*IF($X$10=1,1,0),$M$11*IF($X$11=1,1,0)),Y7),0),0)</f>
        <v>0</v>
      </c>
      <c r="AB7" s="126">
        <f>IF($Y7=0,0,AC7/$Y7)</f>
        <v>0</v>
      </c>
      <c r="AC7" s="122">
        <f>IF($X7&lt;3,IF(SUM(AC$6,AC$12:AC$21)&lt;1,IF(SUM(AC$6,AC$12:AC$21)+SUM((Y$7-AA$7)*IF($X$7&lt;3,1,0),(Y$8-AA$8)*IF($X$8&lt;3,1,0),(Y$9-AA$9)*IF($X$9&lt;3,1,0),(Y$10-AA$10)*IF($X$10&lt;3,1,0),(Y$11-AA$11)*IF($X$11&lt;3,1,0))&lt;1,Y7-AA7,IF((1-SUM(AC$6,AC$12:AC$21))*$M7/SUM($M$7*IF($X$7&lt;3,1,0),$M$8*IF($X$8&lt;3,1,0),$M$9*IF($X$9&lt;3,1,0),$M$10*IF($X$10&lt;3,1,0),$M$11*IF($X$11&lt;3,1,0))&lt;Y7-AA7,(1-SUM(AC$6,AC$12:AC$21))*$M7/SUM($M$7*IF($X$7&lt;3,1,0),$M$8*IF($X$8&lt;3,1,0),$M$9*IF($X$9&lt;3,1,0),$M$10*IF($X$10&lt;3,1,0),$M$11*IF($X$11&lt;3,1,0)),Y7-AA7)),0),0)</f>
        <v>0</v>
      </c>
      <c r="AD7" s="126">
        <f>IF($Y7=0,0,AE7/$Y7)</f>
        <v>0</v>
      </c>
      <c r="AE7" s="122">
        <f>IF($X7&lt;4,IF(SUM(AE$6:AE$6,AE$12:AE$21)&lt;1,IF(SUM(AE$6:AE$6,AE$12:AE$21)+SUM((Y$7-AA$7-AC$7)*IF($X$7&lt;3,1,0),(Y$8-AA$8-AC$8)*IF($X$8&lt;3,1,0),(Y$9-AA$9-AC$9)*IF($X$9&lt;3,1,0),(Y$10-AA$10-AC$10)*IF($X$10&lt;3,1,0),(Y$11-AA$11-AC$11)*IF($X$11&lt;3,1,0))&lt;1,Y7-AA7-AC7,IF((1-SUM(AE$6:AE$6,AE$12:AE$21))*$M7/SUM($M$7*IF($X$7&lt;4,1,0),$M$8*IF($X$8&lt;4,1,0),$M$9*IF($X$9&lt;4,1,0),$M$10*IF($X$10&lt;4,1,0),$M$11*IF($X$11&lt;4,1,0))&lt;Y7-AA7-AC7,(1-SUM(AE$6:AE$6,AE$12:AE$21))*$M7/SUM($M$7*IF($X$7&lt;4,1,0),$M$8*IF($X$8&lt;4,1,0),$M$9*IF($X$9&lt;4,1,0),$M$10*IF($X$10&lt;4,1,0),$M$11*IF($X$11&lt;4,1,0)),Y7-AA7-AC7)),0),0)</f>
        <v>0</v>
      </c>
      <c r="AF7" s="123">
        <f t="shared" ref="AF7:AF21" si="10">1-SUM(Z7,AB7,AD7)</f>
        <v>1</v>
      </c>
      <c r="AG7" s="122">
        <f t="shared" ref="AG7:AG21" si="11">$M7*AF7*4</f>
        <v>0.1246134495641345</v>
      </c>
      <c r="AH7" s="124">
        <f t="shared" ref="AH7:AH22" si="12">SUM(Z7,AB7,AD7,AF7)</f>
        <v>1</v>
      </c>
      <c r="AI7" s="185">
        <f t="shared" ref="AI7:AI22" si="13">SUM(AA7,AC7,AE7,AG7)/4</f>
        <v>3.1153362391033626E-2</v>
      </c>
      <c r="AJ7" s="121">
        <f t="shared" ref="AJ7:AJ23" si="14">(AA7+AC7)/2</f>
        <v>0</v>
      </c>
      <c r="AK7" s="120">
        <f t="shared" ref="AK7:AK23" si="15">(AE7+AG7)/2</f>
        <v>6.2306724782067252E-2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2">
        <f>IF([1]Summ!$J1046="",0,[1]Summ!$J1046)</f>
        <v>0.52994564383561638</v>
      </c>
      <c r="C8" s="103">
        <f>IF([1]Summ!$K1046="",0,[1]Summ!$K1046)</f>
        <v>2.3658287671232876</v>
      </c>
      <c r="D8" s="24">
        <f t="shared" si="0"/>
        <v>2.8957744109589041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2.8957744109589041</v>
      </c>
      <c r="J8" s="24">
        <f t="shared" si="3"/>
        <v>0.52767693092620027</v>
      </c>
      <c r="K8" s="22">
        <f t="shared" si="4"/>
        <v>0.52994564383561638</v>
      </c>
      <c r="L8" s="22">
        <f t="shared" si="5"/>
        <v>0.52994564383561638</v>
      </c>
      <c r="M8" s="230">
        <f t="shared" si="6"/>
        <v>0.52767693092620027</v>
      </c>
      <c r="N8" s="235">
        <v>1</v>
      </c>
      <c r="O8" s="2"/>
      <c r="P8" s="22"/>
      <c r="Q8" s="59" t="s">
        <v>72</v>
      </c>
      <c r="R8" s="228">
        <f>IF($B$68=0,0,(SUMIF($N$6:$N$20,$U8,K$6:K$20)+SUMIF($N$78:$N$100,$U8,K$78:K$100))*$I$70*Poor!$B$68/$B$68)</f>
        <v>11020.8</v>
      </c>
      <c r="S8" s="228">
        <f>IF($B$68=0,0,(SUMIF($N$6:$N$20,$U8,L$6:L$20)+SUMIF($N$78:$N$100,$U8,L$78:L$100))*$I$70*Poor!$B$68/$B$68)</f>
        <v>10168.799999999999</v>
      </c>
      <c r="T8" s="228">
        <f>IF($B$68=0,0,(SUMIF($N$6:$N$20,$U8,M$6:M$20)+SUMIF($N$78:$N$100,$U8,M$78:M$100))*$I$70*Poor!$B$68/$B$68)</f>
        <v>10177.251039824161</v>
      </c>
      <c r="U8" s="229">
        <v>2</v>
      </c>
      <c r="V8" s="56"/>
      <c r="W8" s="116"/>
      <c r="X8" s="119">
        <f>Poor!X8</f>
        <v>1</v>
      </c>
      <c r="Y8" s="185">
        <f t="shared" si="9"/>
        <v>2.1107077237048011</v>
      </c>
      <c r="Z8" s="126">
        <f>IF($Y8=0,0,AA8/$Y8)</f>
        <v>0.27194407723138175</v>
      </c>
      <c r="AA8" s="122">
        <f>IF($X8=1,IF(SUM(AA$6,AA$12:AA$21)&lt;1,IF((1-SUM(AA$6,AA$12:AA$21))*$M8/SUM($M$7*IF($X$7=1,1,0),$M$8*IF($X$8=1,1,0),$M$9*IF($X$9=1,1,0),$M$10*IF($X$10=1,1,0),$M$11*IF($X$11=1,1,0))&lt;Y8,(1-SUM(AA$6,AA$12:AA$21))*$M8/SUM($M$7*IF($X$7=1,1,0),$M$8*IF($X$8=1,1,0),$M$9*IF($X$9=1,1,0),$M$10*IF($X$10=1,1,0),$M$11*IF($X$11=1,1,0)),Y8),0),0)</f>
        <v>0.57399446422805245</v>
      </c>
      <c r="AB8" s="126">
        <f>IF($Y8=0,0,AC8/$Y8)</f>
        <v>0.27194407723138175</v>
      </c>
      <c r="AC8" s="122">
        <f>IF($X8&lt;3,IF(SUM(AC$6,AC$12:AC$21)&lt;1,IF(SUM(AC$6,AC$12:AC$21)+SUM((Y$7-AA$7)*IF($X$7&lt;3,1,0),(Y$8-AA$8)*IF($X$8&lt;3,1,0),(Y$9-AA$9)*IF($X$9&lt;3,1,0),(Y$10-AA$10)*IF($X$10&lt;3,1,0),(Y$11-AA$11)*IF($X$11&lt;3,1,0))&lt;1,Y8-AA8,IF((1-SUM(AC$6,AC$12:AC$21))*$M8/SUM($M$7*IF($X$7&lt;3,1,0),$M$8*IF($X$8&lt;3,1,0),$M$9*IF($X$9&lt;3,1,0),$M$10*IF($X$10&lt;3,1,0),$M$11*IF($X$11&lt;3,1,0))&lt;Y8-AA8,(1-SUM(AC$6,AC$12:AC$21))*$M8/SUM($M$7*IF($X$7&lt;3,1,0),$M$8*IF($X$8&lt;3,1,0),$M$9*IF($X$9&lt;3,1,0),$M$10*IF($X$10&lt;3,1,0),$M$11*IF($X$11&lt;3,1,0)),Y8-AA8)),0),0)</f>
        <v>0.57399446422805245</v>
      </c>
      <c r="AD8" s="126">
        <f>IF($Y8=0,0,AE8/$Y8)</f>
        <v>0.24266884206430356</v>
      </c>
      <c r="AE8" s="122">
        <f>IF($X8&lt;4,IF(SUM(AE$6:AE$6,AE$12:AE$21)&lt;1,IF(SUM(AE$6:AE$6,AE$12:AE$21)+SUM((Y$7-AA$7-AC$7)*IF($X$7&lt;3,1,0),(Y$8-AA$8-AC$8)*IF($X$8&lt;3,1,0),(Y$9-AA$9-AC$9)*IF($X$9&lt;3,1,0),(Y$10-AA$10-AC$10)*IF($X$10&lt;3,1,0),(Y$11-AA$11-AC$11)*IF($X$11&lt;3,1,0))&lt;1,Y8-AA8-AC8,IF((1-SUM(AE$6:AE$6,AE$12:AE$21))*$M8/SUM($M$7*IF($X$7&lt;4,1,0),$M$8*IF($X$8&lt;4,1,0),$M$9*IF($X$9&lt;4,1,0),$M$10*IF($X$10&lt;4,1,0),$M$11*IF($X$11&lt;4,1,0))&lt;Y8-AA8-AC8,(1-SUM(AE$6:AE$6,AE$12:AE$21))*$M8/SUM($M$7*IF($X$7&lt;4,1,0),$M$8*IF($X$8&lt;4,1,0),$M$9*IF($X$9&lt;4,1,0),$M$10*IF($X$10&lt;4,1,0),$M$11*IF($X$11&lt;4,1,0)),Y8-AA8-AC8)),0),0)</f>
        <v>0.51220299924762602</v>
      </c>
      <c r="AF8" s="123">
        <f t="shared" si="10"/>
        <v>0.21344300347293288</v>
      </c>
      <c r="AG8" s="122">
        <f t="shared" si="11"/>
        <v>0.45051579600107011</v>
      </c>
      <c r="AH8" s="124">
        <f t="shared" si="12"/>
        <v>1</v>
      </c>
      <c r="AI8" s="185">
        <f t="shared" si="13"/>
        <v>0.52767693092620027</v>
      </c>
      <c r="AJ8" s="121">
        <f t="shared" si="14"/>
        <v>0.57399446422805245</v>
      </c>
      <c r="AK8" s="120">
        <f t="shared" si="15"/>
        <v>0.4813593976243481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2">
        <f>IF([1]Summ!$J1047="",0,[1]Summ!$J1047)</f>
        <v>4.4188206724782061E-2</v>
      </c>
      <c r="C9" s="103">
        <f>IF([1]Summ!$K1047="",0,[1]Summ!$K1047)</f>
        <v>0</v>
      </c>
      <c r="D9" s="24">
        <f t="shared" si="0"/>
        <v>4.4188206724782061E-2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4.4188206724782061E-2</v>
      </c>
      <c r="J9" s="24">
        <f t="shared" si="3"/>
        <v>4.4188206724782061E-2</v>
      </c>
      <c r="K9" s="22">
        <f t="shared" si="4"/>
        <v>4.4188206724782061E-2</v>
      </c>
      <c r="L9" s="22">
        <f t="shared" si="5"/>
        <v>4.4188206724782061E-2</v>
      </c>
      <c r="M9" s="230">
        <f t="shared" si="6"/>
        <v>4.4188206724782061E-2</v>
      </c>
      <c r="N9" s="235">
        <v>1</v>
      </c>
      <c r="O9" s="2"/>
      <c r="P9" s="22"/>
      <c r="Q9" s="59" t="s">
        <v>73</v>
      </c>
      <c r="R9" s="228">
        <f>IF($B$68=0,0,(SUMIF($N$6:$N$20,$U9,K$6:K$20)+SUMIF($N$78:$N$100,$U9,K$78:K$100))*$I$70*Poor!$B$68/$B$68)</f>
        <v>507.01801557855862</v>
      </c>
      <c r="S9" s="228">
        <f>IF($B$68=0,0,(SUMIF($N$6:$N$20,$U9,L$6:L$20)+SUMIF($N$78:$N$100,$U9,L$78:L$100))*$I$70*Poor!$B$68/$B$68)</f>
        <v>507.01801557855862</v>
      </c>
      <c r="T9" s="228">
        <f>IF($B$68=0,0,(SUMIF($N$6:$N$20,$U9,M$6:M$20)+SUMIF($N$78:$N$100,$U9,M$78:M$100))*$I$70*Poor!$B$68/$B$68)</f>
        <v>507.01801557855862</v>
      </c>
      <c r="U9" s="229">
        <v>3</v>
      </c>
      <c r="V9" s="56"/>
      <c r="W9" s="116"/>
      <c r="X9" s="119">
        <f>Poor!X9</f>
        <v>1</v>
      </c>
      <c r="Y9" s="185">
        <f t="shared" si="9"/>
        <v>0.17675282689912825</v>
      </c>
      <c r="Z9" s="126">
        <f>IF($Y9=0,0,AA9/$Y9)</f>
        <v>0.27194407723138175</v>
      </c>
      <c r="AA9" s="122">
        <f>IF($X9=1,IF(SUM(AA$6,AA$12:AA$21)&lt;1,IF((1-SUM(AA$6,AA$12:AA$21))*$M9/SUM($M$7*IF($X$7=1,1,0),$M$8*IF($X$8=1,1,0),$M$9*IF($X$9=1,1,0),$M$10*IF($X$10=1,1,0),$M$11*IF($X$11=1,1,0))&lt;Y9,(1-SUM(AA$6,AA$12:AA$21))*$M9/SUM($M$7*IF($X$7=1,1,0),$M$8*IF($X$8=1,1,0),$M$9*IF($X$9=1,1,0),$M$10*IF($X$10=1,1,0),$M$11*IF($X$11=1,1,0)),Y9),0),0)</f>
        <v>4.8066884409121581E-2</v>
      </c>
      <c r="AB9" s="126">
        <f>IF($Y9=0,0,AC9/$Y9)</f>
        <v>0.27194407723138175</v>
      </c>
      <c r="AC9" s="122">
        <f>IF($X9&lt;3,IF(SUM(AC$6,AC$12:AC$21)&lt;1,IF(SUM(AC$6,AC$12:AC$21)+SUM((Y$7-AA$7)*IF($X$7&lt;3,1,0),(Y$8-AA$8)*IF($X$8&lt;3,1,0),(Y$9-AA$9)*IF($X$9&lt;3,1,0),(Y$10-AA$10)*IF($X$10&lt;3,1,0),(Y$11-AA$11)*IF($X$11&lt;3,1,0))&lt;1,Y9-AA9,IF((1-SUM(AC$6,AC$12:AC$21))*$M9/SUM($M$7*IF($X$7&lt;3,1,0),$M$8*IF($X$8&lt;3,1,0),$M$9*IF($X$9&lt;3,1,0),$M$10*IF($X$10&lt;3,1,0),$M$11*IF($X$11&lt;3,1,0))&lt;Y9-AA9,(1-SUM(AC$6,AC$12:AC$21))*$M9/SUM($M$7*IF($X$7&lt;3,1,0),$M$8*IF($X$8&lt;3,1,0),$M$9*IF($X$9&lt;3,1,0),$M$10*IF($X$10&lt;3,1,0),$M$11*IF($X$11&lt;3,1,0)),Y9-AA9)),0),0)</f>
        <v>4.8066884409121581E-2</v>
      </c>
      <c r="AD9" s="126">
        <f>IF($Y9=0,0,AE9/$Y9)</f>
        <v>0.24266884206430353</v>
      </c>
      <c r="AE9" s="122">
        <f>IF($X9&lt;4,IF(SUM(AE$6:AE$6,AE$12:AE$21)&lt;1,IF(SUM(AE$6:AE$6,AE$12:AE$21)+SUM((Y$7-AA$7-AC$7)*IF($X$7&lt;3,1,0),(Y$8-AA$8-AC$8)*IF($X$8&lt;3,1,0),(Y$9-AA$9-AC$9)*IF($X$9&lt;3,1,0),(Y$10-AA$10-AC$10)*IF($X$10&lt;3,1,0),(Y$11-AA$11-AC$11)*IF($X$11&lt;3,1,0))&lt;1,Y9-AA9-AC9,IF((1-SUM(AE$6:AE$6,AE$12:AE$21))*$M9/SUM($M$7*IF($X$7&lt;4,1,0),$M$8*IF($X$8&lt;4,1,0),$M$9*IF($X$9&lt;4,1,0),$M$10*IF($X$10&lt;4,1,0),$M$11*IF($X$11&lt;4,1,0))&lt;Y9-AA9-AC9,(1-SUM(AE$6:AE$6,AE$12:AE$21))*$M9/SUM($M$7*IF($X$7&lt;4,1,0),$M$8*IF($X$8&lt;4,1,0),$M$9*IF($X$9&lt;4,1,0),$M$10*IF($X$10&lt;4,1,0),$M$11*IF($X$11&lt;4,1,0)),Y9-AA9-AC9)),0),0)</f>
        <v>4.2892403835203735E-2</v>
      </c>
      <c r="AF9" s="123">
        <f t="shared" si="10"/>
        <v>0.21344300347293299</v>
      </c>
      <c r="AG9" s="122">
        <f t="shared" si="11"/>
        <v>3.7726654245681356E-2</v>
      </c>
      <c r="AH9" s="124">
        <f t="shared" si="12"/>
        <v>1</v>
      </c>
      <c r="AI9" s="185">
        <f t="shared" si="13"/>
        <v>4.4188206724782068E-2</v>
      </c>
      <c r="AJ9" s="121">
        <f t="shared" si="14"/>
        <v>4.8066884409121581E-2</v>
      </c>
      <c r="AK9" s="120">
        <f t="shared" si="15"/>
        <v>4.0309529040442549E-2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2">
        <f>IF([1]Summ!$J1048="",0,[1]Summ!$J1048)</f>
        <v>0</v>
      </c>
      <c r="C10" s="103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30">
        <f t="shared" si="6"/>
        <v>0</v>
      </c>
      <c r="N10" s="235">
        <v>1</v>
      </c>
      <c r="O10" s="2"/>
      <c r="P10" s="22"/>
      <c r="Q10" s="59" t="s">
        <v>74</v>
      </c>
      <c r="R10" s="228">
        <f>IF($B$68=0,0,(SUMIF($N$6:$N$20,$U10,K$6:K$20)+SUMIF($N$78:$N$100,$U10,K$78:K$100))*$I$70*Poor!$B$68/$B$68)</f>
        <v>0</v>
      </c>
      <c r="S10" s="228">
        <f>IF($B$68=0,0,(SUMIF($N$6:$N$20,$U10,L$6:L$20)+SUMIF($N$78:$N$100,$U10,L$78:L$100))*$I$70*Poor!$B$68/$B$68)</f>
        <v>0</v>
      </c>
      <c r="T10" s="228">
        <f>IF($B$68=0,0,(SUMIF($N$6:$N$20,$U10,M$6:M$20)+SUMIF($N$78:$N$100,$U10,M$78:M$100))*$I$70*Poor!$B$68/$B$68)</f>
        <v>0</v>
      </c>
      <c r="U10" s="229">
        <v>4</v>
      </c>
      <c r="V10" s="56"/>
      <c r="W10" s="116"/>
      <c r="X10" s="119">
        <f>Poor!X10</f>
        <v>1</v>
      </c>
      <c r="Y10" s="185">
        <f t="shared" si="9"/>
        <v>0</v>
      </c>
      <c r="Z10" s="126">
        <f>IF($Y10=0,0,AA10/$Y10)</f>
        <v>0</v>
      </c>
      <c r="AA10" s="122">
        <f>IF($X10=1,IF(SUM(AA$6,AA$12:AA$21)&lt;1,IF((1-SUM(AA$6,AA$12:AA$21))*$M10/SUM($M$7*IF($X$7=1,1,0),$M$8*IF($X$8=1,1,0),$M$9*IF($X$9=1,1,0),$M$10*IF($X$10=1,1,0),$M$11*IF($X$11=1,1,0))&lt;Y10,(1-SUM(AA$6,AA$12:AA$21))*$M10/SUM($M$7*IF($X$7=1,1,0),$M$8*IF($X$8=1,1,0),$M$9*IF($X$9=1,1,0),$M$10*IF($X$10=1,1,0),$M$11*IF($X$11=1,1,0)),Y10),0),0)</f>
        <v>0</v>
      </c>
      <c r="AB10" s="126">
        <f>IF($Y10=0,0,AC10/$Y10)</f>
        <v>0</v>
      </c>
      <c r="AC10" s="122">
        <f>IF($X10&lt;3,IF(SUM(AC$6,AC$12:AC$21)&lt;1,IF(SUM(AC$6,AC$12:AC$21)+SUM((Y$7-AA$7)*IF($X$7&lt;3,1,0),(Y$8-AA$8)*IF($X$8&lt;3,1,0),(Y$9-AA$9)*IF($X$9&lt;3,1,0),(Y$10-AA$10)*IF($X$10&lt;3,1,0),(Y$11-AA$11)*IF($X$11&lt;3,1,0))&lt;1,Y10-AA10,IF((1-SUM(AC$6,AC$12:AC$21))*$M10/SUM($M$7*IF($X$7&lt;3,1,0),$M$8*IF($X$8&lt;3,1,0),$M$9*IF($X$9&lt;3,1,0),$M$10*IF($X$10&lt;3,1,0),$M$11*IF($X$11&lt;3,1,0))&lt;Y10-AA10,(1-SUM(AC$6,AC$12:AC$21))*$M10/SUM($M$7*IF($X$7&lt;3,1,0),$M$8*IF($X$8&lt;3,1,0),$M$9*IF($X$9&lt;3,1,0),$M$10*IF($X$10&lt;3,1,0),$M$11*IF($X$11&lt;3,1,0)),Y10-AA10)),0),0)</f>
        <v>0</v>
      </c>
      <c r="AD10" s="126">
        <f>IF($Y10=0,0,AE10/$Y10)</f>
        <v>0</v>
      </c>
      <c r="AE10" s="122">
        <f>IF($X10&lt;4,IF(SUM(AE$6:AE$6,AE$12:AE$21)&lt;1,IF(SUM(AE$6:AE$6,AE$12:AE$21)+SUM((Y$7-AA$7-AC$7)*IF($X$7&lt;3,1,0),(Y$8-AA$8-AC$8)*IF($X$8&lt;3,1,0),(Y$9-AA$9-AC$9)*IF($X$9&lt;3,1,0),(Y$10-AA$10-AC$10)*IF($X$10&lt;3,1,0),(Y$11-AA$11-AC$11)*IF($X$11&lt;3,1,0))&lt;1,Y10-AA10-AC10,IF((1-SUM(AE$6:AE$6,AE$12:AE$21))*$M10/SUM($M$7*IF($X$7&lt;4,1,0),$M$8*IF($X$8&lt;4,1,0),$M$9*IF($X$9&lt;4,1,0),$M$10*IF($X$10&lt;4,1,0),$M$11*IF($X$11&lt;4,1,0))&lt;Y10-AA10-AC10,(1-SUM(AE$6:AE$6,AE$12:AE$21))*$M10/SUM($M$7*IF($X$7&lt;4,1,0),$M$8*IF($X$8&lt;4,1,0),$M$9*IF($X$9&lt;4,1,0),$M$10*IF($X$10&lt;4,1,0),$M$11*IF($X$11&lt;4,1,0)),Y10-AA10-AC10)),0),0)</f>
        <v>0</v>
      </c>
      <c r="AF10" s="123">
        <f t="shared" si="10"/>
        <v>1</v>
      </c>
      <c r="AG10" s="122">
        <f t="shared" si="11"/>
        <v>0</v>
      </c>
      <c r="AH10" s="124">
        <f t="shared" si="12"/>
        <v>1</v>
      </c>
      <c r="AI10" s="185">
        <f t="shared" si="13"/>
        <v>0</v>
      </c>
      <c r="AJ10" s="121">
        <f t="shared" si="14"/>
        <v>0</v>
      </c>
      <c r="AK10" s="120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2">
        <f>IF([1]Summ!$J1049="",0,[1]Summ!$J1049)</f>
        <v>0</v>
      </c>
      <c r="C11" s="103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30">
        <f t="shared" si="6"/>
        <v>0</v>
      </c>
      <c r="N11" s="235">
        <v>1</v>
      </c>
      <c r="O11" s="2"/>
      <c r="P11" s="22"/>
      <c r="Q11" s="59" t="s">
        <v>75</v>
      </c>
      <c r="R11" s="228">
        <f>IF($B$68=0,0,(SUMIF($N$6:$N$20,$U11,K$6:K$20)+SUMIF($N$78:$N$100,$U11,K$78:K$100))*$I$70*Poor!$B$68/$B$68)</f>
        <v>13171.199999999997</v>
      </c>
      <c r="S11" s="228">
        <f>IF($B$68=0,0,(SUMIF($N$6:$N$20,$U11,L$6:L$20)+SUMIF($N$78:$N$100,$U11,L$78:L$100))*$I$70*Poor!$B$68/$B$68)</f>
        <v>13010.4</v>
      </c>
      <c r="T11" s="228">
        <f>IF($B$68=0,0,(SUMIF($N$6:$N$20,$U11,M$6:M$20)+SUMIF($N$78:$N$100,$U11,M$78:M$100))*$I$70*Poor!$B$68/$B$68)</f>
        <v>13011.152584428786</v>
      </c>
      <c r="U11" s="229">
        <v>5</v>
      </c>
      <c r="V11" s="56"/>
      <c r="W11" s="116"/>
      <c r="X11" s="119">
        <f>Poor!X11</f>
        <v>1</v>
      </c>
      <c r="Y11" s="185">
        <f t="shared" si="9"/>
        <v>0</v>
      </c>
      <c r="Z11" s="126">
        <f>IF($Y11=0,0,AA11/$Y11)</f>
        <v>0</v>
      </c>
      <c r="AA11" s="122">
        <f>IF($X11=1,IF(SUM(AA$6,AA$12:AA$21)&lt;1,IF((1-SUM(AA$6,AA$12:AA$21))*$M11/SUM($M$7*IF($X$7=1,1,0),$M$8*IF($X$8=1,1,0),$M$9*IF($X$9=1,1,0),$M$10*IF($X$10=1,1,0),$M$11*IF($X$11=1,1,0))&lt;Y11,(1-SUM(AA$6,AA$12:AA$21))*$M11/SUM($M$7*IF($X$7=1,1,0),$M$8*IF($X$8=1,1,0),$M$9*IF($X$9=1,1,0),$M$10*IF($X$10=1,1,0),$M$11*IF($X$11=1,1,0)),Y11),0),0)</f>
        <v>0</v>
      </c>
      <c r="AB11" s="126">
        <f>IF($Y11=0,0,AC11/$Y11)</f>
        <v>0</v>
      </c>
      <c r="AC11" s="122">
        <f>IF($X11&lt;3,IF(SUM(AC$6,AC$12:AC$21)&lt;1,IF(SUM(AC$6,AC$12:AC$21)+SUM((Y$7-AA$7)*IF($X$7&lt;3,1,0),(Y$8-AA$8)*IF($X$8&lt;3,1,0),(Y$9-AA$9)*IF($X$9&lt;3,1,0),(Y$10-AA$10)*IF($X$10&lt;3,1,0),(Y$11-AA$11)*IF($X$11&lt;3,1,0))&lt;1,Y11-AA11,IF((1-SUM(AC$6,AC$12:AC$21))*$M11/SUM($M$7*IF($X$7&lt;3,1,0),$M$8*IF($X$8&lt;3,1,0),$M$9*IF($X$9&lt;3,1,0),$M$10*IF($X$10&lt;3,1,0),$M$11*IF($X$11&lt;3,1,0))&lt;Y11-AA11,(1-SUM(AC$6,AC$12:AC$21))*$M11/SUM($M$7*IF($X$7&lt;3,1,0),$M$8*IF($X$8&lt;3,1,0),$M$9*IF($X$9&lt;3,1,0),$M$10*IF($X$10&lt;3,1,0),$M$11*IF($X$11&lt;3,1,0)),Y11-AA11)),0),0)</f>
        <v>0</v>
      </c>
      <c r="AD11" s="126">
        <f>IF($Y11=0,0,AE11/$Y11)</f>
        <v>0</v>
      </c>
      <c r="AE11" s="122">
        <f>IF($X11&lt;4,IF(SUM(AE$6:AE$6,AE$12:AE$21)&lt;1,IF(SUM(AE$6:AE$6,AE$12:AE$21)+SUM((Y$7-AA$7-AC$7)*IF($X$7&lt;3,1,0),(Y$8-AA$8-AC$8)*IF($X$8&lt;3,1,0),(Y$9-AA$9-AC$9)*IF($X$9&lt;3,1,0),(Y$10-AA$10-AC$10)*IF($X$10&lt;3,1,0),(Y$11-AA$11-AC$11)*IF($X$11&lt;3,1,0))&lt;1,Y11-AA11-AC11,IF((1-SUM(AE$6:AE$6,AE$12:AE$21))*$M11/SUM($M$7*IF($X$7&lt;4,1,0),$M$8*IF($X$8&lt;4,1,0),$M$9*IF($X$9&lt;4,1,0),$M$10*IF($X$10&lt;4,1,0),$M$11*IF($X$11&lt;4,1,0))&lt;Y11-AA11-AC11,(1-SUM(AE$6:AE$6,AE$12:AE$21))*$M11/SUM($M$7*IF($X$7&lt;4,1,0),$M$8*IF($X$8&lt;4,1,0),$M$9*IF($X$9&lt;4,1,0),$M$10*IF($X$10&lt;4,1,0),$M$11*IF($X$11&lt;4,1,0)),Y11-AA11-AC11)),0),0)</f>
        <v>0</v>
      </c>
      <c r="AF11" s="123">
        <f t="shared" si="10"/>
        <v>1</v>
      </c>
      <c r="AG11" s="122">
        <f t="shared" si="11"/>
        <v>0</v>
      </c>
      <c r="AH11" s="124">
        <f t="shared" si="12"/>
        <v>1</v>
      </c>
      <c r="AI11" s="185">
        <f t="shared" si="13"/>
        <v>0</v>
      </c>
      <c r="AJ11" s="121">
        <f t="shared" si="14"/>
        <v>0</v>
      </c>
      <c r="AK11" s="120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2">
        <f>IF([1]Summ!$J1050="",0,[1]Summ!$J1050)</f>
        <v>0</v>
      </c>
      <c r="C12" s="103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30">
        <f t="shared" si="6"/>
        <v>0</v>
      </c>
      <c r="N12" s="235">
        <v>1</v>
      </c>
      <c r="O12" s="2"/>
      <c r="P12" s="22"/>
      <c r="Q12" s="127" t="s">
        <v>124</v>
      </c>
      <c r="R12" s="228">
        <f>IF($B$68=0,0,(SUMIF($N$6:$N$20,$U12,K$6:K$20)+SUMIF($N$78:$N$100,$U12,K$78:K$100))*$I$70*Poor!$B$68/$B$68)</f>
        <v>0</v>
      </c>
      <c r="S12" s="228">
        <f>IF($B$68=0,0,(SUMIF($N$6:$N$20,$U12,L$6:L$20)+SUMIF($N$78:$N$100,$U12,L$78:L$100))*$I$70*Poor!$B$68/$B$68)</f>
        <v>0</v>
      </c>
      <c r="T12" s="228">
        <f>IF($B$68=0,0,(SUMIF($N$6:$N$20,$U12,M$6:M$20)+SUMIF($N$78:$N$100,$U12,M$78:M$100))*$I$70*Poor!$B$68/$B$68)</f>
        <v>0</v>
      </c>
      <c r="U12" s="229">
        <v>6</v>
      </c>
      <c r="V12" s="56"/>
      <c r="W12" s="118"/>
      <c r="X12" s="119"/>
      <c r="Y12" s="185">
        <f t="shared" si="9"/>
        <v>0</v>
      </c>
      <c r="Z12" s="157">
        <f>Poor!Z12</f>
        <v>0</v>
      </c>
      <c r="AA12" s="122">
        <f>$M12*Z12*4</f>
        <v>0</v>
      </c>
      <c r="AB12" s="157">
        <f>Poor!AB12</f>
        <v>0</v>
      </c>
      <c r="AC12" s="122">
        <f>$M12*AB12*4</f>
        <v>0</v>
      </c>
      <c r="AD12" s="157">
        <f>Poor!AD12</f>
        <v>0.67</v>
      </c>
      <c r="AE12" s="122">
        <f>$M12*AD12*4</f>
        <v>0</v>
      </c>
      <c r="AF12" s="123">
        <f>1-SUM(Z12,AB12,AD12)</f>
        <v>0.32999999999999996</v>
      </c>
      <c r="AG12" s="122">
        <f>$M12*AF12*4</f>
        <v>0</v>
      </c>
      <c r="AH12" s="124">
        <f t="shared" si="12"/>
        <v>1</v>
      </c>
      <c r="AI12" s="185">
        <f t="shared" si="13"/>
        <v>0</v>
      </c>
      <c r="AJ12" s="121">
        <f t="shared" si="14"/>
        <v>0</v>
      </c>
      <c r="AK12" s="120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WILD FOODS -- see worksheet Data 3</v>
      </c>
      <c r="B13" s="102">
        <f>IF([1]Summ!$J1051="",0,[1]Summ!$J1051)</f>
        <v>0</v>
      </c>
      <c r="C13" s="103">
        <f>IF([1]Summ!$K1051="",0,[1]Summ!$K1051)</f>
        <v>0</v>
      </c>
      <c r="D13" s="24">
        <f t="shared" si="0"/>
        <v>0</v>
      </c>
      <c r="E13" s="75">
        <f>Middle!E13</f>
        <v>0.8</v>
      </c>
      <c r="H13" s="24">
        <f t="shared" si="1"/>
        <v>0.8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31">
        <f t="shared" si="6"/>
        <v>0</v>
      </c>
      <c r="N13" s="235">
        <v>6</v>
      </c>
      <c r="O13" s="2"/>
      <c r="P13" s="22"/>
      <c r="Q13" s="59" t="s">
        <v>76</v>
      </c>
      <c r="R13" s="228">
        <f>IF($B$68=0,0,(SUMIF($N$6:$N$20,$U13,K$6:K$20)+SUMIF($N$78:$N$100,$U13,K$78:K$100))*$I$70*Poor!$B$68/$B$68)</f>
        <v>0</v>
      </c>
      <c r="S13" s="228">
        <f>IF($B$68=0,0,(SUMIF($N$6:$N$20,$U13,L$6:L$20)+SUMIF($N$78:$N$100,$U13,L$78:L$100))*$I$70*Poor!$B$68/$B$68)</f>
        <v>0</v>
      </c>
      <c r="T13" s="228">
        <f>IF($B$68=0,0,(SUMIF($N$6:$N$20,$U13,M$6:M$20)+SUMIF($N$78:$N$100,$U13,M$78:M$100))*$I$70*Poor!$B$68/$B$68)</f>
        <v>0</v>
      </c>
      <c r="U13" s="229">
        <v>7</v>
      </c>
      <c r="V13" s="56"/>
      <c r="W13" s="111"/>
      <c r="X13" s="119"/>
      <c r="Y13" s="185">
        <f t="shared" si="9"/>
        <v>0</v>
      </c>
      <c r="Z13" s="157">
        <f>Poor!Z13</f>
        <v>1</v>
      </c>
      <c r="AA13" s="122">
        <f>$M13*Z13*4</f>
        <v>0</v>
      </c>
      <c r="AB13" s="157">
        <f>Poor!AB13</f>
        <v>0</v>
      </c>
      <c r="AC13" s="122">
        <f>$M13*AB13*4</f>
        <v>0</v>
      </c>
      <c r="AD13" s="157">
        <f>Poor!AD13</f>
        <v>0</v>
      </c>
      <c r="AE13" s="122">
        <f>$M13*AD13*4</f>
        <v>0</v>
      </c>
      <c r="AF13" s="123">
        <f>1-SUM(Z13,AB13,AD13)</f>
        <v>0</v>
      </c>
      <c r="AG13" s="122">
        <f>$M13*AF13*4</f>
        <v>0</v>
      </c>
      <c r="AH13" s="124">
        <f t="shared" si="12"/>
        <v>1</v>
      </c>
      <c r="AI13" s="185">
        <f t="shared" si="13"/>
        <v>0</v>
      </c>
      <c r="AJ13" s="121">
        <f t="shared" si="14"/>
        <v>0</v>
      </c>
      <c r="AK13" s="120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Land clearing, construction, herding, slaughtering</v>
      </c>
      <c r="B14" s="102">
        <f>IF([1]Summ!$J1052="",0,[1]Summ!$J1052)</f>
        <v>0</v>
      </c>
      <c r="C14" s="103">
        <f>IF([1]Summ!$K1052="",0,[1]Summ!$K1052)</f>
        <v>0</v>
      </c>
      <c r="D14" s="24">
        <f t="shared" si="0"/>
        <v>0</v>
      </c>
      <c r="E14" s="75">
        <f>Middle!E14</f>
        <v>0.87</v>
      </c>
      <c r="F14" s="22"/>
      <c r="H14" s="24">
        <f t="shared" si="1"/>
        <v>0.87</v>
      </c>
      <c r="I14" s="22">
        <f t="shared" si="2"/>
        <v>0</v>
      </c>
      <c r="J14" s="24">
        <f>IF(I$24&lt;=1+I113,I14,B14*H14+J$25*(I14-B14*H14))</f>
        <v>0</v>
      </c>
      <c r="K14" s="22">
        <f t="shared" si="4"/>
        <v>0</v>
      </c>
      <c r="L14" s="22">
        <f t="shared" si="5"/>
        <v>0</v>
      </c>
      <c r="M14" s="231">
        <f t="shared" si="6"/>
        <v>0</v>
      </c>
      <c r="N14" s="235">
        <v>7</v>
      </c>
      <c r="O14" s="2"/>
      <c r="P14" s="22"/>
      <c r="Q14" s="127" t="s">
        <v>77</v>
      </c>
      <c r="R14" s="228">
        <f>IF($B$68=0,0,(SUMIF($N$6:$N$20,$U14,K$6:K$20)+SUMIF($N$78:$N$100,$U14,K$78:K$100))*$I$70*Poor!$B$68/$B$68)</f>
        <v>225792</v>
      </c>
      <c r="S14" s="228">
        <f>IF($B$68=0,0,(SUMIF($N$6:$N$20,$U14,L$6:L$20)+SUMIF($N$78:$N$100,$U14,L$78:L$100))*$I$70*Poor!$B$68/$B$68)</f>
        <v>215712.00000000006</v>
      </c>
      <c r="T14" s="228">
        <f>IF($B$68=0,0,(SUMIF($N$6:$N$20,$U14,M$6:M$20)+SUMIF($N$78:$N$100,$U14,M$78:M$100))*$I$70*Poor!$B$68/$B$68)</f>
        <v>215712.00000000006</v>
      </c>
      <c r="U14" s="229">
        <v>8</v>
      </c>
      <c r="V14" s="56"/>
      <c r="W14" s="111"/>
      <c r="X14" s="119"/>
      <c r="Y14" s="185">
        <f>M14*4</f>
        <v>0</v>
      </c>
      <c r="Z14" s="157">
        <f>Poor!Z14</f>
        <v>0</v>
      </c>
      <c r="AA14" s="122">
        <f t="shared" ref="AA14:AA21" si="16">$M14*Z14*4</f>
        <v>0</v>
      </c>
      <c r="AB14" s="157">
        <f>Poor!AB14</f>
        <v>1</v>
      </c>
      <c r="AC14" s="122">
        <f t="shared" si="7"/>
        <v>0</v>
      </c>
      <c r="AD14" s="157">
        <f>Poor!AD14</f>
        <v>0</v>
      </c>
      <c r="AE14" s="122">
        <f t="shared" si="8"/>
        <v>0</v>
      </c>
      <c r="AF14" s="123">
        <f t="shared" si="10"/>
        <v>0</v>
      </c>
      <c r="AG14" s="122">
        <f t="shared" si="11"/>
        <v>0</v>
      </c>
      <c r="AH14" s="129">
        <f>SUM(Z14,AB14,AD14,AF14)</f>
        <v>1</v>
      </c>
      <c r="AI14" s="185">
        <f>SUM(AA14,AC14,AE14,AG14)/4</f>
        <v>0</v>
      </c>
      <c r="AJ14" s="121">
        <f t="shared" si="14"/>
        <v>0</v>
      </c>
      <c r="AK14" s="120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Labour: Weeding</v>
      </c>
      <c r="B15" s="102">
        <f>IF([1]Summ!$J1053="",0,[1]Summ!$J1053)</f>
        <v>0</v>
      </c>
      <c r="C15" s="103">
        <f>IF([1]Summ!$K1053="",0,[1]Summ!$K1053)</f>
        <v>0</v>
      </c>
      <c r="D15" s="24">
        <f t="shared" si="0"/>
        <v>0</v>
      </c>
      <c r="E15" s="75">
        <f>Middle!E15</f>
        <v>0.87</v>
      </c>
      <c r="F15" s="22"/>
      <c r="H15" s="24">
        <f t="shared" si="1"/>
        <v>0.87</v>
      </c>
      <c r="I15" s="22">
        <f t="shared" si="2"/>
        <v>0</v>
      </c>
      <c r="J15" s="24">
        <f>IF(I$24&lt;=1+I113,I15,B15*H15+J$25*(I15-B15*H15))</f>
        <v>0</v>
      </c>
      <c r="K15" s="22">
        <f t="shared" si="4"/>
        <v>0</v>
      </c>
      <c r="L15" s="22">
        <f t="shared" si="5"/>
        <v>0</v>
      </c>
      <c r="M15" s="232">
        <f t="shared" si="6"/>
        <v>0</v>
      </c>
      <c r="N15" s="235">
        <v>7</v>
      </c>
      <c r="O15" s="2"/>
      <c r="P15" s="22"/>
      <c r="Q15" s="59" t="s">
        <v>126</v>
      </c>
      <c r="R15" s="228">
        <f>IF($B$68=0,0,(SUMIF($N$6:$N$20,$U15,K$6:K$20)+SUMIF($N$78:$N$100,$U15,K$78:K$100))*$I$70*Poor!$B$68/$B$68)</f>
        <v>0</v>
      </c>
      <c r="S15" s="228">
        <f>IF($B$68=0,0,(SUMIF($N$6:$N$20,$U15,L$6:L$20)+SUMIF($N$78:$N$100,$U15,L$78:L$100))*$I$70*Poor!$B$68/$B$68)</f>
        <v>0</v>
      </c>
      <c r="T15" s="228">
        <f>IF($B$68=0,0,(SUMIF($N$6:$N$20,$U15,M$6:M$20)+SUMIF($N$78:$N$100,$U15,M$78:M$100))*$I$70*Poor!$B$68/$B$68)</f>
        <v>0</v>
      </c>
      <c r="U15" s="229">
        <v>9</v>
      </c>
      <c r="V15" s="56"/>
      <c r="W15" s="111"/>
      <c r="X15" s="119"/>
      <c r="Y15" s="185">
        <f t="shared" si="9"/>
        <v>0</v>
      </c>
      <c r="Z15" s="157">
        <f>Poor!Z15</f>
        <v>0.25</v>
      </c>
      <c r="AA15" s="122">
        <f t="shared" si="16"/>
        <v>0</v>
      </c>
      <c r="AB15" s="157">
        <f>Poor!AB15</f>
        <v>0.25</v>
      </c>
      <c r="AC15" s="122">
        <f t="shared" si="7"/>
        <v>0</v>
      </c>
      <c r="AD15" s="157">
        <f>Poor!AD15</f>
        <v>0.25</v>
      </c>
      <c r="AE15" s="122">
        <f t="shared" si="8"/>
        <v>0</v>
      </c>
      <c r="AF15" s="123">
        <f t="shared" si="10"/>
        <v>0.25</v>
      </c>
      <c r="AG15" s="122">
        <f t="shared" si="11"/>
        <v>0</v>
      </c>
      <c r="AH15" s="124">
        <f t="shared" si="12"/>
        <v>1</v>
      </c>
      <c r="AI15" s="185">
        <f t="shared" si="13"/>
        <v>0</v>
      </c>
      <c r="AJ15" s="121">
        <f t="shared" si="14"/>
        <v>0</v>
      </c>
      <c r="AK15" s="120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cereal</v>
      </c>
      <c r="B16" s="102">
        <f>IF([1]Summ!$J1054="",0,[1]Summ!$J1054)</f>
        <v>0</v>
      </c>
      <c r="C16" s="103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IF(I$24&lt;=1+I113,I16,B16*H16+J$25*(I16-B16*H16))</f>
        <v>0</v>
      </c>
      <c r="K16" s="22">
        <f t="shared" si="4"/>
        <v>0</v>
      </c>
      <c r="L16" s="22">
        <f t="shared" si="5"/>
        <v>0</v>
      </c>
      <c r="M16" s="230">
        <f t="shared" si="6"/>
        <v>0</v>
      </c>
      <c r="N16" s="235">
        <v>13</v>
      </c>
      <c r="O16" s="2"/>
      <c r="P16" s="22"/>
      <c r="Q16" s="127" t="s">
        <v>78</v>
      </c>
      <c r="R16" s="228">
        <f>IF($B$68=0,0,(SUMIF($N$6:$N$20,$U16,K$6:K$20)+SUMIF($N$78:$N$100,$U16,K$78:K$100))*$I$70*Poor!$B$68/$B$68)</f>
        <v>0</v>
      </c>
      <c r="S16" s="228">
        <f>IF($B$68=0,0,(SUMIF($N$6:$N$20,$U16,L$6:L$20)+SUMIF($N$78:$N$100,$U16,L$78:L$100))*$I$70*Poor!$B$68/$B$68)</f>
        <v>0</v>
      </c>
      <c r="T16" s="228">
        <f>IF($B$68=0,0,(SUMIF($N$6:$N$20,$U16,M$6:M$20)+SUMIF($N$78:$N$100,$U16,M$78:M$100))*$I$70*Poor!$B$68/$B$68)</f>
        <v>0</v>
      </c>
      <c r="U16" s="229">
        <v>10</v>
      </c>
      <c r="V16" s="56"/>
      <c r="W16" s="111"/>
      <c r="X16" s="119"/>
      <c r="Y16" s="185">
        <f t="shared" si="9"/>
        <v>0</v>
      </c>
      <c r="Z16" s="157">
        <f>Poor!Z16</f>
        <v>0</v>
      </c>
      <c r="AA16" s="122">
        <f t="shared" si="16"/>
        <v>0</v>
      </c>
      <c r="AB16" s="157">
        <f>Poor!AB16</f>
        <v>0</v>
      </c>
      <c r="AC16" s="122">
        <f t="shared" si="7"/>
        <v>0</v>
      </c>
      <c r="AD16" s="157">
        <f>Poor!AD16</f>
        <v>0</v>
      </c>
      <c r="AE16" s="122">
        <f t="shared" si="8"/>
        <v>0</v>
      </c>
      <c r="AF16" s="123">
        <f t="shared" si="10"/>
        <v>1</v>
      </c>
      <c r="AG16" s="122">
        <f t="shared" si="11"/>
        <v>0</v>
      </c>
      <c r="AH16" s="124">
        <f t="shared" si="12"/>
        <v>1</v>
      </c>
      <c r="AI16" s="185">
        <f t="shared" si="13"/>
        <v>0</v>
      </c>
      <c r="AJ16" s="121">
        <f t="shared" si="14"/>
        <v>0</v>
      </c>
      <c r="AK16" s="120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Gifts/remittances: sugar</v>
      </c>
      <c r="B17" s="102">
        <f>IF([1]Summ!$J1055="",0,[1]Summ!$J1055)</f>
        <v>0</v>
      </c>
      <c r="C17" s="103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>IF(I$24&lt;=1+I113,I17,B17*H17+J$25*(I17-B17*H17))</f>
        <v>0</v>
      </c>
      <c r="K17" s="22">
        <f t="shared" si="4"/>
        <v>0</v>
      </c>
      <c r="L17" s="22">
        <f t="shared" si="5"/>
        <v>0</v>
      </c>
      <c r="M17" s="231">
        <f t="shared" si="6"/>
        <v>0</v>
      </c>
      <c r="N17" s="235">
        <v>13</v>
      </c>
      <c r="O17" s="2"/>
      <c r="P17" s="22"/>
      <c r="Q17" s="127" t="s">
        <v>125</v>
      </c>
      <c r="R17" s="228">
        <f>IF($B$68=0,0,(SUMIF($N$6:$N$20,$U17,K$6:K$20)+SUMIF($N$78:$N$100,$U17,K$78:K$100))*$I$70*Poor!$B$68/$B$68)</f>
        <v>106444.79999999997</v>
      </c>
      <c r="S17" s="228">
        <f>IF($B$68=0,0,(SUMIF($N$6:$N$20,$U17,L$6:L$20)+SUMIF($N$78:$N$100,$U17,L$78:L$100))*$I$70*Poor!$B$68/$B$68)</f>
        <v>99792</v>
      </c>
      <c r="T17" s="228">
        <f>IF($B$68=0,0,(SUMIF($N$6:$N$20,$U17,M$6:M$20)+SUMIF($N$78:$N$100,$U17,M$78:M$100))*$I$70*Poor!$B$68/$B$68)</f>
        <v>99792</v>
      </c>
      <c r="U17" s="229">
        <v>11</v>
      </c>
      <c r="V17" s="56"/>
      <c r="W17" s="111"/>
      <c r="X17" s="119"/>
      <c r="Y17" s="185">
        <f t="shared" si="9"/>
        <v>0</v>
      </c>
      <c r="Z17" s="157">
        <f>Poor!Z17</f>
        <v>0.29409999999999997</v>
      </c>
      <c r="AA17" s="122">
        <f t="shared" si="16"/>
        <v>0</v>
      </c>
      <c r="AB17" s="157">
        <f>Poor!AB17</f>
        <v>0.17649999999999999</v>
      </c>
      <c r="AC17" s="122">
        <f t="shared" si="7"/>
        <v>0</v>
      </c>
      <c r="AD17" s="157">
        <f>Poor!AD17</f>
        <v>0.23530000000000001</v>
      </c>
      <c r="AE17" s="122">
        <f t="shared" si="8"/>
        <v>0</v>
      </c>
      <c r="AF17" s="123">
        <f t="shared" si="10"/>
        <v>0.29410000000000003</v>
      </c>
      <c r="AG17" s="122">
        <f t="shared" si="11"/>
        <v>0</v>
      </c>
      <c r="AH17" s="124">
        <f t="shared" si="12"/>
        <v>1</v>
      </c>
      <c r="AI17" s="185">
        <f t="shared" si="13"/>
        <v>0</v>
      </c>
      <c r="AJ17" s="121">
        <f t="shared" si="14"/>
        <v>0</v>
      </c>
      <c r="AK17" s="120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Food aid</v>
      </c>
      <c r="B18" s="102">
        <f>IF([1]Summ!$J1056="",0,[1]Summ!$J1056)</f>
        <v>0</v>
      </c>
      <c r="C18" s="103">
        <f>IF([1]Summ!$K1056="",0,[1]Summ!$K1056)</f>
        <v>0</v>
      </c>
      <c r="D18" s="24">
        <f t="shared" si="0"/>
        <v>0</v>
      </c>
      <c r="E18" s="75">
        <f>Middle!E18</f>
        <v>1</v>
      </c>
      <c r="F18" s="22"/>
      <c r="H18" s="24">
        <f t="shared" si="1"/>
        <v>1</v>
      </c>
      <c r="I18" s="22">
        <f t="shared" si="2"/>
        <v>0</v>
      </c>
      <c r="J18" s="24">
        <f>IF(I$24&lt;=1+I113,I18,B18*H18+J$25*(I18-B18*H18))</f>
        <v>0</v>
      </c>
      <c r="K18" s="22">
        <f t="shared" si="4"/>
        <v>0</v>
      </c>
      <c r="L18" s="22">
        <f t="shared" si="5"/>
        <v>0</v>
      </c>
      <c r="M18" s="230">
        <f t="shared" si="6"/>
        <v>0</v>
      </c>
      <c r="N18" s="235">
        <v>12</v>
      </c>
      <c r="O18" s="2"/>
      <c r="P18" s="22"/>
      <c r="Q18" s="59" t="s">
        <v>79</v>
      </c>
      <c r="R18" s="228">
        <f>IF($B$68=0,0,(SUMIF($N$6:$N$20,$U18,K$6:K$20)+SUMIF($N$78:$N$100,$U18,K$78:K$100))*$I$70*Poor!$B$68/$B$68)</f>
        <v>0</v>
      </c>
      <c r="S18" s="228">
        <f>IF($B$68=0,0,(SUMIF($N$6:$N$20,$U18,L$6:L$20)+SUMIF($N$78:$N$100,$U18,L$78:L$100))*$I$70*Poor!$B$68/$B$68)</f>
        <v>0</v>
      </c>
      <c r="T18" s="228">
        <f>IF($B$68=0,0,(SUMIF($N$6:$N$20,$U18,M$6:M$20)+SUMIF($N$78:$N$100,$U18,M$78:M$100))*$I$70*Poor!$B$68/$B$68)</f>
        <v>0</v>
      </c>
      <c r="U18" s="229">
        <v>12</v>
      </c>
      <c r="V18" s="56"/>
      <c r="W18" s="111"/>
      <c r="X18" s="119"/>
      <c r="Y18" s="185">
        <f t="shared" si="9"/>
        <v>0</v>
      </c>
      <c r="Z18" s="157">
        <f>Poor!Z18</f>
        <v>0.25</v>
      </c>
      <c r="AA18" s="122">
        <f t="shared" si="16"/>
        <v>0</v>
      </c>
      <c r="AB18" s="157">
        <f>Poor!AB18</f>
        <v>0.25</v>
      </c>
      <c r="AC18" s="122">
        <f t="shared" si="7"/>
        <v>0</v>
      </c>
      <c r="AD18" s="157">
        <f>Poor!AD18</f>
        <v>0.25</v>
      </c>
      <c r="AE18" s="122">
        <f t="shared" si="8"/>
        <v>0</v>
      </c>
      <c r="AF18" s="123">
        <f t="shared" si="10"/>
        <v>0.25</v>
      </c>
      <c r="AG18" s="122">
        <f t="shared" si="11"/>
        <v>0</v>
      </c>
      <c r="AH18" s="124">
        <f t="shared" si="12"/>
        <v>1</v>
      </c>
      <c r="AI18" s="185">
        <f t="shared" si="13"/>
        <v>0</v>
      </c>
      <c r="AJ18" s="121">
        <f t="shared" si="14"/>
        <v>0</v>
      </c>
      <c r="AK18" s="120">
        <f t="shared" si="15"/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Purchase - other</v>
      </c>
      <c r="B19" s="102">
        <f>IF([1]Summ!$J1057="",0,[1]Summ!$J1057)</f>
        <v>0.13069564632627648</v>
      </c>
      <c r="C19" s="103">
        <f>IF([1]Summ!$K1057="",0,[1]Summ!$K1057)</f>
        <v>-0.13069564632627648</v>
      </c>
      <c r="D19" s="24">
        <f t="shared" si="0"/>
        <v>0</v>
      </c>
      <c r="E19" s="75">
        <f>Middle!E19</f>
        <v>1</v>
      </c>
      <c r="F19" s="22"/>
      <c r="H19" s="24">
        <f t="shared" si="1"/>
        <v>1</v>
      </c>
      <c r="I19" s="22">
        <f t="shared" si="2"/>
        <v>0</v>
      </c>
      <c r="J19" s="24">
        <f>IF(I$24&lt;=1+I113,I19,B19*H19+J$25*(I19-B19*H19))</f>
        <v>0.13082097699438963</v>
      </c>
      <c r="K19" s="22">
        <f t="shared" si="4"/>
        <v>0.13069564632627648</v>
      </c>
      <c r="L19" s="22">
        <f t="shared" si="5"/>
        <v>0.13069564632627648</v>
      </c>
      <c r="M19" s="232">
        <f t="shared" si="6"/>
        <v>0.13082097699438963</v>
      </c>
      <c r="N19" s="235"/>
      <c r="O19" s="2"/>
      <c r="P19" s="22"/>
      <c r="Q19" s="59" t="s">
        <v>80</v>
      </c>
      <c r="R19" s="228">
        <f>IF($B$68=0,0,(SUMIF($N$6:$N$20,$U19,K$6:K$20)+SUMIF($N$78:$N$100,$U19,K$78:K$100))*$I$70*Poor!$B$68/$B$68)</f>
        <v>0</v>
      </c>
      <c r="S19" s="228">
        <f>IF($B$68=0,0,(SUMIF($N$6:$N$20,$U19,L$6:L$20)+SUMIF($N$78:$N$100,$U19,L$78:L$100))*$I$70*Poor!$B$68/$B$68)</f>
        <v>0</v>
      </c>
      <c r="T19" s="228">
        <f>IF($B$68=0,0,(SUMIF($N$6:$N$20,$U19,M$6:M$20)+SUMIF($N$78:$N$100,$U19,M$78:M$100))*$I$70*Poor!$B$68/$B$68)</f>
        <v>0</v>
      </c>
      <c r="U19" s="229">
        <v>13</v>
      </c>
      <c r="V19" s="56"/>
      <c r="W19" s="111"/>
      <c r="X19" s="119"/>
      <c r="Y19" s="185">
        <f t="shared" si="9"/>
        <v>0.52328390797755853</v>
      </c>
      <c r="Z19" s="157">
        <f>Poor!Z19</f>
        <v>0.25</v>
      </c>
      <c r="AA19" s="122">
        <f t="shared" si="16"/>
        <v>0.13082097699438963</v>
      </c>
      <c r="AB19" s="157">
        <f>Poor!AB19</f>
        <v>0.25</v>
      </c>
      <c r="AC19" s="122">
        <f t="shared" si="7"/>
        <v>0.13082097699438963</v>
      </c>
      <c r="AD19" s="157">
        <f>Poor!AD19</f>
        <v>0.25</v>
      </c>
      <c r="AE19" s="122">
        <f t="shared" si="8"/>
        <v>0.13082097699438963</v>
      </c>
      <c r="AF19" s="123">
        <f t="shared" si="10"/>
        <v>0.25</v>
      </c>
      <c r="AG19" s="122">
        <f t="shared" si="11"/>
        <v>0.13082097699438963</v>
      </c>
      <c r="AH19" s="124">
        <f t="shared" si="12"/>
        <v>1</v>
      </c>
      <c r="AI19" s="185">
        <f t="shared" si="13"/>
        <v>0.13082097699438963</v>
      </c>
      <c r="AJ19" s="121">
        <f t="shared" si="14"/>
        <v>0.13082097699438963</v>
      </c>
      <c r="AK19" s="120">
        <f t="shared" si="15"/>
        <v>0.13082097699438963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Purchase - desirable</v>
      </c>
      <c r="B20" s="102">
        <f>IF([1]Summ!$J1058="",0,[1]Summ!$J1058)</f>
        <v>2.0647232876712329E-2</v>
      </c>
      <c r="C20" s="103">
        <f>IF([1]Summ!$K1058="",0,[1]Summ!$K1058)</f>
        <v>-2.0647232876712329E-2</v>
      </c>
      <c r="D20" s="24">
        <f t="shared" si="0"/>
        <v>0</v>
      </c>
      <c r="E20" s="75">
        <f>Middle!E20</f>
        <v>1</v>
      </c>
      <c r="F20" s="22"/>
      <c r="H20" s="24">
        <f t="shared" si="1"/>
        <v>1</v>
      </c>
      <c r="I20" s="22">
        <f t="shared" si="2"/>
        <v>0</v>
      </c>
      <c r="J20" s="24">
        <f>IF(I$24&lt;=1+I113,I20,B20*H20+J$25*(I20-B20*H20))</f>
        <v>2.066703255301269E-2</v>
      </c>
      <c r="K20" s="22">
        <f t="shared" si="4"/>
        <v>2.0647232876712329E-2</v>
      </c>
      <c r="L20" s="22">
        <f t="shared" si="5"/>
        <v>2.0647232876712329E-2</v>
      </c>
      <c r="M20" s="230">
        <f t="shared" si="6"/>
        <v>2.066703255301269E-2</v>
      </c>
      <c r="N20" s="235"/>
      <c r="O20" s="2"/>
      <c r="P20" s="22"/>
      <c r="Q20" s="59" t="s">
        <v>81</v>
      </c>
      <c r="R20" s="228">
        <f>IF($B$68=0,0,(SUMIF($N$6:$N$20,$U20,K$6:K$20)+SUMIF($N$78:$N$100,$U20,K$78:K$100))*$I$70*Poor!$B$68/$B$68)</f>
        <v>8854.44</v>
      </c>
      <c r="S20" s="228">
        <f>IF($B$68=0,0,(SUMIF($N$6:$N$20,$U20,L$6:L$20)+SUMIF($N$78:$N$100,$U20,L$78:L$100))*$I$70*Poor!$B$68/$B$68)</f>
        <v>8775.3825000000015</v>
      </c>
      <c r="T20" s="228">
        <f>IF($B$68=0,0,(SUMIF($N$6:$N$20,$U20,M$6:M$20)+SUMIF($N$78:$N$100,$U20,M$78:M$100))*$I$70*Poor!$B$68/$B$68)</f>
        <v>8775.3825000000015</v>
      </c>
      <c r="U20" s="229">
        <v>14</v>
      </c>
      <c r="V20" s="56"/>
      <c r="W20" s="111"/>
      <c r="X20" s="119"/>
      <c r="Y20" s="185">
        <f t="shared" si="9"/>
        <v>8.2668130212050758E-2</v>
      </c>
      <c r="Z20" s="157">
        <f>Poor!Z20</f>
        <v>0</v>
      </c>
      <c r="AA20" s="122">
        <f t="shared" si="16"/>
        <v>0</v>
      </c>
      <c r="AB20" s="157">
        <f>Poor!AB20</f>
        <v>0</v>
      </c>
      <c r="AC20" s="122">
        <f t="shared" si="7"/>
        <v>0</v>
      </c>
      <c r="AD20" s="157">
        <f>Poor!AD20</f>
        <v>0.5</v>
      </c>
      <c r="AE20" s="122">
        <f t="shared" si="8"/>
        <v>4.1334065106025379E-2</v>
      </c>
      <c r="AF20" s="123">
        <f t="shared" si="10"/>
        <v>0.5</v>
      </c>
      <c r="AG20" s="122">
        <f t="shared" si="11"/>
        <v>4.1334065106025379E-2</v>
      </c>
      <c r="AH20" s="124">
        <f t="shared" si="12"/>
        <v>1</v>
      </c>
      <c r="AI20" s="185">
        <f t="shared" si="13"/>
        <v>2.066703255301269E-2</v>
      </c>
      <c r="AJ20" s="121">
        <f t="shared" si="14"/>
        <v>0</v>
      </c>
      <c r="AK20" s="120">
        <f t="shared" si="15"/>
        <v>4.1334065106025379E-2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Purchase - fpl non staple</v>
      </c>
      <c r="B21" s="102">
        <f>IF([1]Summ!$J1059="",0,[1]Summ!$J1059)</f>
        <v>0.22003163935242837</v>
      </c>
      <c r="C21" s="103">
        <f>IF([1]Summ!$K1059="",0,[1]Summ!$K1059)</f>
        <v>0.15416639891788472</v>
      </c>
      <c r="D21" s="24">
        <f t="shared" si="0"/>
        <v>0.37419803827031306</v>
      </c>
      <c r="E21" s="75">
        <f>Middle!E21</f>
        <v>1</v>
      </c>
      <c r="F21" s="22"/>
      <c r="H21" s="24">
        <f t="shared" si="1"/>
        <v>1</v>
      </c>
      <c r="I21" s="22">
        <f t="shared" si="2"/>
        <v>0.37419803827031306</v>
      </c>
      <c r="J21" s="24">
        <f>IF(I$24&lt;=1+I113,I21,B21*H21+J$25*(I21-B21*H21))</f>
        <v>0.21988380139209768</v>
      </c>
      <c r="K21" s="22">
        <f t="shared" si="4"/>
        <v>0.22003163935242837</v>
      </c>
      <c r="L21" s="22">
        <f t="shared" si="5"/>
        <v>0.22003163935242837</v>
      </c>
      <c r="M21" s="176">
        <f t="shared" si="6"/>
        <v>0.21988380139209768</v>
      </c>
      <c r="N21" s="235"/>
      <c r="P21" s="22"/>
      <c r="Q21" s="59" t="s">
        <v>82</v>
      </c>
      <c r="R21" s="228">
        <f>IF($B$68=0,0,(SUMIF($N$6:$N$20,$U21,K$6:K$20)+SUMIF($N$78:$N$100,$U21,K$78:K$100))*$I$70*Poor!$B$68/$B$68)</f>
        <v>0</v>
      </c>
      <c r="S21" s="228">
        <f>IF($B$68=0,0,(SUMIF($N$6:$N$20,$U21,L$6:L$20)+SUMIF($N$78:$N$100,$U21,L$78:L$100))*$I$70*Poor!$B$68/$B$68)</f>
        <v>0</v>
      </c>
      <c r="T21" s="228">
        <f>IF($B$68=0,0,(SUMIF($N$6:$N$20,$U21,M$6:M$20)+SUMIF($N$78:$N$100,$U21,M$78:M$100))*$I$70*Poor!$B$68/$B$68)</f>
        <v>0</v>
      </c>
      <c r="U21" s="229">
        <v>15</v>
      </c>
      <c r="V21" s="56"/>
      <c r="W21" s="111"/>
      <c r="X21" s="119"/>
      <c r="Y21" s="185">
        <f t="shared" si="9"/>
        <v>0.87953520556839071</v>
      </c>
      <c r="Z21" s="157">
        <f>Poor!Z21</f>
        <v>0.25</v>
      </c>
      <c r="AA21" s="122">
        <f t="shared" si="16"/>
        <v>0.21988380139209768</v>
      </c>
      <c r="AB21" s="157">
        <f>Poor!AB21</f>
        <v>0.25</v>
      </c>
      <c r="AC21" s="122">
        <f t="shared" si="7"/>
        <v>0.21988380139209768</v>
      </c>
      <c r="AD21" s="157">
        <f>Poor!AD21</f>
        <v>0.25</v>
      </c>
      <c r="AE21" s="122">
        <f t="shared" si="8"/>
        <v>0.21988380139209768</v>
      </c>
      <c r="AF21" s="123">
        <f t="shared" si="10"/>
        <v>0.25</v>
      </c>
      <c r="AG21" s="122">
        <f t="shared" si="11"/>
        <v>0.21988380139209768</v>
      </c>
      <c r="AH21" s="124">
        <f t="shared" si="12"/>
        <v>1</v>
      </c>
      <c r="AI21" s="185">
        <f t="shared" si="13"/>
        <v>0.21988380139209768</v>
      </c>
      <c r="AJ21" s="121">
        <f t="shared" si="14"/>
        <v>0.21988380139209768</v>
      </c>
      <c r="AK21" s="120">
        <f t="shared" si="15"/>
        <v>0.21988380139209768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 thickBot="1">
      <c r="A22" s="94" t="s">
        <v>56</v>
      </c>
      <c r="B22" s="102">
        <f>IF([1]Summ!$J1060="",0,[1]Summ!$J1060)</f>
        <v>0.50976766625155667</v>
      </c>
      <c r="C22" s="65"/>
      <c r="D22" s="24">
        <f>(D101-B106)</f>
        <v>47.416137179880181</v>
      </c>
      <c r="E22" s="75">
        <f>Middle!E22</f>
        <v>1</v>
      </c>
      <c r="H22" s="97">
        <f>(E22*F$7/F$9)</f>
        <v>1</v>
      </c>
      <c r="I22" s="29">
        <f>IF(E22&gt;=1,I101-I106,MIN(I101-I106,B22*H22))</f>
        <v>44.99425662233746</v>
      </c>
      <c r="J22" s="237">
        <f>IF(I$24&lt;=$B$24,I22,$B$24-SUM(J6:J21))</f>
        <v>0.51203908677688981</v>
      </c>
      <c r="K22" s="22">
        <f t="shared" si="4"/>
        <v>0.50976766625155667</v>
      </c>
      <c r="L22" s="22">
        <f>IF(L106=L101,0,IF(K22="",0,(L101-L106)/(B101-B106)*K22))</f>
        <v>0.48321745598334759</v>
      </c>
      <c r="M22" s="176">
        <f t="shared" si="6"/>
        <v>0.51203908677688981</v>
      </c>
      <c r="N22" s="167" t="s">
        <v>86</v>
      </c>
      <c r="O22" s="2"/>
      <c r="P22" s="22"/>
      <c r="Q22" s="59" t="s">
        <v>83</v>
      </c>
      <c r="R22" s="228">
        <f>IF($B$68=0,0,(SUMIF($N$6:$N$20,$U22,K$6:K$20)+SUMIF($N$78:$N$100,$U22,K$78:K$100))*$I$70*Poor!$B$68/$B$68)</f>
        <v>0</v>
      </c>
      <c r="S22" s="228">
        <f>IF($B$68=0,0,(SUMIF($N$6:$N$20,$U22,L$6:L$20)+SUMIF($N$78:$N$100,$U22,L$78:L$100))*$I$70*Poor!$B$68/$B$68)</f>
        <v>0</v>
      </c>
      <c r="T22" s="228">
        <f>IF($B$68=0,0,(SUMIF($N$6:$N$20,$U22,M$6:M$20)+SUMIF($N$78:$N$100,$U22,M$78:M$100))*$I$70*Poor!$B$68/$B$68)</f>
        <v>0</v>
      </c>
      <c r="U22" s="229">
        <v>16</v>
      </c>
      <c r="V22" s="56"/>
      <c r="W22" s="111"/>
      <c r="X22" s="119"/>
      <c r="Y22" s="185">
        <f>M22*4</f>
        <v>2.0481563471075592</v>
      </c>
      <c r="Z22" s="123">
        <f>IF($Y22=0,0,AA22/($Y$22))</f>
        <v>0</v>
      </c>
      <c r="AA22" s="189">
        <f>IF(AA66*4/$I$70+SUM(AA6:AA21)&lt;1,AA66*4/$I$70,1-SUM(AA6:AA21))</f>
        <v>0</v>
      </c>
      <c r="AB22" s="123">
        <f>IF($Y22=0,0,AC22/($Y$22))</f>
        <v>0</v>
      </c>
      <c r="AC22" s="189">
        <f>IF(AC66*4/$I$70+SUM(AC6:AC21)&lt;1,AC66*4/$I$70,1-SUM(AC6:AC21))</f>
        <v>0</v>
      </c>
      <c r="AD22" s="123">
        <f>IF($Y22=0,0,AE22/($Y$22))</f>
        <v>0</v>
      </c>
      <c r="AE22" s="189">
        <f>IF(AE66*4/$I$70+SUM(AE6:AE21)&lt;1,AE66*4/$I$70,1-SUM(AE6:AE21))</f>
        <v>0</v>
      </c>
      <c r="AF22" s="123">
        <f>IF($Y22=0,0,AG22/($Y$22))</f>
        <v>-2.8201214623886695E-2</v>
      </c>
      <c r="AG22" s="189">
        <f>IF(AG66*4/$I$70+SUM(AG6:AG21)&lt;1,AG66*4/$I$70,1-SUM(AG6:AG21))</f>
        <v>-5.7760496728056054E-2</v>
      </c>
      <c r="AH22" s="124">
        <f t="shared" si="12"/>
        <v>-2.8201214623886695E-2</v>
      </c>
      <c r="AI22" s="185">
        <f t="shared" si="13"/>
        <v>-1.4440124182014014E-2</v>
      </c>
      <c r="AJ22" s="121">
        <f t="shared" si="14"/>
        <v>0</v>
      </c>
      <c r="AK22" s="120">
        <f t="shared" si="15"/>
        <v>-2.8880248364028027E-2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95" t="s">
        <v>57</v>
      </c>
      <c r="B23" s="103" t="str">
        <f>IF(1-$B$24&gt;0,1-$B$24,"")</f>
        <v/>
      </c>
      <c r="C23" s="29"/>
      <c r="D23" s="24"/>
      <c r="E23" s="22"/>
      <c r="F23" s="22"/>
      <c r="H23" s="24"/>
      <c r="I23" s="22"/>
      <c r="J23" s="238">
        <f>($B$24-SUM(J6:J22))</f>
        <v>0</v>
      </c>
      <c r="K23" s="22" t="str">
        <f t="shared" si="4"/>
        <v/>
      </c>
      <c r="L23" s="22">
        <f>(1-SUM(L6:L22))</f>
        <v>-0.4999290006906949</v>
      </c>
      <c r="M23" s="179">
        <f t="shared" si="6"/>
        <v>0</v>
      </c>
      <c r="N23" s="168">
        <f>M23*I70</f>
        <v>0</v>
      </c>
      <c r="P23" s="22"/>
      <c r="Q23" s="172" t="s">
        <v>100</v>
      </c>
      <c r="R23" s="180">
        <f>SUM(R7:R22)</f>
        <v>369878.50552939071</v>
      </c>
      <c r="S23" s="180">
        <f>SUM(S7:S22)</f>
        <v>352053.84802939079</v>
      </c>
      <c r="T23" s="180">
        <f>SUM(T7:T22)</f>
        <v>352046.89677982393</v>
      </c>
      <c r="U23" s="56"/>
      <c r="V23" s="56"/>
      <c r="W23" s="130" t="s">
        <v>84</v>
      </c>
      <c r="X23" s="131"/>
      <c r="Y23" s="122">
        <f>M23*4</f>
        <v>0</v>
      </c>
      <c r="Z23" s="132"/>
      <c r="AA23" s="133">
        <f>1-AA24+IF($Y24&lt;0,$Y24/4,0)</f>
        <v>0</v>
      </c>
      <c r="AB23" s="132"/>
      <c r="AC23" s="134">
        <f>1-AC24+IF($Y24&lt;0,$Y24/4,0)</f>
        <v>0</v>
      </c>
      <c r="AD23" s="135"/>
      <c r="AE23" s="134">
        <f>1-AE24+IF($Y24&lt;0,$Y24/4,0)</f>
        <v>0</v>
      </c>
      <c r="AF23" s="135"/>
      <c r="AG23" s="134">
        <f>1-AG24+IF($Y24&lt;0,$Y24/4,0)</f>
        <v>0</v>
      </c>
      <c r="AH23" s="124"/>
      <c r="AI23" s="184">
        <f>SUM(AA23,AC23,AE23,AG23)/4</f>
        <v>0</v>
      </c>
      <c r="AJ23" s="136">
        <f t="shared" si="14"/>
        <v>0</v>
      </c>
      <c r="AK23" s="137">
        <f t="shared" si="15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>
      <c r="A24" s="22" t="s">
        <v>24</v>
      </c>
      <c r="B24" s="29">
        <f>SUM(B6:B22)</f>
        <v>1.526479210958904</v>
      </c>
      <c r="C24" s="29">
        <f>SUM(C6:C23)</f>
        <v>2.3686522868381834</v>
      </c>
      <c r="D24" s="24">
        <f>SUM(D6:D22)</f>
        <v>50.801501011425714</v>
      </c>
      <c r="E24" s="2"/>
      <c r="F24" s="2"/>
      <c r="H24" s="17"/>
      <c r="I24" s="22">
        <f>SUM(I6:I22)</f>
        <v>48.379620453882993</v>
      </c>
      <c r="J24" s="17"/>
      <c r="L24" s="22">
        <f>SUM(L6:L22)</f>
        <v>1.4999290006906949</v>
      </c>
      <c r="M24" s="23"/>
      <c r="N24" s="56"/>
      <c r="O24" s="2"/>
      <c r="P24" s="22"/>
      <c r="Q24" s="59" t="s">
        <v>137</v>
      </c>
      <c r="R24" s="41">
        <f>IF($B$68=0,0,($B$106*$H$106)+1-($D$21*$H$21)-($D$20*$H$20))*$I$70*Poor!$B$68/$B$68</f>
        <v>21925.553364673349</v>
      </c>
      <c r="S24" s="41">
        <f>IF($B$68=0,0,($B$106*($H$106)+1-($D$21*$H$21)-($D$20*$H$20))*$I$70*Poor!$B$68/$B$68)</f>
        <v>21925.553364673349</v>
      </c>
      <c r="T24" s="41">
        <f>IF($B$68=0,0,($B$106*($H$106)+1-($D$21*$H$21)-($D$20*$H$20))*$I$70*Poor!$B$68/$B$68)</f>
        <v>21925.553364673349</v>
      </c>
      <c r="U24" s="56"/>
      <c r="V24" s="56"/>
      <c r="W24" s="111"/>
      <c r="X24" s="119"/>
      <c r="Y24" s="116">
        <f>SUM(Y6:Y23)</f>
        <v>6.1059168438356162</v>
      </c>
      <c r="Z24" s="138"/>
      <c r="AA24" s="139">
        <f>SUM(AA6:AA22)</f>
        <v>1</v>
      </c>
      <c r="AB24" s="138"/>
      <c r="AC24" s="140">
        <f>SUM(AC6:AC22)</f>
        <v>1</v>
      </c>
      <c r="AD24" s="138"/>
      <c r="AE24" s="140">
        <f>SUM(AE6:AE22)</f>
        <v>1</v>
      </c>
      <c r="AF24" s="138"/>
      <c r="AG24" s="140">
        <f>SUM(AG6:AG22)</f>
        <v>1</v>
      </c>
      <c r="AH24" s="128"/>
      <c r="AI24" s="111"/>
      <c r="AJ24" s="141">
        <f>SUM(AJ6:AJ23)</f>
        <v>1</v>
      </c>
      <c r="AK24" s="142">
        <f>SUM(AK6:AK23)</f>
        <v>1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</row>
    <row r="25" spans="1:89" ht="14" customHeight="1" thickBot="1">
      <c r="A25" s="11"/>
      <c r="B25" s="11"/>
      <c r="C25" s="11"/>
      <c r="D25" s="10"/>
      <c r="E25" s="11"/>
      <c r="F25" s="11"/>
      <c r="G25" s="11"/>
      <c r="H25" s="10"/>
      <c r="I25" s="98" t="s">
        <v>25</v>
      </c>
      <c r="J25" s="99">
        <f>(1+K109*H109-L24-L109)/(I24-L24-L109)</f>
        <v>-9.5895059733117484E-4</v>
      </c>
      <c r="K25" s="14"/>
      <c r="L25" s="11"/>
      <c r="M25" s="30"/>
      <c r="N25" s="169" t="s">
        <v>87</v>
      </c>
      <c r="O25" s="2"/>
      <c r="P25" s="2"/>
      <c r="Q25" s="143" t="s">
        <v>138</v>
      </c>
      <c r="R25" s="41">
        <f>IF($B$68=0,0,($B$57+$B$58+((1-$D$21)*$B$70))*$H$71*Poor!$B$68/$B$68)</f>
        <v>35197.146827147968</v>
      </c>
      <c r="S25" s="41">
        <f>IF($B$68=0,0,(($B$57*$H$57)+($B$58*$H$58)+((1-($D$21*$H$21))*$I$70))*Poor!$B$68/$B$68)</f>
        <v>34894.793364673351</v>
      </c>
      <c r="T25" s="41">
        <f>IF($B$68=0,0,(($B$57*$H$57)+($B$58*$H$58)+((1-($D$21*$H$21))*$I$70))*Poor!$B$68/$B$68)</f>
        <v>34894.793364673351</v>
      </c>
      <c r="U25" s="56"/>
      <c r="V25" s="56"/>
      <c r="W25" s="111"/>
      <c r="X25" s="119"/>
      <c r="Y25" s="111"/>
      <c r="Z25" s="144"/>
      <c r="AA25" s="145"/>
      <c r="AB25" s="144"/>
      <c r="AC25" s="145"/>
      <c r="AD25" s="144"/>
      <c r="AE25" s="145"/>
      <c r="AF25" s="144"/>
      <c r="AG25" s="145"/>
      <c r="AH25" s="111"/>
      <c r="AI25" s="111"/>
      <c r="AJ25" s="144"/>
      <c r="AK25" s="145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</row>
    <row r="26" spans="1:89" ht="15.75" customHeight="1" thickBot="1">
      <c r="A26" s="73" t="s">
        <v>50</v>
      </c>
      <c r="B26" s="2"/>
      <c r="C26" s="2"/>
      <c r="D26" s="31"/>
      <c r="E26" s="32"/>
      <c r="F26" s="32"/>
      <c r="G26" s="32"/>
      <c r="H26" s="31"/>
      <c r="I26" s="2"/>
      <c r="J26" s="33"/>
      <c r="K26" s="34" t="s">
        <v>27</v>
      </c>
      <c r="L26" s="35"/>
      <c r="M26" s="36"/>
      <c r="N26" s="170">
        <f>-(M64*B63)</f>
        <v>0</v>
      </c>
      <c r="O26" s="2"/>
      <c r="P26" s="2"/>
      <c r="Q26" s="59" t="s">
        <v>139</v>
      </c>
      <c r="R26" s="41">
        <f>IF($B$68=0,0,($B$57+$B$58+$B$59+((1-$D$21)*$B$70))*$H$71*Poor!$B$68/$B$68)</f>
        <v>58832.487187227744</v>
      </c>
      <c r="S26" s="41">
        <f>IF($B$68=0,0,(($B$57*$H$57)+($B$58*$H$58)+($B$59*$H$59)+((1-($D$21*$H$21))*$I$70))*Poor!$B$68/$B$68)</f>
        <v>57991.673364673356</v>
      </c>
      <c r="T26" s="41">
        <f>IF($B$68=0,0,(($B$57*$H$57)+($B$58*$H$58)+($B$59*$H$59)+((1-($D$21*$H$21))*$I$70))*Poor!$B$68/$B$68)</f>
        <v>57991.673364673356</v>
      </c>
      <c r="U26" s="56"/>
      <c r="V26" s="56"/>
      <c r="W26" s="111"/>
      <c r="X26" s="119"/>
      <c r="Y26" s="111"/>
      <c r="Z26" s="146"/>
      <c r="AA26" s="147"/>
      <c r="AB26" s="146"/>
      <c r="AC26" s="147"/>
      <c r="AD26" s="146"/>
      <c r="AE26" s="147"/>
      <c r="AF26" s="146"/>
      <c r="AG26" s="147"/>
      <c r="AH26" s="111"/>
      <c r="AI26" s="111"/>
      <c r="AJ26" s="146"/>
      <c r="AK26" s="147"/>
      <c r="AP26" s="25"/>
      <c r="AQ26" s="25"/>
      <c r="AR26" s="25"/>
      <c r="AS26" s="25"/>
      <c r="AT26" s="25"/>
      <c r="AU26" s="25"/>
      <c r="AW26" s="25"/>
      <c r="AX26" s="25"/>
      <c r="AY26" s="25"/>
      <c r="AZ26" s="25"/>
      <c r="BA26" s="25"/>
      <c r="BB26" s="25"/>
      <c r="BF26" s="25"/>
      <c r="BG26" s="25"/>
      <c r="BH26" s="25"/>
      <c r="BI26" s="25"/>
      <c r="BJ26" s="25"/>
      <c r="BK26" s="25"/>
      <c r="BM26" s="25"/>
      <c r="BN26" s="25"/>
      <c r="BO26" s="25"/>
      <c r="BP26" s="25"/>
      <c r="BQ26" s="25"/>
      <c r="BR26" s="25"/>
      <c r="BU26" s="25"/>
      <c r="BV26" s="25"/>
      <c r="BW26" s="25"/>
      <c r="BX26" s="25"/>
      <c r="BY26" s="25"/>
      <c r="BZ26" s="25"/>
      <c r="CB26" s="25"/>
      <c r="CC26" s="25"/>
      <c r="CD26" s="25"/>
      <c r="CE26" s="25"/>
      <c r="CF26" s="25"/>
      <c r="CG26" s="25"/>
    </row>
    <row r="27" spans="1:89" ht="14" customHeight="1">
      <c r="A27" s="2"/>
      <c r="B27" s="19" t="s">
        <v>7</v>
      </c>
      <c r="C27" s="19" t="s">
        <v>8</v>
      </c>
      <c r="D27" s="16" t="s">
        <v>9</v>
      </c>
      <c r="E27" s="19" t="s">
        <v>10</v>
      </c>
      <c r="F27" s="2" t="s">
        <v>28</v>
      </c>
      <c r="G27" s="2" t="s">
        <v>29</v>
      </c>
      <c r="H27" s="16" t="s">
        <v>12</v>
      </c>
      <c r="I27" s="19" t="s">
        <v>13</v>
      </c>
      <c r="J27" s="16" t="s">
        <v>14</v>
      </c>
      <c r="K27" s="37" t="s">
        <v>7</v>
      </c>
      <c r="L27" s="19" t="s">
        <v>15</v>
      </c>
      <c r="M27" s="16" t="s">
        <v>14</v>
      </c>
      <c r="N27" s="2"/>
      <c r="O27" s="2"/>
      <c r="P27" s="2"/>
      <c r="Q27" s="127" t="s">
        <v>140</v>
      </c>
      <c r="R27" s="41">
        <f>IF($B$68=0,0,($B$57+$B$58+$B$59+$B$60+(1-$D$21-$D$20)*$B$70)*$H$71*Poor!$B$68/$B$68)</f>
        <v>136608.29577697121</v>
      </c>
      <c r="S27" s="41">
        <f>IF($B$68=0,0,(($B$57*$H$57)+($B$58*$H$58)+($B$59*$H$59)+($B$60*$H$60)+((1-($D$20*$H$20)-($D$21*$H$21))*$I$70))*Poor!$B$68/$B$68)</f>
        <v>133995.59336467338</v>
      </c>
      <c r="T27" s="41">
        <f>IF($B$68=0,0,(($B$57*$H$57)+($B$58*$H$58)+($B$59*$H$59)+($B$60*$H$60)+((1-($D$20*$H$20)-($D$21*$H$21))*$I$70))*Poor!$B$68/$B$68)</f>
        <v>133995.59336467338</v>
      </c>
      <c r="U27" s="56"/>
      <c r="V27" s="56"/>
      <c r="W27" s="111"/>
      <c r="X27" s="119"/>
      <c r="Y27" s="111"/>
      <c r="Z27" s="146"/>
      <c r="AA27" s="147"/>
      <c r="AB27" s="146"/>
      <c r="AC27" s="147"/>
      <c r="AD27" s="146"/>
      <c r="AE27" s="147"/>
      <c r="AF27" s="146"/>
      <c r="AG27" s="147"/>
      <c r="AH27" s="111"/>
      <c r="AI27" s="111"/>
      <c r="AJ27" s="146"/>
      <c r="AK27" s="147"/>
      <c r="AP27" s="25"/>
      <c r="AQ27" s="25"/>
      <c r="AR27" s="25"/>
      <c r="AS27" s="25"/>
      <c r="AT27" s="25"/>
      <c r="AU27" s="25"/>
      <c r="AW27" s="25"/>
      <c r="AX27" s="25"/>
      <c r="AY27" s="25"/>
      <c r="AZ27" s="25"/>
      <c r="BA27" s="25"/>
      <c r="BB27" s="25"/>
      <c r="BF27" s="25"/>
      <c r="BG27" s="25"/>
      <c r="BH27" s="25"/>
      <c r="BI27" s="25"/>
      <c r="BJ27" s="25"/>
      <c r="BK27" s="25"/>
      <c r="BM27" s="25"/>
      <c r="BN27" s="25"/>
      <c r="BO27" s="25"/>
      <c r="BP27" s="25"/>
      <c r="BQ27" s="25"/>
      <c r="BR27" s="25"/>
      <c r="BU27" s="25"/>
      <c r="BV27" s="25"/>
      <c r="BW27" s="25"/>
      <c r="BX27" s="25"/>
      <c r="BY27" s="25"/>
      <c r="BZ27" s="25"/>
      <c r="CB27" s="25"/>
      <c r="CC27" s="25"/>
      <c r="CD27" s="25"/>
      <c r="CE27" s="25"/>
      <c r="CF27" s="25"/>
      <c r="CG27" s="25"/>
    </row>
    <row r="28" spans="1:89" ht="14" customHeight="1">
      <c r="A28" s="2" t="s">
        <v>30</v>
      </c>
      <c r="B28" s="19" t="s">
        <v>16</v>
      </c>
      <c r="C28" s="19" t="s">
        <v>17</v>
      </c>
      <c r="D28" s="16" t="s">
        <v>16</v>
      </c>
      <c r="E28" s="19" t="s">
        <v>18</v>
      </c>
      <c r="F28" s="2" t="s">
        <v>31</v>
      </c>
      <c r="G28" s="2" t="s">
        <v>31</v>
      </c>
      <c r="H28" s="16" t="s">
        <v>18</v>
      </c>
      <c r="I28" s="19" t="s">
        <v>16</v>
      </c>
      <c r="J28" s="16" t="s">
        <v>16</v>
      </c>
      <c r="K28" s="37" t="s">
        <v>16</v>
      </c>
      <c r="L28" s="19" t="s">
        <v>19</v>
      </c>
      <c r="M28" s="16" t="s">
        <v>16</v>
      </c>
      <c r="N28" s="2"/>
      <c r="O28" s="2"/>
      <c r="P28" s="2"/>
      <c r="Q28" s="59"/>
      <c r="R28" s="181"/>
      <c r="S28" s="181"/>
      <c r="T28" s="181"/>
      <c r="U28" s="56"/>
      <c r="V28" s="56"/>
      <c r="W28" s="111"/>
      <c r="X28" s="119"/>
      <c r="Y28" s="111"/>
      <c r="Z28" s="146"/>
      <c r="AA28" s="147"/>
      <c r="AB28" s="146"/>
      <c r="AC28" s="147"/>
      <c r="AD28" s="146"/>
      <c r="AE28" s="147"/>
      <c r="AF28" s="146"/>
      <c r="AG28" s="147"/>
      <c r="AH28" s="111"/>
      <c r="AI28" s="111"/>
      <c r="AJ28" s="146"/>
      <c r="AK28" s="147"/>
      <c r="AP28" s="25"/>
      <c r="AQ28" s="25"/>
      <c r="AR28" s="25"/>
      <c r="AS28" s="25"/>
      <c r="AT28" s="25"/>
      <c r="AU28" s="25"/>
      <c r="AW28" s="25"/>
      <c r="AX28" s="25"/>
      <c r="AY28" s="25"/>
      <c r="AZ28" s="25"/>
      <c r="BA28" s="25"/>
      <c r="BB28" s="25"/>
      <c r="BF28" s="25"/>
      <c r="BG28" s="25"/>
      <c r="BH28" s="25"/>
      <c r="BI28" s="25"/>
      <c r="BJ28" s="25"/>
      <c r="BK28" s="25"/>
      <c r="BM28" s="25"/>
      <c r="BN28" s="25"/>
      <c r="BO28" s="25"/>
      <c r="BP28" s="25"/>
      <c r="BQ28" s="25"/>
      <c r="BR28" s="25"/>
      <c r="BU28" s="25"/>
      <c r="BV28" s="25"/>
      <c r="BW28" s="25"/>
      <c r="BX28" s="25"/>
      <c r="BY28" s="25"/>
      <c r="BZ28" s="25"/>
      <c r="CB28" s="25"/>
      <c r="CC28" s="25"/>
      <c r="CD28" s="25"/>
      <c r="CE28" s="25"/>
      <c r="CF28" s="25"/>
      <c r="CG28" s="25"/>
    </row>
    <row r="29" spans="1:89" ht="14" customHeight="1">
      <c r="A29" s="85" t="str">
        <f>IF(Poor!A29=0,"",Poor!A29)</f>
        <v>Cattle sales - local: no. sold</v>
      </c>
      <c r="B29" s="105">
        <f>IF([1]Summ!$J1064="",0,[1]Summ!$J1064)</f>
        <v>8000</v>
      </c>
      <c r="C29" s="105">
        <f>IF([1]Summ!$K1064="",0,[1]Summ!$K1064)</f>
        <v>0</v>
      </c>
      <c r="D29" s="38">
        <f t="shared" ref="D29:D51" si="17">B29+C29</f>
        <v>8000</v>
      </c>
      <c r="E29" s="75">
        <f>Middle!E29</f>
        <v>1</v>
      </c>
      <c r="F29" s="75">
        <f>Middle!F29</f>
        <v>1.1100000000000001</v>
      </c>
      <c r="G29" s="75">
        <f>Middle!G29</f>
        <v>1.1199999999999999</v>
      </c>
      <c r="H29" s="24">
        <f t="shared" ref="H29:H51" si="18">(E29*F29)</f>
        <v>1.1100000000000001</v>
      </c>
      <c r="I29" s="39">
        <f t="shared" ref="I29:I51" si="19">D29*H29</f>
        <v>8880</v>
      </c>
      <c r="J29" s="38">
        <f t="shared" ref="J29:J51" si="20">J78*I$70</f>
        <v>8880</v>
      </c>
      <c r="K29" s="40">
        <f t="shared" ref="K29:K51" si="21">(B29/B$52)</f>
        <v>2.9434692924865648E-2</v>
      </c>
      <c r="L29" s="22">
        <f t="shared" ref="L29:L51" si="22">(K29*H29)</f>
        <v>3.2672509146600873E-2</v>
      </c>
      <c r="M29" s="24">
        <f t="shared" ref="M29:M51" si="23">J29/B$52</f>
        <v>3.2672509146600866E-2</v>
      </c>
      <c r="N29" s="2"/>
      <c r="O29" s="2"/>
      <c r="P29" s="2"/>
      <c r="Q29" s="2"/>
      <c r="R29" s="181"/>
      <c r="S29" s="181"/>
      <c r="T29" s="181"/>
      <c r="U29" s="56"/>
      <c r="V29" s="56"/>
      <c r="W29" s="116"/>
      <c r="X29" s="119"/>
      <c r="Y29" s="111"/>
      <c r="Z29" s="123">
        <f>IF($J29=0,0,AA29/($J29))</f>
        <v>0</v>
      </c>
      <c r="AA29" s="148">
        <f>IF(SUM(AA$6:AA$21)+(SUM(AA$31:AA$51,-AA$57)/AA$70)&lt;1,IF(SUM(AA$6:AA$21)+(SUM(AA$31:AA$51,$J$29:$J$30,-AA$57)/AA$70)&lt;1,$J29,(AA$70-(SUM(AA$6:AA$21)*AA$70)-SUM(AA$31:AA$51,-AA$57))*($J29/SUM($J$29:$J$30))),0)</f>
        <v>0</v>
      </c>
      <c r="AB29" s="123">
        <f>IF($J29=0,0,AC29/($J29))</f>
        <v>0</v>
      </c>
      <c r="AC29" s="148">
        <f>IF(SUM(AC$6:AC$21)+(SUM(AC$31:AC$51,-AC$57)/AC$70)&lt;1,IF(SUM(AC$6:AC$21)+((SUM(AC$31:AC$51,$J$29:$J$30,-AC$57)-SUM($AA$29:$AA$30))/AC$70)&lt;1,$J29-$AA29,(AC$70-(SUM(AC$6:AC$21)*AC$70)-SUM(AC$31:AC$51,-AC$57))*($J29/SUM($J$29:$J$30))),0)</f>
        <v>0</v>
      </c>
      <c r="AD29" s="123">
        <f>IF($J29=0,0,AE29/($J29))</f>
        <v>0</v>
      </c>
      <c r="AE29" s="148">
        <f>IF(SUM(AE$6:AE$21)+(SUM(AE$31:AE$51,-AE$57)/AE$70)&lt;1,IF(SUM(AE$6:AE$21)+((SUM(AE$31:AE$51,$J$29:$J$30,-AE$57)-SUM($AA$29:$AA$30)-SUM($AC$29:$AC$30))/AE$70)&lt;1,$J29-$AA29-$AC29,(AE$70-(SUM(AE$6:AE$21)*AE$70)-SUM(AE$31:AE$51,-AE$57))*($J29/SUM($J$29:$J$30))),0)</f>
        <v>0</v>
      </c>
      <c r="AF29" s="123">
        <f t="shared" ref="AF29:AF51" si="24">1-SUM(Z29,AB29,AD29)</f>
        <v>1</v>
      </c>
      <c r="AG29" s="148">
        <f>$J29*AF29</f>
        <v>8880</v>
      </c>
      <c r="AH29" s="124">
        <f>SUM(Z29,AB29,AD29,AF29)</f>
        <v>1</v>
      </c>
      <c r="AI29" s="113">
        <f>SUM(AA29,AC29,AE29,AG29)</f>
        <v>8880</v>
      </c>
      <c r="AJ29" s="149">
        <f>(AA29+AC29)</f>
        <v>0</v>
      </c>
      <c r="AK29" s="148">
        <f>(AE29+AG29)</f>
        <v>8880</v>
      </c>
      <c r="AP29" s="25"/>
      <c r="AQ29" s="25"/>
      <c r="AR29" s="25"/>
      <c r="AS29" s="25"/>
      <c r="AT29" s="25"/>
      <c r="AU29" s="25"/>
      <c r="AW29" s="25"/>
      <c r="AX29" s="25"/>
      <c r="AY29" s="25"/>
      <c r="AZ29" s="25"/>
      <c r="BA29" s="25"/>
      <c r="BB29" s="25"/>
      <c r="BF29" s="25"/>
      <c r="BG29" s="25"/>
      <c r="BH29" s="25"/>
      <c r="BI29" s="25"/>
      <c r="BJ29" s="25"/>
      <c r="BK29" s="25"/>
      <c r="BM29" s="25"/>
      <c r="BN29" s="25"/>
      <c r="BO29" s="25"/>
      <c r="BP29" s="25"/>
      <c r="BQ29" s="25"/>
      <c r="BR29" s="25"/>
      <c r="BU29" s="25"/>
      <c r="BV29" s="25"/>
      <c r="BW29" s="25"/>
      <c r="BX29" s="25"/>
      <c r="BY29" s="25"/>
      <c r="BZ29" s="25"/>
      <c r="CB29" s="25"/>
      <c r="CC29" s="25"/>
      <c r="CD29" s="25"/>
      <c r="CE29" s="25"/>
      <c r="CF29" s="25"/>
      <c r="CG29" s="25"/>
    </row>
    <row r="30" spans="1:89" ht="14" customHeight="1">
      <c r="A30" s="85" t="str">
        <f>IF(Poor!A30=0,"",Poor!A30)</f>
        <v>Goat sales - local: no. sold</v>
      </c>
      <c r="B30" s="105">
        <f>IF([1]Summ!$J1065="",0,[1]Summ!$J1065)</f>
        <v>1800</v>
      </c>
      <c r="C30" s="105">
        <f>IF([1]Summ!$K1065="",0,[1]Summ!$K1065)</f>
        <v>-600</v>
      </c>
      <c r="D30" s="38">
        <f t="shared" si="17"/>
        <v>1200</v>
      </c>
      <c r="E30" s="75">
        <f>Middle!E30</f>
        <v>1</v>
      </c>
      <c r="F30" s="75">
        <f>Middle!F30</f>
        <v>1.0900000000000001</v>
      </c>
      <c r="G30" s="22">
        <f t="shared" ref="G30:G51" si="25">(G$29)</f>
        <v>1.1199999999999999</v>
      </c>
      <c r="H30" s="24">
        <f t="shared" si="18"/>
        <v>1.0900000000000001</v>
      </c>
      <c r="I30" s="39">
        <f t="shared" si="19"/>
        <v>1308</v>
      </c>
      <c r="J30" s="38">
        <f t="shared" si="20"/>
        <v>1962.6271536906547</v>
      </c>
      <c r="K30" s="40">
        <f t="shared" si="21"/>
        <v>6.6228059080947702E-3</v>
      </c>
      <c r="L30" s="22">
        <f t="shared" si="22"/>
        <v>7.2188584398233E-3</v>
      </c>
      <c r="M30" s="24">
        <f t="shared" si="23"/>
        <v>7.2211659493609396E-3</v>
      </c>
      <c r="N30" s="2"/>
      <c r="O30" s="2"/>
      <c r="P30" s="2"/>
      <c r="Q30" s="59"/>
      <c r="R30" s="181"/>
      <c r="S30" s="181"/>
      <c r="T30" s="181"/>
      <c r="U30" s="56"/>
      <c r="V30" s="56"/>
      <c r="W30" s="116"/>
      <c r="X30" s="119"/>
      <c r="Y30" s="111"/>
      <c r="Z30" s="123">
        <f>IF($J30=0,0,AA30/($J30))</f>
        <v>0</v>
      </c>
      <c r="AA30" s="148">
        <f>IF(SUM(AA$6:AA$21)+(SUM(AA$31:AA$51,-AA$57)/AA$70)&lt;1,IF(SUM(AA$6:AA$21)+(SUM(AA$31:AA$51,$J$29:$J$30,-AA$57)/AA$70)&lt;1,$J30,(AA$70-(SUM(AA$6:AA$21)*AA$70)-SUM(AA$31:AA$51,-AA$57))*($J30/SUM($J$29:$J$30))),0)</f>
        <v>0</v>
      </c>
      <c r="AB30" s="123">
        <f>IF($J30=0,0,AC30/($J30))</f>
        <v>0</v>
      </c>
      <c r="AC30" s="148">
        <f>IF(SUM(AC$6:AC$21)+(SUM(AC$31:AC$51,-AC$57)/AC$70)&lt;1,IF(SUM(AC$6:AC$21)+((SUM(AC$31:AC$51,$J$29:$J$30,-AC$57)-SUM($AA$29:$AA$30))/AC$70)&lt;1,$J30-$AA30,(AC$70-(SUM(AC$6:AC$21)*AC$70)-SUM(AC$31:AC$51,-AC$57))*($J30/SUM($J$29:$J$30))),0)</f>
        <v>0</v>
      </c>
      <c r="AD30" s="123">
        <f>IF($J30=0,0,AE30/($J30))</f>
        <v>0</v>
      </c>
      <c r="AE30" s="148">
        <f>IF(SUM(AE$6:AE$21)+(SUM(AE$31:AE$51,-AE$57)/AE$70)&lt;1,IF(SUM(AE$6:AE$21)+((SUM(AE$31:AE$51,$J$29:$J$30,-AE$57)-SUM($AA$29:$AA$30)-SUM($AC$29:$AC$30))/AE$70)&lt;1,$J30-$AA30-$AC30,(AE$70-(SUM(AE$6:AE$21)*AE$70)-SUM(AE$31:AE$51,-AE$57))*($J30/SUM($J$29:$J$30))),0)</f>
        <v>0</v>
      </c>
      <c r="AF30" s="123">
        <f t="shared" si="24"/>
        <v>1</v>
      </c>
      <c r="AG30" s="148">
        <f t="shared" ref="AG30:AG51" si="26">$J30*AF30</f>
        <v>1962.6271536906547</v>
      </c>
      <c r="AH30" s="124">
        <f t="shared" ref="AH30:AI45" si="27">SUM(Z30,AB30,AD30,AF30)</f>
        <v>1</v>
      </c>
      <c r="AI30" s="113">
        <f t="shared" si="27"/>
        <v>1962.6271536906547</v>
      </c>
      <c r="AJ30" s="149">
        <f t="shared" ref="AJ30:AJ51" si="28">(AA30+AC30)</f>
        <v>0</v>
      </c>
      <c r="AK30" s="148">
        <f t="shared" ref="AK30:AK51" si="29">(AE30+AG30)</f>
        <v>1962.6271536906547</v>
      </c>
      <c r="AP30" s="25"/>
      <c r="AQ30" s="25"/>
      <c r="AR30" s="25"/>
      <c r="AS30" s="25"/>
      <c r="AT30" s="25"/>
      <c r="AU30" s="25"/>
      <c r="AW30" s="25"/>
      <c r="AX30" s="25"/>
      <c r="AY30" s="25"/>
      <c r="AZ30" s="25"/>
      <c r="BA30" s="25"/>
      <c r="BB30" s="25"/>
      <c r="BF30" s="25"/>
      <c r="BG30" s="25"/>
      <c r="BH30" s="25"/>
      <c r="BI30" s="25"/>
      <c r="BJ30" s="25"/>
      <c r="BK30" s="25"/>
      <c r="BM30" s="25"/>
      <c r="BN30" s="25"/>
      <c r="BO30" s="25"/>
      <c r="BP30" s="25"/>
      <c r="BQ30" s="25"/>
      <c r="BR30" s="25"/>
      <c r="BU30" s="25"/>
      <c r="BV30" s="25"/>
      <c r="BW30" s="25"/>
      <c r="BX30" s="25"/>
      <c r="BY30" s="25"/>
      <c r="BZ30" s="25"/>
      <c r="CB30" s="25"/>
      <c r="CC30" s="25"/>
      <c r="CD30" s="25"/>
      <c r="CE30" s="25"/>
      <c r="CF30" s="25"/>
      <c r="CG30" s="25"/>
    </row>
    <row r="31" spans="1:89" ht="14" customHeight="1">
      <c r="A31" s="85" t="str">
        <f>IF(Poor!A31=0,"",Poor!A31)</f>
        <v>Chicken sales: no. sold</v>
      </c>
      <c r="B31" s="105">
        <f>IF([1]Summ!$J1066="",0,[1]Summ!$J1066)</f>
        <v>0</v>
      </c>
      <c r="C31" s="105">
        <f>IF([1]Summ!$K1066="",0,[1]Summ!$K1066)</f>
        <v>0</v>
      </c>
      <c r="D31" s="38">
        <f t="shared" si="17"/>
        <v>0</v>
      </c>
      <c r="E31" s="75">
        <f>Middle!E31</f>
        <v>1</v>
      </c>
      <c r="F31" s="75">
        <f>Middle!F31</f>
        <v>1.0900000000000001</v>
      </c>
      <c r="G31" s="22">
        <f t="shared" si="25"/>
        <v>1.1199999999999999</v>
      </c>
      <c r="H31" s="24">
        <f t="shared" si="18"/>
        <v>1.0900000000000001</v>
      </c>
      <c r="I31" s="39">
        <f t="shared" si="19"/>
        <v>0</v>
      </c>
      <c r="J31" s="38">
        <f t="shared" si="20"/>
        <v>0</v>
      </c>
      <c r="K31" s="40">
        <f t="shared" si="21"/>
        <v>0</v>
      </c>
      <c r="L31" s="22">
        <f t="shared" si="22"/>
        <v>0</v>
      </c>
      <c r="M31" s="24">
        <f t="shared" si="23"/>
        <v>0</v>
      </c>
      <c r="N31" s="2"/>
      <c r="O31" s="2"/>
      <c r="P31" s="2"/>
      <c r="Q31" s="59"/>
      <c r="R31" s="181"/>
      <c r="S31" s="181"/>
      <c r="T31" s="181"/>
      <c r="U31" s="56"/>
      <c r="V31" s="56"/>
      <c r="W31" s="116"/>
      <c r="X31" s="119">
        <f>X8</f>
        <v>1</v>
      </c>
      <c r="Y31" s="111"/>
      <c r="Z31" s="123">
        <f>Z8</f>
        <v>0.27194407723138175</v>
      </c>
      <c r="AA31" s="148">
        <f>$J31*Z31</f>
        <v>0</v>
      </c>
      <c r="AB31" s="123">
        <f>AB8</f>
        <v>0.27194407723138175</v>
      </c>
      <c r="AC31" s="148">
        <f>$J31*AB31</f>
        <v>0</v>
      </c>
      <c r="AD31" s="123">
        <f>AD8</f>
        <v>0.24266884206430356</v>
      </c>
      <c r="AE31" s="148">
        <f>$J31*AD31</f>
        <v>0</v>
      </c>
      <c r="AF31" s="123">
        <f t="shared" si="24"/>
        <v>0.21344300347293288</v>
      </c>
      <c r="AG31" s="148">
        <f t="shared" si="26"/>
        <v>0</v>
      </c>
      <c r="AH31" s="124">
        <f t="shared" si="27"/>
        <v>1</v>
      </c>
      <c r="AI31" s="113">
        <f t="shared" si="27"/>
        <v>0</v>
      </c>
      <c r="AJ31" s="149">
        <f t="shared" si="28"/>
        <v>0</v>
      </c>
      <c r="AK31" s="148">
        <f t="shared" si="29"/>
        <v>0</v>
      </c>
      <c r="AP31" s="25"/>
      <c r="AQ31" s="25"/>
      <c r="AR31" s="25"/>
      <c r="AS31" s="25"/>
      <c r="AT31" s="25"/>
      <c r="AU31" s="25"/>
      <c r="AW31" s="25"/>
      <c r="AX31" s="25"/>
      <c r="AY31" s="25"/>
      <c r="AZ31" s="25"/>
      <c r="BA31" s="25"/>
      <c r="BB31" s="25"/>
      <c r="BF31" s="25"/>
      <c r="BG31" s="25"/>
      <c r="BH31" s="25"/>
      <c r="BI31" s="25"/>
      <c r="BJ31" s="25"/>
      <c r="BK31" s="25"/>
      <c r="BM31" s="25"/>
      <c r="BN31" s="25"/>
      <c r="BO31" s="25"/>
      <c r="BP31" s="25"/>
      <c r="BQ31" s="25"/>
      <c r="BR31" s="25"/>
      <c r="BU31" s="25"/>
      <c r="BV31" s="25"/>
      <c r="BW31" s="25"/>
      <c r="BX31" s="25"/>
      <c r="BY31" s="25"/>
      <c r="BZ31" s="25"/>
      <c r="CB31" s="25"/>
      <c r="CC31" s="25"/>
      <c r="CD31" s="25"/>
      <c r="CE31" s="25"/>
      <c r="CF31" s="25"/>
      <c r="CG31" s="25"/>
    </row>
    <row r="32" spans="1:89" ht="14" customHeight="1">
      <c r="A32" s="85" t="str">
        <f>IF(Poor!A32=0,"",Poor!A32)</f>
        <v>Maize: kg produced</v>
      </c>
      <c r="B32" s="105">
        <f>IF([1]Summ!$J1067="",0,[1]Summ!$J1067)</f>
        <v>7200</v>
      </c>
      <c r="C32" s="105">
        <f>IF([1]Summ!$K1067="",0,[1]Summ!$K1067)</f>
        <v>-7200</v>
      </c>
      <c r="D32" s="38">
        <f t="shared" si="17"/>
        <v>0</v>
      </c>
      <c r="E32" s="75">
        <f>Middle!E32</f>
        <v>1</v>
      </c>
      <c r="F32" s="75">
        <f>Middle!F32</f>
        <v>1.02</v>
      </c>
      <c r="G32" s="22">
        <f t="shared" si="25"/>
        <v>1.1199999999999999</v>
      </c>
      <c r="H32" s="24">
        <f t="shared" si="18"/>
        <v>1.02</v>
      </c>
      <c r="I32" s="39">
        <f t="shared" si="19"/>
        <v>0</v>
      </c>
      <c r="J32" s="38">
        <f t="shared" si="20"/>
        <v>7351.0425331868</v>
      </c>
      <c r="K32" s="40">
        <f t="shared" si="21"/>
        <v>2.6491223632379081E-2</v>
      </c>
      <c r="L32" s="22">
        <f t="shared" si="22"/>
        <v>2.7021048105026663E-2</v>
      </c>
      <c r="M32" s="24">
        <f t="shared" si="23"/>
        <v>2.7046959955247495E-2</v>
      </c>
      <c r="N32" s="2"/>
      <c r="O32" s="2"/>
      <c r="P32" s="2"/>
      <c r="Q32" s="56"/>
      <c r="R32" s="68"/>
      <c r="S32" s="68"/>
      <c r="T32" s="68"/>
      <c r="U32" s="56"/>
      <c r="V32" s="56"/>
      <c r="W32" s="116"/>
      <c r="X32" s="119">
        <f>X9</f>
        <v>1</v>
      </c>
      <c r="Y32" s="111"/>
      <c r="Z32" s="123">
        <f>Z9</f>
        <v>0.27194407723138175</v>
      </c>
      <c r="AA32" s="148">
        <f>$J32*Z32</f>
        <v>1999.0724783761234</v>
      </c>
      <c r="AB32" s="123">
        <f>AB9</f>
        <v>0.27194407723138175</v>
      </c>
      <c r="AC32" s="148">
        <f>$J32*AB32</f>
        <v>1999.0724783761234</v>
      </c>
      <c r="AD32" s="123">
        <f>AD9</f>
        <v>0.24266884206430353</v>
      </c>
      <c r="AE32" s="148">
        <f>$J32*AD32</f>
        <v>1783.8689794938853</v>
      </c>
      <c r="AF32" s="123">
        <f t="shared" si="24"/>
        <v>0.21344300347293299</v>
      </c>
      <c r="AG32" s="148">
        <f t="shared" si="26"/>
        <v>1569.0285969406682</v>
      </c>
      <c r="AH32" s="124">
        <f t="shared" si="27"/>
        <v>1</v>
      </c>
      <c r="AI32" s="113">
        <f t="shared" si="27"/>
        <v>7351.0425331868009</v>
      </c>
      <c r="AJ32" s="149">
        <f t="shared" si="28"/>
        <v>3998.1449567522468</v>
      </c>
      <c r="AK32" s="148">
        <f t="shared" si="29"/>
        <v>3352.8975764345532</v>
      </c>
      <c r="AP32" s="25"/>
      <c r="AQ32" s="25"/>
      <c r="AR32" s="25"/>
      <c r="AS32" s="25"/>
      <c r="AT32" s="25"/>
      <c r="AU32" s="25"/>
      <c r="AW32" s="25"/>
      <c r="AX32" s="25"/>
      <c r="AY32" s="25"/>
      <c r="AZ32" s="25"/>
      <c r="BA32" s="25"/>
      <c r="BB32" s="25"/>
      <c r="BF32" s="25"/>
      <c r="BG32" s="25"/>
      <c r="BH32" s="25"/>
      <c r="BI32" s="25"/>
      <c r="BJ32" s="25"/>
      <c r="BK32" s="25"/>
      <c r="BM32" s="25"/>
      <c r="BN32" s="25"/>
      <c r="BO32" s="25"/>
      <c r="BP32" s="25"/>
      <c r="BQ32" s="25"/>
      <c r="BR32" s="25"/>
      <c r="BU32" s="25"/>
      <c r="BV32" s="25"/>
      <c r="BW32" s="25"/>
      <c r="BX32" s="25"/>
      <c r="BY32" s="25"/>
      <c r="BZ32" s="25"/>
      <c r="CB32" s="25"/>
      <c r="CC32" s="25"/>
      <c r="CD32" s="25"/>
      <c r="CE32" s="25"/>
      <c r="CF32" s="25"/>
      <c r="CG32" s="25"/>
    </row>
    <row r="33" spans="1:85" ht="14" customHeight="1">
      <c r="A33" s="85" t="str">
        <f>IF(Poor!A33=0,"",Poor!A33)</f>
        <v>Beans: kg produced</v>
      </c>
      <c r="B33" s="105">
        <f>IF([1]Summ!$J1068="",0,[1]Summ!$J1068)</f>
        <v>1000</v>
      </c>
      <c r="C33" s="105">
        <f>IF([1]Summ!$K1068="",0,[1]Summ!$K1068)</f>
        <v>0</v>
      </c>
      <c r="D33" s="38">
        <f t="shared" si="17"/>
        <v>1000</v>
      </c>
      <c r="E33" s="75">
        <f>Middle!E33</f>
        <v>1</v>
      </c>
      <c r="F33" s="75">
        <f>Middle!F33</f>
        <v>1.1299999999999999</v>
      </c>
      <c r="G33" s="22">
        <f t="shared" si="25"/>
        <v>1.1199999999999999</v>
      </c>
      <c r="H33" s="24">
        <f t="shared" si="18"/>
        <v>1.1299999999999999</v>
      </c>
      <c r="I33" s="39">
        <f t="shared" si="19"/>
        <v>1130</v>
      </c>
      <c r="J33" s="38">
        <f t="shared" si="20"/>
        <v>1130</v>
      </c>
      <c r="K33" s="40">
        <f t="shared" si="21"/>
        <v>3.679336615608206E-3</v>
      </c>
      <c r="L33" s="22">
        <f t="shared" si="22"/>
        <v>4.1576503756372727E-3</v>
      </c>
      <c r="M33" s="24">
        <f t="shared" si="23"/>
        <v>4.1576503756372727E-3</v>
      </c>
      <c r="N33" s="2"/>
      <c r="O33" s="2"/>
      <c r="P33" s="2"/>
      <c r="Q33" s="59"/>
      <c r="R33" s="220"/>
      <c r="S33" s="220"/>
      <c r="T33" s="220"/>
      <c r="U33" s="56"/>
      <c r="V33" s="56"/>
      <c r="W33" s="116"/>
      <c r="X33" s="119">
        <f>X11</f>
        <v>1</v>
      </c>
      <c r="Y33" s="111"/>
      <c r="Z33" s="123">
        <f>Z11</f>
        <v>0</v>
      </c>
      <c r="AA33" s="148">
        <f>$J33*Z33</f>
        <v>0</v>
      </c>
      <c r="AB33" s="123">
        <f>AB11</f>
        <v>0</v>
      </c>
      <c r="AC33" s="148">
        <f>$J33*AB33</f>
        <v>0</v>
      </c>
      <c r="AD33" s="123">
        <f>AD11</f>
        <v>0</v>
      </c>
      <c r="AE33" s="148">
        <f>$J33*AD33</f>
        <v>0</v>
      </c>
      <c r="AF33" s="123">
        <f t="shared" si="24"/>
        <v>1</v>
      </c>
      <c r="AG33" s="148">
        <f t="shared" si="26"/>
        <v>1130</v>
      </c>
      <c r="AH33" s="124">
        <f t="shared" si="27"/>
        <v>1</v>
      </c>
      <c r="AI33" s="113">
        <f t="shared" si="27"/>
        <v>1130</v>
      </c>
      <c r="AJ33" s="149">
        <f t="shared" si="28"/>
        <v>0</v>
      </c>
      <c r="AK33" s="148">
        <f t="shared" si="29"/>
        <v>1130</v>
      </c>
      <c r="AP33" s="25"/>
      <c r="AQ33" s="25"/>
      <c r="AR33" s="25"/>
      <c r="AS33" s="25"/>
      <c r="AT33" s="25"/>
      <c r="AU33" s="25"/>
      <c r="AW33" s="25"/>
      <c r="AX33" s="25"/>
      <c r="AY33" s="25"/>
      <c r="AZ33" s="25"/>
      <c r="BA33" s="25"/>
      <c r="BB33" s="25"/>
      <c r="BF33" s="25"/>
      <c r="BG33" s="25"/>
      <c r="BH33" s="25"/>
      <c r="BI33" s="25"/>
      <c r="BJ33" s="25"/>
      <c r="BK33" s="25"/>
      <c r="BM33" s="25"/>
      <c r="BN33" s="25"/>
      <c r="BO33" s="25"/>
      <c r="BP33" s="25"/>
      <c r="BQ33" s="25"/>
      <c r="BR33" s="25"/>
      <c r="BU33" s="25"/>
      <c r="BV33" s="25"/>
      <c r="BW33" s="25"/>
      <c r="BX33" s="25"/>
      <c r="BY33" s="25"/>
      <c r="BZ33" s="25"/>
      <c r="CB33" s="25"/>
      <c r="CC33" s="25"/>
      <c r="CD33" s="25"/>
      <c r="CE33" s="25"/>
      <c r="CF33" s="25"/>
      <c r="CG33" s="25"/>
    </row>
    <row r="34" spans="1:85" ht="14" customHeight="1">
      <c r="A34" s="85" t="str">
        <f>IF(Poor!A34=0,"",Poor!A34)</f>
        <v>Water melon: no. local meas</v>
      </c>
      <c r="B34" s="105">
        <f>IF([1]Summ!$J1069="",0,[1]Summ!$J1069)</f>
        <v>0</v>
      </c>
      <c r="C34" s="105">
        <f>IF([1]Summ!$K1069="",0,[1]Summ!$K1069)</f>
        <v>0</v>
      </c>
      <c r="D34" s="38">
        <f t="shared" si="17"/>
        <v>0</v>
      </c>
      <c r="E34" s="75">
        <f>Middle!E34</f>
        <v>1</v>
      </c>
      <c r="F34" s="75">
        <f>Middle!F34</f>
        <v>1.22</v>
      </c>
      <c r="G34" s="22">
        <f t="shared" si="25"/>
        <v>1.1199999999999999</v>
      </c>
      <c r="H34" s="24">
        <f t="shared" si="18"/>
        <v>1.22</v>
      </c>
      <c r="I34" s="39">
        <f t="shared" si="19"/>
        <v>0</v>
      </c>
      <c r="J34" s="38">
        <f t="shared" si="20"/>
        <v>0</v>
      </c>
      <c r="K34" s="40">
        <f t="shared" si="21"/>
        <v>0</v>
      </c>
      <c r="L34" s="22">
        <f t="shared" si="22"/>
        <v>0</v>
      </c>
      <c r="M34" s="24">
        <f t="shared" si="23"/>
        <v>0</v>
      </c>
      <c r="N34" s="2"/>
      <c r="O34" s="2"/>
      <c r="P34" s="2"/>
      <c r="Q34" s="59"/>
      <c r="R34" s="220"/>
      <c r="S34" s="220"/>
      <c r="T34" s="220"/>
      <c r="U34" s="56"/>
      <c r="V34" s="56"/>
      <c r="W34" s="116"/>
      <c r="X34" s="119"/>
      <c r="Y34" s="111"/>
      <c r="Z34" s="157">
        <f>Poor!Z34</f>
        <v>0.25</v>
      </c>
      <c r="AA34" s="148">
        <f t="shared" ref="AA34:AA51" si="30">$J34*Z34</f>
        <v>0</v>
      </c>
      <c r="AB34" s="157">
        <f>Poor!AB34</f>
        <v>0</v>
      </c>
      <c r="AC34" s="148">
        <f t="shared" ref="AC34:AC51" si="31">$J34*AB34</f>
        <v>0</v>
      </c>
      <c r="AD34" s="157">
        <f>Poor!AD34</f>
        <v>0.5</v>
      </c>
      <c r="AE34" s="148">
        <f t="shared" ref="AE34:AE51" si="32">$J34*AD34</f>
        <v>0</v>
      </c>
      <c r="AF34" s="123">
        <f t="shared" si="24"/>
        <v>0.25</v>
      </c>
      <c r="AG34" s="148">
        <f t="shared" si="26"/>
        <v>0</v>
      </c>
      <c r="AH34" s="124">
        <f t="shared" si="27"/>
        <v>1</v>
      </c>
      <c r="AI34" s="113">
        <f t="shared" si="27"/>
        <v>0</v>
      </c>
      <c r="AJ34" s="149">
        <f t="shared" si="28"/>
        <v>0</v>
      </c>
      <c r="AK34" s="148">
        <f t="shared" si="29"/>
        <v>0</v>
      </c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5" ht="14" customHeight="1">
      <c r="A35" s="85" t="str">
        <f>IF(Poor!A35=0,"",Poor!A35)</f>
        <v>WILD FOODS -- see worksheet Data 3</v>
      </c>
      <c r="B35" s="105">
        <f>IF([1]Summ!$J1070="",0,[1]Summ!$J1070)</f>
        <v>0</v>
      </c>
      <c r="C35" s="105">
        <f>IF([1]Summ!$K1070="",0,[1]Summ!$K1070)</f>
        <v>0</v>
      </c>
      <c r="D35" s="38">
        <f t="shared" si="17"/>
        <v>0</v>
      </c>
      <c r="E35" s="75">
        <f>Middle!E35</f>
        <v>0.8</v>
      </c>
      <c r="F35" s="75">
        <f>Middle!F35</f>
        <v>1</v>
      </c>
      <c r="G35" s="22">
        <f t="shared" si="25"/>
        <v>1.1199999999999999</v>
      </c>
      <c r="H35" s="24">
        <f t="shared" si="18"/>
        <v>0.8</v>
      </c>
      <c r="I35" s="39">
        <f t="shared" si="19"/>
        <v>0</v>
      </c>
      <c r="J35" s="38">
        <f t="shared" si="20"/>
        <v>0</v>
      </c>
      <c r="K35" s="40">
        <f t="shared" si="21"/>
        <v>0</v>
      </c>
      <c r="L35" s="22">
        <f t="shared" si="22"/>
        <v>0</v>
      </c>
      <c r="M35" s="24">
        <f t="shared" si="23"/>
        <v>0</v>
      </c>
      <c r="N35" s="2"/>
      <c r="O35" s="2"/>
      <c r="P35" s="2"/>
      <c r="Q35" s="56"/>
      <c r="R35" s="56"/>
      <c r="S35" s="56"/>
      <c r="T35" s="56"/>
      <c r="U35" s="56"/>
      <c r="V35" s="56"/>
      <c r="W35" s="116"/>
      <c r="X35" s="119"/>
      <c r="Y35" s="111"/>
      <c r="Z35" s="157">
        <f>Poor!Z35</f>
        <v>0.25</v>
      </c>
      <c r="AA35" s="148">
        <f t="shared" si="30"/>
        <v>0</v>
      </c>
      <c r="AB35" s="157">
        <f>Poor!AB35</f>
        <v>0.25</v>
      </c>
      <c r="AC35" s="148">
        <f t="shared" si="31"/>
        <v>0</v>
      </c>
      <c r="AD35" s="157">
        <f>Poor!AD35</f>
        <v>0.25</v>
      </c>
      <c r="AE35" s="148">
        <f t="shared" si="32"/>
        <v>0</v>
      </c>
      <c r="AF35" s="123">
        <f t="shared" si="24"/>
        <v>0.25</v>
      </c>
      <c r="AG35" s="148">
        <f t="shared" si="26"/>
        <v>0</v>
      </c>
      <c r="AH35" s="124">
        <f t="shared" si="27"/>
        <v>1</v>
      </c>
      <c r="AI35" s="113">
        <f t="shared" si="27"/>
        <v>0</v>
      </c>
      <c r="AJ35" s="149">
        <f t="shared" si="28"/>
        <v>0</v>
      </c>
      <c r="AK35" s="148">
        <f t="shared" si="29"/>
        <v>0</v>
      </c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5" ht="14" customHeight="1">
      <c r="A36" s="85" t="str">
        <f>IF(Poor!A36=0,"",Poor!A36)</f>
        <v>Agricultural cash income -- see Data2</v>
      </c>
      <c r="B36" s="105">
        <f>IF([1]Summ!$J1071="",0,[1]Summ!$J1071)</f>
        <v>0</v>
      </c>
      <c r="C36" s="105">
        <f>IF([1]Summ!$K1071="",0,[1]Summ!$K1071)</f>
        <v>0</v>
      </c>
      <c r="D36" s="38">
        <f t="shared" si="17"/>
        <v>0</v>
      </c>
      <c r="E36" s="75">
        <f>Middle!E36</f>
        <v>0.87</v>
      </c>
      <c r="F36" s="75">
        <f>Middle!F36</f>
        <v>1.1100000000000001</v>
      </c>
      <c r="G36" s="22">
        <f t="shared" si="25"/>
        <v>1.1199999999999999</v>
      </c>
      <c r="H36" s="24">
        <f t="shared" si="18"/>
        <v>0.96570000000000011</v>
      </c>
      <c r="I36" s="39">
        <f t="shared" si="19"/>
        <v>0</v>
      </c>
      <c r="J36" s="38">
        <f t="shared" si="20"/>
        <v>0</v>
      </c>
      <c r="K36" s="40">
        <f t="shared" si="21"/>
        <v>0</v>
      </c>
      <c r="L36" s="22">
        <f t="shared" si="22"/>
        <v>0</v>
      </c>
      <c r="M36" s="24">
        <f t="shared" si="23"/>
        <v>0</v>
      </c>
      <c r="N36" s="2"/>
      <c r="O36" s="2"/>
      <c r="P36" s="2"/>
      <c r="Q36" s="59"/>
      <c r="R36" s="220"/>
      <c r="S36" s="220"/>
      <c r="T36" s="220"/>
      <c r="U36" s="56"/>
      <c r="V36" s="56"/>
      <c r="W36" s="118"/>
      <c r="X36" s="119"/>
      <c r="Y36" s="111"/>
      <c r="Z36" s="157">
        <f>Poor!Z36</f>
        <v>0.25</v>
      </c>
      <c r="AA36" s="148">
        <f t="shared" si="30"/>
        <v>0</v>
      </c>
      <c r="AB36" s="157">
        <f>Poor!AB36</f>
        <v>0.25</v>
      </c>
      <c r="AC36" s="148">
        <f t="shared" si="31"/>
        <v>0</v>
      </c>
      <c r="AD36" s="157">
        <f>Poor!AD36</f>
        <v>0.25</v>
      </c>
      <c r="AE36" s="148">
        <f t="shared" si="32"/>
        <v>0</v>
      </c>
      <c r="AF36" s="123">
        <f t="shared" si="24"/>
        <v>0.25</v>
      </c>
      <c r="AG36" s="148">
        <f t="shared" si="26"/>
        <v>0</v>
      </c>
      <c r="AH36" s="124">
        <f t="shared" si="27"/>
        <v>1</v>
      </c>
      <c r="AI36" s="113">
        <f t="shared" si="27"/>
        <v>0</v>
      </c>
      <c r="AJ36" s="149">
        <f t="shared" si="28"/>
        <v>0</v>
      </c>
      <c r="AK36" s="148">
        <f t="shared" si="29"/>
        <v>0</v>
      </c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5" ht="14" customHeight="1">
      <c r="A37" s="85" t="str">
        <f>IF(Poor!A37=0,"",Poor!A37)</f>
        <v>Construction cash income -- see Data2</v>
      </c>
      <c r="B37" s="105">
        <f>IF([1]Summ!$J1072="",0,[1]Summ!$J1072)</f>
        <v>0</v>
      </c>
      <c r="C37" s="105">
        <f>IF([1]Summ!$K1072="",0,[1]Summ!$K1072)</f>
        <v>0</v>
      </c>
      <c r="D37" s="38">
        <f t="shared" si="17"/>
        <v>0</v>
      </c>
      <c r="E37" s="75">
        <f>Middle!E37</f>
        <v>1</v>
      </c>
      <c r="F37" s="75">
        <f>Middle!F37</f>
        <v>1.1000000000000001</v>
      </c>
      <c r="G37" s="22">
        <f t="shared" si="25"/>
        <v>1.1199999999999999</v>
      </c>
      <c r="H37" s="24">
        <f t="shared" si="18"/>
        <v>1.1000000000000001</v>
      </c>
      <c r="I37" s="39">
        <f t="shared" si="19"/>
        <v>0</v>
      </c>
      <c r="J37" s="38">
        <f t="shared" si="20"/>
        <v>0</v>
      </c>
      <c r="K37" s="40">
        <f t="shared" si="21"/>
        <v>0</v>
      </c>
      <c r="L37" s="22">
        <f t="shared" si="22"/>
        <v>0</v>
      </c>
      <c r="M37" s="24">
        <f t="shared" si="23"/>
        <v>0</v>
      </c>
      <c r="N37" s="2"/>
      <c r="O37" s="2"/>
      <c r="P37" s="2"/>
      <c r="Q37" s="2"/>
      <c r="R37" s="2"/>
      <c r="S37" s="2"/>
      <c r="T37" s="69"/>
      <c r="U37" s="56"/>
      <c r="V37" s="56"/>
      <c r="W37" s="111"/>
      <c r="X37" s="119"/>
      <c r="Y37" s="111"/>
      <c r="Z37" s="157">
        <f>Poor!Z37</f>
        <v>0.25</v>
      </c>
      <c r="AA37" s="148">
        <f t="shared" si="30"/>
        <v>0</v>
      </c>
      <c r="AB37" s="157">
        <f>Poor!AB37</f>
        <v>0.25</v>
      </c>
      <c r="AC37" s="148">
        <f t="shared" si="31"/>
        <v>0</v>
      </c>
      <c r="AD37" s="157">
        <f>Poor!AD37</f>
        <v>0.25</v>
      </c>
      <c r="AE37" s="148">
        <f t="shared" si="32"/>
        <v>0</v>
      </c>
      <c r="AF37" s="123">
        <f t="shared" si="24"/>
        <v>0.25</v>
      </c>
      <c r="AG37" s="148">
        <f t="shared" si="26"/>
        <v>0</v>
      </c>
      <c r="AH37" s="124">
        <f t="shared" si="27"/>
        <v>1</v>
      </c>
      <c r="AI37" s="113">
        <f t="shared" si="27"/>
        <v>0</v>
      </c>
      <c r="AJ37" s="149">
        <f t="shared" si="28"/>
        <v>0</v>
      </c>
      <c r="AK37" s="148">
        <f t="shared" si="29"/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5" ht="14" customHeight="1">
      <c r="A38" s="85" t="str">
        <f>IF(Poor!A38=0,"",Poor!A38)</f>
        <v>Domestic work cash income -- see Data2</v>
      </c>
      <c r="B38" s="105">
        <f>IF([1]Summ!$J1073="",0,[1]Summ!$J1073)</f>
        <v>0</v>
      </c>
      <c r="C38" s="105">
        <f>IF([1]Summ!$K1073="",0,[1]Summ!$K1073)</f>
        <v>0</v>
      </c>
      <c r="D38" s="38">
        <f t="shared" si="17"/>
        <v>0</v>
      </c>
      <c r="E38" s="75">
        <f>Middle!E38</f>
        <v>1</v>
      </c>
      <c r="F38" s="75">
        <f>Middle!F38</f>
        <v>1.1000000000000001</v>
      </c>
      <c r="G38" s="22">
        <f t="shared" si="25"/>
        <v>1.1199999999999999</v>
      </c>
      <c r="H38" s="24">
        <f t="shared" si="18"/>
        <v>1.1000000000000001</v>
      </c>
      <c r="I38" s="39">
        <f t="shared" si="19"/>
        <v>0</v>
      </c>
      <c r="J38" s="38">
        <f t="shared" si="20"/>
        <v>0</v>
      </c>
      <c r="K38" s="40">
        <f t="shared" si="21"/>
        <v>0</v>
      </c>
      <c r="L38" s="22">
        <f t="shared" si="22"/>
        <v>0</v>
      </c>
      <c r="M38" s="24">
        <f t="shared" si="23"/>
        <v>0</v>
      </c>
      <c r="N38" s="2"/>
      <c r="O38" s="2"/>
      <c r="P38" s="2"/>
      <c r="Q38" s="2"/>
      <c r="R38" s="2"/>
      <c r="S38" s="2"/>
      <c r="T38" s="69"/>
      <c r="U38" s="56"/>
      <c r="V38" s="56"/>
      <c r="W38" s="111"/>
      <c r="X38" s="119"/>
      <c r="Y38" s="111"/>
      <c r="Z38" s="157">
        <f>Poor!Z38</f>
        <v>0.25</v>
      </c>
      <c r="AA38" s="148">
        <f t="shared" si="30"/>
        <v>0</v>
      </c>
      <c r="AB38" s="157">
        <f>Poor!AB38</f>
        <v>0.25</v>
      </c>
      <c r="AC38" s="148">
        <f t="shared" si="31"/>
        <v>0</v>
      </c>
      <c r="AD38" s="157">
        <f>Poor!AD38</f>
        <v>0.25</v>
      </c>
      <c r="AE38" s="148">
        <f t="shared" si="32"/>
        <v>0</v>
      </c>
      <c r="AF38" s="123">
        <f t="shared" si="24"/>
        <v>0.25</v>
      </c>
      <c r="AG38" s="148">
        <f t="shared" si="26"/>
        <v>0</v>
      </c>
      <c r="AH38" s="124">
        <f t="shared" si="27"/>
        <v>1</v>
      </c>
      <c r="AI38" s="113">
        <f t="shared" si="27"/>
        <v>0</v>
      </c>
      <c r="AJ38" s="149">
        <f t="shared" si="28"/>
        <v>0</v>
      </c>
      <c r="AK38" s="148">
        <f t="shared" si="29"/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5" ht="14" customHeight="1">
      <c r="A39" s="85" t="str">
        <f>IF(Poor!A39=0,"",Poor!A39)</f>
        <v>Labour migration(formal employment): no. people per HH</v>
      </c>
      <c r="B39" s="105">
        <f>IF([1]Summ!$J1074="",0,[1]Summ!$J1074)</f>
        <v>0</v>
      </c>
      <c r="C39" s="105">
        <f>IF([1]Summ!$K1074="",0,[1]Summ!$K1074)</f>
        <v>0</v>
      </c>
      <c r="D39" s="38">
        <f t="shared" si="17"/>
        <v>0</v>
      </c>
      <c r="E39" s="75">
        <f>Middle!E39</f>
        <v>1</v>
      </c>
      <c r="F39" s="75">
        <f>Middle!F39</f>
        <v>1.07</v>
      </c>
      <c r="G39" s="22">
        <f t="shared" si="25"/>
        <v>1.1199999999999999</v>
      </c>
      <c r="H39" s="24">
        <f t="shared" si="18"/>
        <v>1.07</v>
      </c>
      <c r="I39" s="39">
        <f t="shared" si="19"/>
        <v>0</v>
      </c>
      <c r="J39" s="38">
        <f t="shared" si="20"/>
        <v>0</v>
      </c>
      <c r="K39" s="40">
        <f t="shared" si="21"/>
        <v>0</v>
      </c>
      <c r="L39" s="22">
        <f t="shared" si="22"/>
        <v>0</v>
      </c>
      <c r="M39" s="24">
        <f t="shared" si="23"/>
        <v>0</v>
      </c>
      <c r="N39" s="2"/>
      <c r="O39" s="2"/>
      <c r="P39" s="2"/>
      <c r="Q39" s="2"/>
      <c r="R39" s="2"/>
      <c r="S39" s="2"/>
      <c r="T39" s="2"/>
      <c r="U39" s="56"/>
      <c r="V39" s="56"/>
      <c r="W39" s="111"/>
      <c r="X39" s="119"/>
      <c r="Y39" s="111"/>
      <c r="Z39" s="157">
        <f>Poor!Z39</f>
        <v>0.25</v>
      </c>
      <c r="AA39" s="148">
        <f t="shared" si="30"/>
        <v>0</v>
      </c>
      <c r="AB39" s="157">
        <f>Poor!AB39</f>
        <v>0.25</v>
      </c>
      <c r="AC39" s="148">
        <f t="shared" si="31"/>
        <v>0</v>
      </c>
      <c r="AD39" s="157">
        <f>Poor!AD39</f>
        <v>0.25</v>
      </c>
      <c r="AE39" s="148">
        <f t="shared" si="32"/>
        <v>0</v>
      </c>
      <c r="AF39" s="123">
        <f t="shared" si="24"/>
        <v>0.25</v>
      </c>
      <c r="AG39" s="148">
        <f t="shared" si="26"/>
        <v>0</v>
      </c>
      <c r="AH39" s="124">
        <f t="shared" si="27"/>
        <v>1</v>
      </c>
      <c r="AI39" s="113">
        <f t="shared" si="27"/>
        <v>0</v>
      </c>
      <c r="AJ39" s="149">
        <f t="shared" si="28"/>
        <v>0</v>
      </c>
      <c r="AK39" s="148">
        <f t="shared" si="2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5" ht="14" customHeight="1">
      <c r="A40" s="85" t="str">
        <f>IF(Poor!A40=0,"",Poor!A40)</f>
        <v>Formal Employment (conservancies, etc.)</v>
      </c>
      <c r="B40" s="105">
        <f>IF([1]Summ!$J1075="",0,[1]Summ!$J1075)</f>
        <v>168000</v>
      </c>
      <c r="C40" s="105">
        <f>IF([1]Summ!$K1075="",0,[1]Summ!$K1075)</f>
        <v>0</v>
      </c>
      <c r="D40" s="38">
        <f t="shared" si="17"/>
        <v>168000</v>
      </c>
      <c r="E40" s="75">
        <f>Middle!E40</f>
        <v>1</v>
      </c>
      <c r="F40" s="75">
        <f>Middle!F40</f>
        <v>1.07</v>
      </c>
      <c r="G40" s="22">
        <f t="shared" si="25"/>
        <v>1.1199999999999999</v>
      </c>
      <c r="H40" s="24">
        <f t="shared" si="18"/>
        <v>1.07</v>
      </c>
      <c r="I40" s="39">
        <f t="shared" si="19"/>
        <v>179760</v>
      </c>
      <c r="J40" s="38">
        <f t="shared" si="20"/>
        <v>179760.00000000003</v>
      </c>
      <c r="K40" s="40">
        <f t="shared" si="21"/>
        <v>0.6181285514221786</v>
      </c>
      <c r="L40" s="22">
        <f t="shared" si="22"/>
        <v>0.66139755002173117</v>
      </c>
      <c r="M40" s="24">
        <f t="shared" si="23"/>
        <v>0.66139755002173117</v>
      </c>
      <c r="N40" s="2"/>
      <c r="O40" s="2"/>
      <c r="P40" s="2"/>
      <c r="Q40" s="2"/>
      <c r="R40" s="2"/>
      <c r="S40" s="2"/>
      <c r="T40" s="2"/>
      <c r="U40" s="56"/>
      <c r="V40" s="56"/>
      <c r="W40" s="111"/>
      <c r="X40" s="119"/>
      <c r="Y40" s="111"/>
      <c r="Z40" s="157">
        <f>Poor!Z40</f>
        <v>0.25</v>
      </c>
      <c r="AA40" s="148">
        <f t="shared" si="30"/>
        <v>44940.000000000007</v>
      </c>
      <c r="AB40" s="157">
        <f>Poor!AB40</f>
        <v>0.25</v>
      </c>
      <c r="AC40" s="148">
        <f t="shared" si="31"/>
        <v>44940.000000000007</v>
      </c>
      <c r="AD40" s="157">
        <f>Poor!AD40</f>
        <v>0.25</v>
      </c>
      <c r="AE40" s="148">
        <f t="shared" si="32"/>
        <v>44940.000000000007</v>
      </c>
      <c r="AF40" s="123">
        <f t="shared" si="24"/>
        <v>0.25</v>
      </c>
      <c r="AG40" s="148">
        <f t="shared" si="26"/>
        <v>44940.000000000007</v>
      </c>
      <c r="AH40" s="124">
        <f t="shared" si="27"/>
        <v>1</v>
      </c>
      <c r="AI40" s="113">
        <f t="shared" si="27"/>
        <v>179760.00000000003</v>
      </c>
      <c r="AJ40" s="149">
        <f t="shared" si="28"/>
        <v>89880.000000000015</v>
      </c>
      <c r="AK40" s="148">
        <f t="shared" si="29"/>
        <v>89880.000000000015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5" ht="14" customHeight="1">
      <c r="A41" s="85" t="str">
        <f>IF(Poor!A41=0,"",Poor!A41)</f>
        <v>Self-employment -- see Data2</v>
      </c>
      <c r="B41" s="105">
        <f>IF([1]Summ!$J1076="",0,[1]Summ!$J1076)</f>
        <v>0</v>
      </c>
      <c r="C41" s="105">
        <f>IF([1]Summ!$K1076="",0,[1]Summ!$K1076)</f>
        <v>0</v>
      </c>
      <c r="D41" s="38">
        <f t="shared" si="17"/>
        <v>0</v>
      </c>
      <c r="E41" s="75">
        <f>Middle!E41</f>
        <v>1</v>
      </c>
      <c r="F41" s="75">
        <f>Middle!F41</f>
        <v>1.1000000000000001</v>
      </c>
      <c r="G41" s="22">
        <f t="shared" si="25"/>
        <v>1.1199999999999999</v>
      </c>
      <c r="H41" s="24">
        <f t="shared" si="18"/>
        <v>1.1000000000000001</v>
      </c>
      <c r="I41" s="39">
        <f t="shared" si="19"/>
        <v>0</v>
      </c>
      <c r="J41" s="38">
        <f t="shared" si="20"/>
        <v>0</v>
      </c>
      <c r="K41" s="40">
        <f t="shared" si="21"/>
        <v>0</v>
      </c>
      <c r="L41" s="22">
        <f t="shared" si="22"/>
        <v>0</v>
      </c>
      <c r="M41" s="24">
        <f t="shared" si="23"/>
        <v>0</v>
      </c>
      <c r="N41" s="2"/>
      <c r="O41" s="2"/>
      <c r="P41" s="2"/>
      <c r="Q41" s="2"/>
      <c r="R41" s="2"/>
      <c r="S41" s="2"/>
      <c r="T41" s="2"/>
      <c r="U41" s="56"/>
      <c r="V41" s="56"/>
      <c r="W41" s="111"/>
      <c r="X41" s="119"/>
      <c r="Y41" s="111"/>
      <c r="Z41" s="157">
        <f>Poor!Z41</f>
        <v>0.25</v>
      </c>
      <c r="AA41" s="148">
        <f t="shared" si="30"/>
        <v>0</v>
      </c>
      <c r="AB41" s="157">
        <f>Poor!AB41</f>
        <v>0.25</v>
      </c>
      <c r="AC41" s="148">
        <f t="shared" si="31"/>
        <v>0</v>
      </c>
      <c r="AD41" s="157">
        <f>Poor!AD41</f>
        <v>0.25</v>
      </c>
      <c r="AE41" s="148">
        <f t="shared" si="32"/>
        <v>0</v>
      </c>
      <c r="AF41" s="123">
        <f t="shared" si="24"/>
        <v>0.25</v>
      </c>
      <c r="AG41" s="148">
        <f t="shared" si="26"/>
        <v>0</v>
      </c>
      <c r="AH41" s="124">
        <f t="shared" si="27"/>
        <v>1</v>
      </c>
      <c r="AI41" s="113">
        <f t="shared" si="27"/>
        <v>0</v>
      </c>
      <c r="AJ41" s="149">
        <f t="shared" si="28"/>
        <v>0</v>
      </c>
      <c r="AK41" s="148">
        <f t="shared" si="2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5" ht="14" customHeight="1">
      <c r="A42" s="85" t="str">
        <f>IF(Poor!A42=0,"",Poor!A42)</f>
        <v>Small business -- see Data2</v>
      </c>
      <c r="B42" s="105">
        <f>IF([1]Summ!$J1077="",0,[1]Summ!$J1077)</f>
        <v>79200</v>
      </c>
      <c r="C42" s="105">
        <f>IF([1]Summ!$K1077="",0,[1]Summ!$K1077)</f>
        <v>0</v>
      </c>
      <c r="D42" s="38">
        <f t="shared" si="17"/>
        <v>79200</v>
      </c>
      <c r="E42" s="75">
        <f>Middle!E42</f>
        <v>1</v>
      </c>
      <c r="F42" s="75">
        <f>Middle!F42</f>
        <v>1.05</v>
      </c>
      <c r="G42" s="22">
        <f t="shared" si="25"/>
        <v>1.1199999999999999</v>
      </c>
      <c r="H42" s="24">
        <f t="shared" si="18"/>
        <v>1.05</v>
      </c>
      <c r="I42" s="39">
        <f t="shared" si="19"/>
        <v>83160</v>
      </c>
      <c r="J42" s="38">
        <f t="shared" si="20"/>
        <v>83160</v>
      </c>
      <c r="K42" s="40">
        <f t="shared" si="21"/>
        <v>0.2914034599561699</v>
      </c>
      <c r="L42" s="22">
        <f t="shared" si="22"/>
        <v>0.30597363295397839</v>
      </c>
      <c r="M42" s="24">
        <f t="shared" si="23"/>
        <v>0.30597363295397839</v>
      </c>
      <c r="N42" s="2"/>
      <c r="O42" s="2"/>
      <c r="P42" s="2"/>
      <c r="Q42" s="2"/>
      <c r="R42" s="2"/>
      <c r="S42" s="2"/>
      <c r="T42" s="2"/>
      <c r="U42" s="56"/>
      <c r="V42" s="56"/>
      <c r="W42" s="111"/>
      <c r="X42" s="119"/>
      <c r="Y42" s="111"/>
      <c r="Z42" s="157">
        <f>Poor!Z42</f>
        <v>0.25</v>
      </c>
      <c r="AA42" s="148">
        <f t="shared" si="30"/>
        <v>20790</v>
      </c>
      <c r="AB42" s="157">
        <f>Poor!AB42</f>
        <v>0.25</v>
      </c>
      <c r="AC42" s="148">
        <f t="shared" si="31"/>
        <v>20790</v>
      </c>
      <c r="AD42" s="157">
        <f>Poor!AD42</f>
        <v>0.25</v>
      </c>
      <c r="AE42" s="148">
        <f t="shared" si="32"/>
        <v>20790</v>
      </c>
      <c r="AF42" s="123">
        <f t="shared" si="24"/>
        <v>0.25</v>
      </c>
      <c r="AG42" s="148">
        <f t="shared" si="26"/>
        <v>20790</v>
      </c>
      <c r="AH42" s="124">
        <f t="shared" si="27"/>
        <v>1</v>
      </c>
      <c r="AI42" s="113">
        <f t="shared" si="27"/>
        <v>83160</v>
      </c>
      <c r="AJ42" s="149">
        <f t="shared" si="28"/>
        <v>41580</v>
      </c>
      <c r="AK42" s="148">
        <f t="shared" si="29"/>
        <v>41580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5" ht="14" customHeight="1">
      <c r="A43" s="85" t="str">
        <f>IF(Poor!A43=0,"",Poor!A43)</f>
        <v>Social development -- see Data2</v>
      </c>
      <c r="B43" s="105">
        <f>IF([1]Summ!$J1078="",0,[1]Summ!$J1078)</f>
        <v>6588.1250000000009</v>
      </c>
      <c r="C43" s="105">
        <f>IF([1]Summ!$K1078="",0,[1]Summ!$K1078)</f>
        <v>0</v>
      </c>
      <c r="D43" s="38">
        <f t="shared" si="17"/>
        <v>6588.1250000000009</v>
      </c>
      <c r="E43" s="75">
        <f>Middle!E43</f>
        <v>1</v>
      </c>
      <c r="F43" s="75">
        <f>Middle!F43</f>
        <v>1.1100000000000001</v>
      </c>
      <c r="G43" s="22">
        <f t="shared" si="25"/>
        <v>1.1199999999999999</v>
      </c>
      <c r="H43" s="24">
        <f t="shared" si="18"/>
        <v>1.1100000000000001</v>
      </c>
      <c r="I43" s="39">
        <f t="shared" si="19"/>
        <v>7312.8187500000013</v>
      </c>
      <c r="J43" s="38">
        <f t="shared" si="20"/>
        <v>7312.8187500000013</v>
      </c>
      <c r="K43" s="40">
        <f t="shared" si="21"/>
        <v>2.4239929540703815E-2</v>
      </c>
      <c r="L43" s="22">
        <f t="shared" si="22"/>
        <v>2.6906321790181237E-2</v>
      </c>
      <c r="M43" s="24">
        <f t="shared" si="23"/>
        <v>2.6906321790181233E-2</v>
      </c>
      <c r="N43" s="2"/>
      <c r="O43" s="2"/>
      <c r="P43" s="2"/>
      <c r="Q43" s="2"/>
      <c r="R43" s="2"/>
      <c r="S43" s="2"/>
      <c r="T43" s="2"/>
      <c r="U43" s="56"/>
      <c r="V43" s="56"/>
      <c r="W43" s="111"/>
      <c r="X43" s="119"/>
      <c r="Y43" s="111"/>
      <c r="Z43" s="157">
        <f>Poor!Z43</f>
        <v>0.25</v>
      </c>
      <c r="AA43" s="148">
        <f t="shared" si="30"/>
        <v>1828.2046875000003</v>
      </c>
      <c r="AB43" s="157">
        <f>Poor!AB43</f>
        <v>0.25</v>
      </c>
      <c r="AC43" s="148">
        <f t="shared" si="31"/>
        <v>1828.2046875000003</v>
      </c>
      <c r="AD43" s="157">
        <f>Poor!AD43</f>
        <v>0.25</v>
      </c>
      <c r="AE43" s="148">
        <f t="shared" si="32"/>
        <v>1828.2046875000003</v>
      </c>
      <c r="AF43" s="123">
        <f t="shared" si="24"/>
        <v>0.25</v>
      </c>
      <c r="AG43" s="148">
        <f t="shared" si="26"/>
        <v>1828.2046875000003</v>
      </c>
      <c r="AH43" s="124">
        <f t="shared" si="27"/>
        <v>1</v>
      </c>
      <c r="AI43" s="113">
        <f t="shared" si="27"/>
        <v>7312.8187500000013</v>
      </c>
      <c r="AJ43" s="149">
        <f t="shared" si="28"/>
        <v>3656.4093750000006</v>
      </c>
      <c r="AK43" s="148">
        <f t="shared" si="29"/>
        <v>3656.4093750000006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5" ht="14" customHeight="1">
      <c r="A44" s="85" t="str">
        <f>IF(Poor!A44=0,"",Poor!A44)</f>
        <v>Public works -- see Data2</v>
      </c>
      <c r="B44" s="105">
        <f>IF([1]Summ!$J1079="",0,[1]Summ!$J1079)</f>
        <v>0</v>
      </c>
      <c r="C44" s="105">
        <f>IF([1]Summ!$K1079="",0,[1]Summ!$K1079)</f>
        <v>0</v>
      </c>
      <c r="D44" s="38">
        <f t="shared" si="17"/>
        <v>0</v>
      </c>
      <c r="E44" s="75">
        <f>Middle!E44</f>
        <v>1</v>
      </c>
      <c r="F44" s="75">
        <f>Middle!F44</f>
        <v>1.07</v>
      </c>
      <c r="G44" s="22">
        <f t="shared" si="25"/>
        <v>1.1199999999999999</v>
      </c>
      <c r="H44" s="24">
        <f t="shared" si="18"/>
        <v>1.07</v>
      </c>
      <c r="I44" s="39">
        <f t="shared" si="19"/>
        <v>0</v>
      </c>
      <c r="J44" s="38">
        <f t="shared" si="20"/>
        <v>0</v>
      </c>
      <c r="K44" s="40">
        <f t="shared" si="21"/>
        <v>0</v>
      </c>
      <c r="L44" s="22">
        <f t="shared" si="22"/>
        <v>0</v>
      </c>
      <c r="M44" s="24">
        <f t="shared" si="23"/>
        <v>0</v>
      </c>
      <c r="N44" s="2"/>
      <c r="O44" s="2"/>
      <c r="P44" s="2"/>
      <c r="Q44" s="2"/>
      <c r="R44" s="2"/>
      <c r="S44" s="2"/>
      <c r="T44" s="2"/>
      <c r="U44" s="56"/>
      <c r="V44" s="56"/>
      <c r="W44" s="111"/>
      <c r="X44" s="119"/>
      <c r="Y44" s="111"/>
      <c r="Z44" s="157">
        <f>Poor!Z44</f>
        <v>0.25</v>
      </c>
      <c r="AA44" s="148">
        <f t="shared" si="30"/>
        <v>0</v>
      </c>
      <c r="AB44" s="157">
        <f>Poor!AB44</f>
        <v>0.25</v>
      </c>
      <c r="AC44" s="148">
        <f t="shared" si="31"/>
        <v>0</v>
      </c>
      <c r="AD44" s="157">
        <f>Poor!AD44</f>
        <v>0.25</v>
      </c>
      <c r="AE44" s="148">
        <f t="shared" si="32"/>
        <v>0</v>
      </c>
      <c r="AF44" s="123">
        <f t="shared" si="24"/>
        <v>0.25</v>
      </c>
      <c r="AG44" s="148">
        <f t="shared" si="26"/>
        <v>0</v>
      </c>
      <c r="AH44" s="124">
        <f t="shared" si="27"/>
        <v>1</v>
      </c>
      <c r="AI44" s="113">
        <f t="shared" si="27"/>
        <v>0</v>
      </c>
      <c r="AJ44" s="149">
        <f t="shared" si="28"/>
        <v>0</v>
      </c>
      <c r="AK44" s="148">
        <f t="shared" si="2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5" ht="14" customHeight="1">
      <c r="A45" s="85" t="str">
        <f>IF(Poor!A45=0,"",Poor!A45)</f>
        <v>Remittances: no. times per year</v>
      </c>
      <c r="B45" s="105">
        <f>IF([1]Summ!$J1080="",0,[1]Summ!$J1080)</f>
        <v>0</v>
      </c>
      <c r="C45" s="105">
        <f>IF([1]Summ!$K1080="",0,[1]Summ!$K1080)</f>
        <v>0</v>
      </c>
      <c r="D45" s="38">
        <f t="shared" si="17"/>
        <v>0</v>
      </c>
      <c r="E45" s="75">
        <f>Middle!E45</f>
        <v>1</v>
      </c>
      <c r="F45" s="75">
        <f>Middle!F45</f>
        <v>1.05</v>
      </c>
      <c r="G45" s="22">
        <f t="shared" si="25"/>
        <v>1.1199999999999999</v>
      </c>
      <c r="H45" s="24">
        <f t="shared" si="18"/>
        <v>1.05</v>
      </c>
      <c r="I45" s="39">
        <f t="shared" si="19"/>
        <v>0</v>
      </c>
      <c r="J45" s="38">
        <f t="shared" si="20"/>
        <v>0</v>
      </c>
      <c r="K45" s="40">
        <f t="shared" si="21"/>
        <v>0</v>
      </c>
      <c r="L45" s="22">
        <f t="shared" si="22"/>
        <v>0</v>
      </c>
      <c r="M45" s="24">
        <f t="shared" si="23"/>
        <v>0</v>
      </c>
      <c r="N45" s="2"/>
      <c r="O45" s="2"/>
      <c r="P45" s="2"/>
      <c r="Q45" s="2"/>
      <c r="R45" s="2"/>
      <c r="S45" s="2"/>
      <c r="T45" s="2"/>
      <c r="U45" s="56"/>
      <c r="V45" s="56"/>
      <c r="W45" s="111"/>
      <c r="X45" s="119"/>
      <c r="Y45" s="111"/>
      <c r="Z45" s="157">
        <f>Poor!Z45</f>
        <v>0.25</v>
      </c>
      <c r="AA45" s="148">
        <f t="shared" si="30"/>
        <v>0</v>
      </c>
      <c r="AB45" s="157">
        <f>Poor!AB45</f>
        <v>0.25</v>
      </c>
      <c r="AC45" s="148">
        <f t="shared" si="31"/>
        <v>0</v>
      </c>
      <c r="AD45" s="157">
        <f>Poor!AD45</f>
        <v>0.25</v>
      </c>
      <c r="AE45" s="148">
        <f t="shared" si="32"/>
        <v>0</v>
      </c>
      <c r="AF45" s="123">
        <f t="shared" si="24"/>
        <v>0.25</v>
      </c>
      <c r="AG45" s="148">
        <f t="shared" si="26"/>
        <v>0</v>
      </c>
      <c r="AH45" s="124">
        <f t="shared" si="27"/>
        <v>1</v>
      </c>
      <c r="AI45" s="113">
        <f t="shared" si="27"/>
        <v>0</v>
      </c>
      <c r="AJ45" s="149">
        <f t="shared" si="28"/>
        <v>0</v>
      </c>
      <c r="AK45" s="148">
        <f t="shared" si="2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5" ht="14" customHeight="1">
      <c r="A46" s="85" t="str">
        <f>IF(Poor!A46=0,"",Poor!A46)</f>
        <v/>
      </c>
      <c r="B46" s="105">
        <f>IF([1]Summ!$J1081="",0,[1]Summ!$J1081)</f>
        <v>0</v>
      </c>
      <c r="C46" s="105">
        <f>IF([1]Summ!$K1081="",0,[1]Summ!$K1081)</f>
        <v>0</v>
      </c>
      <c r="D46" s="38">
        <f t="shared" si="17"/>
        <v>0</v>
      </c>
      <c r="E46" s="75">
        <f>Middle!E46</f>
        <v>1</v>
      </c>
      <c r="F46" s="75">
        <f>Middle!F46</f>
        <v>1</v>
      </c>
      <c r="G46" s="22">
        <f t="shared" si="25"/>
        <v>1.1199999999999999</v>
      </c>
      <c r="H46" s="24">
        <f t="shared" si="18"/>
        <v>1</v>
      </c>
      <c r="I46" s="39">
        <f t="shared" si="19"/>
        <v>0</v>
      </c>
      <c r="J46" s="38">
        <f t="shared" si="20"/>
        <v>0</v>
      </c>
      <c r="K46" s="40">
        <f t="shared" si="21"/>
        <v>0</v>
      </c>
      <c r="L46" s="22">
        <f t="shared" si="22"/>
        <v>0</v>
      </c>
      <c r="M46" s="24">
        <f t="shared" si="23"/>
        <v>0</v>
      </c>
      <c r="N46" s="2"/>
      <c r="O46" s="2"/>
      <c r="P46" s="2"/>
      <c r="Q46" s="2"/>
      <c r="R46" s="2"/>
      <c r="S46" s="2"/>
      <c r="T46" s="2"/>
      <c r="U46" s="56"/>
      <c r="V46" s="56"/>
      <c r="W46" s="111"/>
      <c r="X46" s="119"/>
      <c r="Y46" s="111"/>
      <c r="Z46" s="157">
        <f>Poor!Z46</f>
        <v>0.25</v>
      </c>
      <c r="AA46" s="148">
        <f t="shared" si="30"/>
        <v>0</v>
      </c>
      <c r="AB46" s="157">
        <f>Poor!AB46</f>
        <v>0.25</v>
      </c>
      <c r="AC46" s="148">
        <f t="shared" si="31"/>
        <v>0</v>
      </c>
      <c r="AD46" s="157">
        <f>Poor!AD46</f>
        <v>0.25</v>
      </c>
      <c r="AE46" s="148">
        <f t="shared" si="32"/>
        <v>0</v>
      </c>
      <c r="AF46" s="123">
        <f t="shared" si="24"/>
        <v>0.25</v>
      </c>
      <c r="AG46" s="148">
        <f t="shared" si="26"/>
        <v>0</v>
      </c>
      <c r="AH46" s="124">
        <f t="shared" ref="AH46:AI51" si="33">SUM(Z46,AB46,AD46,AF46)</f>
        <v>1</v>
      </c>
      <c r="AI46" s="113">
        <f t="shared" si="33"/>
        <v>0</v>
      </c>
      <c r="AJ46" s="149">
        <f t="shared" si="28"/>
        <v>0</v>
      </c>
      <c r="AK46" s="148">
        <f t="shared" si="2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5" ht="14" customHeight="1">
      <c r="A47" s="85" t="str">
        <f>IF(Poor!A47=0,"",Poor!A47)</f>
        <v/>
      </c>
      <c r="B47" s="105">
        <f>IF([1]Summ!$J1082="",0,[1]Summ!$J1082)</f>
        <v>0</v>
      </c>
      <c r="C47" s="105">
        <f>IF([1]Summ!$K1082="",0,[1]Summ!$K1082)</f>
        <v>0</v>
      </c>
      <c r="D47" s="38">
        <f t="shared" si="17"/>
        <v>0</v>
      </c>
      <c r="E47" s="75">
        <f>Middle!E47</f>
        <v>1</v>
      </c>
      <c r="F47" s="75">
        <f>Middle!F47</f>
        <v>1</v>
      </c>
      <c r="G47" s="22">
        <f t="shared" si="25"/>
        <v>1.1199999999999999</v>
      </c>
      <c r="H47" s="24">
        <f t="shared" si="18"/>
        <v>1</v>
      </c>
      <c r="I47" s="39">
        <f t="shared" si="19"/>
        <v>0</v>
      </c>
      <c r="J47" s="38">
        <f t="shared" si="20"/>
        <v>0</v>
      </c>
      <c r="K47" s="40">
        <f t="shared" si="21"/>
        <v>0</v>
      </c>
      <c r="L47" s="22">
        <f t="shared" si="22"/>
        <v>0</v>
      </c>
      <c r="M47" s="24">
        <f t="shared" si="23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1"/>
      <c r="X47" s="119"/>
      <c r="Y47" s="111"/>
      <c r="Z47" s="157">
        <f>Poor!Z47</f>
        <v>0.25</v>
      </c>
      <c r="AA47" s="148">
        <f t="shared" si="30"/>
        <v>0</v>
      </c>
      <c r="AB47" s="157">
        <f>Poor!AB47</f>
        <v>0.25</v>
      </c>
      <c r="AC47" s="148">
        <f t="shared" si="31"/>
        <v>0</v>
      </c>
      <c r="AD47" s="157">
        <f>Poor!AD47</f>
        <v>0.25</v>
      </c>
      <c r="AE47" s="148">
        <f t="shared" si="32"/>
        <v>0</v>
      </c>
      <c r="AF47" s="123">
        <f t="shared" si="24"/>
        <v>0.25</v>
      </c>
      <c r="AG47" s="148">
        <f t="shared" si="26"/>
        <v>0</v>
      </c>
      <c r="AH47" s="124">
        <f t="shared" si="33"/>
        <v>1</v>
      </c>
      <c r="AI47" s="113">
        <f t="shared" si="33"/>
        <v>0</v>
      </c>
      <c r="AJ47" s="149">
        <f t="shared" si="28"/>
        <v>0</v>
      </c>
      <c r="AK47" s="148">
        <f t="shared" si="2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5" ht="14" customHeight="1">
      <c r="A48" s="85" t="str">
        <f>IF(Poor!A48=0,"",Poor!A48)</f>
        <v/>
      </c>
      <c r="B48" s="105">
        <f>IF([1]Summ!$J1083="",0,[1]Summ!$J1083)</f>
        <v>0</v>
      </c>
      <c r="C48" s="105">
        <f>IF([1]Summ!$K1083="",0,[1]Summ!$K1083)</f>
        <v>0</v>
      </c>
      <c r="D48" s="38">
        <f t="shared" si="17"/>
        <v>0</v>
      </c>
      <c r="E48" s="75">
        <f>Middle!E48</f>
        <v>1</v>
      </c>
      <c r="F48" s="75">
        <f>Middle!F48</f>
        <v>1</v>
      </c>
      <c r="G48" s="22">
        <f t="shared" si="25"/>
        <v>1.1199999999999999</v>
      </c>
      <c r="H48" s="24">
        <f t="shared" si="18"/>
        <v>1</v>
      </c>
      <c r="I48" s="39">
        <f t="shared" si="19"/>
        <v>0</v>
      </c>
      <c r="J48" s="38">
        <f t="shared" si="20"/>
        <v>0</v>
      </c>
      <c r="K48" s="40">
        <f t="shared" si="21"/>
        <v>0</v>
      </c>
      <c r="L48" s="22">
        <f t="shared" si="22"/>
        <v>0</v>
      </c>
      <c r="M48" s="24">
        <f t="shared" si="23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1"/>
      <c r="X48" s="119"/>
      <c r="Y48" s="111"/>
      <c r="Z48" s="157">
        <f>Poor!Z48</f>
        <v>0.25</v>
      </c>
      <c r="AA48" s="148">
        <f t="shared" si="30"/>
        <v>0</v>
      </c>
      <c r="AB48" s="157">
        <f>Poor!AB48</f>
        <v>0.25</v>
      </c>
      <c r="AC48" s="148">
        <f t="shared" si="31"/>
        <v>0</v>
      </c>
      <c r="AD48" s="157">
        <f>Poor!AD48</f>
        <v>0.25</v>
      </c>
      <c r="AE48" s="148">
        <f t="shared" si="32"/>
        <v>0</v>
      </c>
      <c r="AF48" s="123">
        <f t="shared" si="24"/>
        <v>0.25</v>
      </c>
      <c r="AG48" s="148">
        <f t="shared" si="26"/>
        <v>0</v>
      </c>
      <c r="AH48" s="124">
        <f t="shared" si="33"/>
        <v>1</v>
      </c>
      <c r="AI48" s="113">
        <f t="shared" si="33"/>
        <v>0</v>
      </c>
      <c r="AJ48" s="149">
        <f t="shared" si="28"/>
        <v>0</v>
      </c>
      <c r="AK48" s="148">
        <f t="shared" si="2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5">
        <f>IF([1]Summ!$J1084="",0,[1]Summ!$J1084)</f>
        <v>0</v>
      </c>
      <c r="C49" s="105">
        <f>IF([1]Summ!$K1084="",0,[1]Summ!$K1084)</f>
        <v>0</v>
      </c>
      <c r="D49" s="38">
        <f t="shared" si="17"/>
        <v>0</v>
      </c>
      <c r="E49" s="75">
        <f>Middle!E49</f>
        <v>1</v>
      </c>
      <c r="F49" s="75">
        <f>Middle!F49</f>
        <v>1</v>
      </c>
      <c r="G49" s="22">
        <f t="shared" si="25"/>
        <v>1.1199999999999999</v>
      </c>
      <c r="H49" s="24">
        <f t="shared" si="18"/>
        <v>1</v>
      </c>
      <c r="I49" s="39">
        <f t="shared" si="19"/>
        <v>0</v>
      </c>
      <c r="J49" s="38">
        <f t="shared" si="20"/>
        <v>0</v>
      </c>
      <c r="K49" s="40">
        <f t="shared" si="21"/>
        <v>0</v>
      </c>
      <c r="L49" s="22">
        <f t="shared" si="22"/>
        <v>0</v>
      </c>
      <c r="M49" s="24">
        <f t="shared" si="23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1"/>
      <c r="X49" s="119"/>
      <c r="Y49" s="111"/>
      <c r="Z49" s="157">
        <f>Poor!Z49</f>
        <v>0.25</v>
      </c>
      <c r="AA49" s="148">
        <f t="shared" si="30"/>
        <v>0</v>
      </c>
      <c r="AB49" s="157">
        <f>Poor!AB49</f>
        <v>0.25</v>
      </c>
      <c r="AC49" s="148">
        <f t="shared" si="31"/>
        <v>0</v>
      </c>
      <c r="AD49" s="157">
        <f>Poor!AD49</f>
        <v>0.25</v>
      </c>
      <c r="AE49" s="148">
        <f t="shared" si="32"/>
        <v>0</v>
      </c>
      <c r="AF49" s="123">
        <f t="shared" si="24"/>
        <v>0.25</v>
      </c>
      <c r="AG49" s="148">
        <f t="shared" si="26"/>
        <v>0</v>
      </c>
      <c r="AH49" s="124">
        <f t="shared" si="33"/>
        <v>1</v>
      </c>
      <c r="AI49" s="113">
        <f t="shared" si="33"/>
        <v>0</v>
      </c>
      <c r="AJ49" s="149">
        <f t="shared" si="28"/>
        <v>0</v>
      </c>
      <c r="AK49" s="148">
        <f t="shared" si="2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5">
        <f>IF([1]Summ!$J1085="",0,[1]Summ!$J1085)</f>
        <v>0</v>
      </c>
      <c r="C50" s="105">
        <f>IF([1]Summ!$K1085="",0,[1]Summ!$K1085)</f>
        <v>0</v>
      </c>
      <c r="D50" s="38">
        <f t="shared" si="17"/>
        <v>0</v>
      </c>
      <c r="E50" s="75">
        <f>Middle!E50</f>
        <v>1</v>
      </c>
      <c r="F50" s="75">
        <f>Middle!F50</f>
        <v>1</v>
      </c>
      <c r="G50" s="22">
        <f t="shared" si="25"/>
        <v>1.1199999999999999</v>
      </c>
      <c r="H50" s="24">
        <f t="shared" si="18"/>
        <v>1</v>
      </c>
      <c r="I50" s="39">
        <f t="shared" si="19"/>
        <v>0</v>
      </c>
      <c r="J50" s="38">
        <f t="shared" si="20"/>
        <v>0</v>
      </c>
      <c r="K50" s="40">
        <f t="shared" si="21"/>
        <v>0</v>
      </c>
      <c r="L50" s="22">
        <f t="shared" si="22"/>
        <v>0</v>
      </c>
      <c r="M50" s="24">
        <f t="shared" si="23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1"/>
      <c r="X50" s="119"/>
      <c r="Y50" s="111"/>
      <c r="Z50" s="157">
        <f>Poor!Z50</f>
        <v>0.25</v>
      </c>
      <c r="AA50" s="148">
        <f t="shared" si="30"/>
        <v>0</v>
      </c>
      <c r="AB50" s="157">
        <f>Poor!AB50</f>
        <v>0.25</v>
      </c>
      <c r="AC50" s="148">
        <f t="shared" si="31"/>
        <v>0</v>
      </c>
      <c r="AD50" s="157">
        <f>Poor!AD50</f>
        <v>0.25</v>
      </c>
      <c r="AE50" s="148">
        <f t="shared" si="32"/>
        <v>0</v>
      </c>
      <c r="AF50" s="123">
        <f t="shared" si="24"/>
        <v>0.25</v>
      </c>
      <c r="AG50" s="148">
        <f t="shared" si="26"/>
        <v>0</v>
      </c>
      <c r="AH50" s="124">
        <f t="shared" si="33"/>
        <v>1</v>
      </c>
      <c r="AI50" s="113">
        <f t="shared" si="33"/>
        <v>0</v>
      </c>
      <c r="AJ50" s="149">
        <f t="shared" si="28"/>
        <v>0</v>
      </c>
      <c r="AK50" s="148">
        <f t="shared" si="2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5">
        <f>IF([1]Summ!$J1086="",0,[1]Summ!$J1086)</f>
        <v>0</v>
      </c>
      <c r="C51" s="105">
        <f>IF([1]Summ!$K1086="",0,[1]Summ!$K1086)</f>
        <v>0</v>
      </c>
      <c r="D51" s="38">
        <f t="shared" si="17"/>
        <v>0</v>
      </c>
      <c r="E51" s="75">
        <f>Middle!E51</f>
        <v>1</v>
      </c>
      <c r="F51" s="75">
        <f>Middle!F51</f>
        <v>1</v>
      </c>
      <c r="G51" s="22">
        <f t="shared" si="25"/>
        <v>1.1199999999999999</v>
      </c>
      <c r="H51" s="24">
        <f t="shared" si="18"/>
        <v>1</v>
      </c>
      <c r="I51" s="39">
        <f t="shared" si="19"/>
        <v>0</v>
      </c>
      <c r="J51" s="38">
        <f t="shared" si="20"/>
        <v>0</v>
      </c>
      <c r="K51" s="40">
        <f t="shared" si="21"/>
        <v>0</v>
      </c>
      <c r="L51" s="22">
        <f t="shared" si="22"/>
        <v>0</v>
      </c>
      <c r="M51" s="24">
        <f t="shared" si="23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1"/>
      <c r="X51" s="119"/>
      <c r="Y51" s="111"/>
      <c r="Z51" s="157">
        <f>Poor!Z51</f>
        <v>0.25</v>
      </c>
      <c r="AA51" s="150">
        <f t="shared" si="30"/>
        <v>0</v>
      </c>
      <c r="AB51" s="157">
        <f>Poor!AB51</f>
        <v>0.25</v>
      </c>
      <c r="AC51" s="150">
        <f t="shared" si="31"/>
        <v>0</v>
      </c>
      <c r="AD51" s="157">
        <f>Poor!AD51</f>
        <v>0.25</v>
      </c>
      <c r="AE51" s="150">
        <f t="shared" si="32"/>
        <v>0</v>
      </c>
      <c r="AF51" s="151">
        <f t="shared" si="24"/>
        <v>0.25</v>
      </c>
      <c r="AG51" s="150">
        <f t="shared" si="26"/>
        <v>0</v>
      </c>
      <c r="AH51" s="124">
        <f t="shared" si="33"/>
        <v>1</v>
      </c>
      <c r="AI51" s="113">
        <f t="shared" si="33"/>
        <v>0</v>
      </c>
      <c r="AJ51" s="152">
        <f t="shared" si="28"/>
        <v>0</v>
      </c>
      <c r="AK51" s="150">
        <f t="shared" si="2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39" t="s">
        <v>32</v>
      </c>
      <c r="B52" s="39">
        <f>SUM(B29:B51)</f>
        <v>271788.125</v>
      </c>
      <c r="C52" s="39">
        <f>SUM(C29:C51)</f>
        <v>-7800</v>
      </c>
      <c r="D52" s="42">
        <f>SUM(D29:D51)</f>
        <v>263988.125</v>
      </c>
      <c r="E52" s="32"/>
      <c r="F52" s="32"/>
      <c r="G52" s="32"/>
      <c r="H52" s="31"/>
      <c r="I52" s="39">
        <f>SUM(I29:I51)</f>
        <v>281550.81874999998</v>
      </c>
      <c r="J52" s="39">
        <f>SUM(J29:J51)</f>
        <v>289556.48843687749</v>
      </c>
      <c r="K52" s="40">
        <f>SUM(K29:K51)</f>
        <v>1</v>
      </c>
      <c r="L52" s="22">
        <f>SUM(L29:L51)</f>
        <v>1.0653475708329789</v>
      </c>
      <c r="M52" s="24">
        <f>SUM(M29:M51)</f>
        <v>1.0653757901927374</v>
      </c>
      <c r="N52" s="2"/>
      <c r="O52" s="2"/>
      <c r="P52" s="2"/>
      <c r="Q52" s="2"/>
      <c r="R52" s="2"/>
      <c r="S52" s="2"/>
      <c r="T52" s="2"/>
      <c r="U52" s="56"/>
      <c r="V52" s="56"/>
      <c r="W52" s="111"/>
      <c r="X52" s="153"/>
      <c r="Y52" s="111"/>
      <c r="Z52" s="138"/>
      <c r="AA52" s="154">
        <f>SUM(AA29:AA51)</f>
        <v>69557.277165876119</v>
      </c>
      <c r="AB52" s="138"/>
      <c r="AC52" s="154">
        <f>SUM(AC29:AC51)</f>
        <v>69557.277165876119</v>
      </c>
      <c r="AD52" s="138"/>
      <c r="AE52" s="154">
        <f>SUM(AE29:AE51)</f>
        <v>69342.073666993878</v>
      </c>
      <c r="AF52" s="138"/>
      <c r="AG52" s="154">
        <f>SUM(AG29:AG51)</f>
        <v>81099.86043813132</v>
      </c>
      <c r="AH52" s="138"/>
      <c r="AI52" s="154">
        <f>SUM(AI29:AI51)</f>
        <v>289556.48843687749</v>
      </c>
      <c r="AJ52" s="154">
        <f>SUM(AJ29:AJ51)</f>
        <v>139114.55433175224</v>
      </c>
      <c r="AK52" s="154">
        <f>SUM(AK29:AK51)</f>
        <v>150441.9341051252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3.5" customHeight="1">
      <c r="A53" s="78"/>
      <c r="B53" s="78"/>
      <c r="C53" s="78"/>
      <c r="D53" s="44"/>
      <c r="E53" s="14"/>
      <c r="F53" s="14"/>
      <c r="G53" s="14"/>
      <c r="H53" s="44"/>
      <c r="I53" s="14"/>
      <c r="J53" s="44"/>
      <c r="K53" s="45"/>
      <c r="L53" s="11"/>
      <c r="M53" s="10"/>
      <c r="N53" s="2"/>
      <c r="O53" s="2"/>
      <c r="P53" s="2"/>
      <c r="Q53" s="2"/>
      <c r="R53" s="2"/>
      <c r="S53" s="2"/>
      <c r="T53" s="2"/>
      <c r="U53" s="56"/>
      <c r="V53" s="56"/>
      <c r="W53" s="111"/>
      <c r="X53" s="119"/>
      <c r="Y53" s="111"/>
      <c r="Z53" s="144"/>
      <c r="AA53" s="155"/>
      <c r="AB53" s="144"/>
      <c r="AC53" s="155"/>
      <c r="AD53" s="144"/>
      <c r="AE53" s="155"/>
      <c r="AF53" s="144"/>
      <c r="AG53" s="155"/>
      <c r="AH53" s="144"/>
      <c r="AI53" s="155"/>
      <c r="AJ53" s="144"/>
      <c r="AK53" s="145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5.75" customHeight="1">
      <c r="A54" s="73" t="s">
        <v>51</v>
      </c>
      <c r="B54" s="39"/>
      <c r="C54" s="39"/>
      <c r="D54" s="38"/>
      <c r="E54" s="32"/>
      <c r="F54" s="32"/>
      <c r="G54" s="32"/>
      <c r="H54" s="31"/>
      <c r="I54" s="47"/>
      <c r="J54" s="48"/>
      <c r="K54" s="34" t="s">
        <v>34</v>
      </c>
      <c r="L54" s="2"/>
      <c r="M54" s="31"/>
      <c r="N54" s="2"/>
      <c r="O54" s="2"/>
      <c r="P54" s="2"/>
      <c r="Q54" s="2"/>
      <c r="R54" s="2"/>
      <c r="S54" s="2"/>
      <c r="T54" s="2"/>
      <c r="U54" s="56"/>
      <c r="V54" s="56"/>
      <c r="W54" s="111"/>
      <c r="X54" s="119"/>
      <c r="Y54" s="111"/>
      <c r="Z54" s="146"/>
      <c r="AA54" s="148"/>
      <c r="AB54" s="146"/>
      <c r="AC54" s="148"/>
      <c r="AD54" s="146"/>
      <c r="AE54" s="148"/>
      <c r="AF54" s="146"/>
      <c r="AG54" s="148"/>
      <c r="AH54" s="146"/>
      <c r="AI54" s="148"/>
      <c r="AJ54" s="146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9"/>
      <c r="B55" s="80" t="s">
        <v>7</v>
      </c>
      <c r="C55" s="39"/>
      <c r="D55" s="50"/>
      <c r="E55" s="19" t="s">
        <v>10</v>
      </c>
      <c r="F55" s="2" t="s">
        <v>28</v>
      </c>
      <c r="G55" s="2"/>
      <c r="H55" s="16" t="s">
        <v>12</v>
      </c>
      <c r="I55" s="19" t="s">
        <v>13</v>
      </c>
      <c r="J55" s="16" t="s">
        <v>14</v>
      </c>
      <c r="K55" s="37" t="s">
        <v>7</v>
      </c>
      <c r="L55" s="19" t="s">
        <v>15</v>
      </c>
      <c r="M55" s="16" t="s">
        <v>14</v>
      </c>
      <c r="N55" s="2"/>
      <c r="O55" s="2"/>
      <c r="P55" s="2"/>
      <c r="Q55" s="2"/>
      <c r="R55" s="2"/>
      <c r="S55" s="2"/>
      <c r="T55" s="2"/>
      <c r="U55" s="56"/>
      <c r="V55" s="56"/>
      <c r="W55" s="113"/>
      <c r="X55" s="119"/>
      <c r="Y55" s="111"/>
      <c r="Z55" s="146"/>
      <c r="AA55" s="148"/>
      <c r="AB55" s="146"/>
      <c r="AC55" s="148"/>
      <c r="AD55" s="146"/>
      <c r="AE55" s="148"/>
      <c r="AF55" s="146"/>
      <c r="AG55" s="148"/>
      <c r="AH55" s="146"/>
      <c r="AI55" s="148"/>
      <c r="AJ55" s="146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39" t="s">
        <v>30</v>
      </c>
      <c r="B56" s="80" t="s">
        <v>35</v>
      </c>
      <c r="C56" s="39"/>
      <c r="D56" s="38"/>
      <c r="E56" s="19" t="s">
        <v>18</v>
      </c>
      <c r="F56" s="2" t="s">
        <v>31</v>
      </c>
      <c r="G56" s="2"/>
      <c r="H56" s="16" t="s">
        <v>18</v>
      </c>
      <c r="I56" s="19" t="s">
        <v>35</v>
      </c>
      <c r="J56" s="16" t="s">
        <v>35</v>
      </c>
      <c r="K56" s="37" t="s">
        <v>35</v>
      </c>
      <c r="L56" s="19" t="s">
        <v>19</v>
      </c>
      <c r="M56" s="16" t="s">
        <v>35</v>
      </c>
      <c r="N56" s="2"/>
      <c r="O56" s="2"/>
      <c r="P56" s="2"/>
      <c r="Q56" s="2"/>
      <c r="R56" s="2"/>
      <c r="S56" s="2"/>
      <c r="T56" s="2"/>
      <c r="U56" s="56"/>
      <c r="V56" s="56"/>
      <c r="W56" s="111"/>
      <c r="X56" s="119"/>
      <c r="Y56" s="111"/>
      <c r="Z56" s="146"/>
      <c r="AA56" s="148"/>
      <c r="AB56" s="146"/>
      <c r="AC56" s="148"/>
      <c r="AD56" s="146"/>
      <c r="AE56" s="148"/>
      <c r="AF56" s="146"/>
      <c r="AG56" s="148"/>
      <c r="AH56" s="146"/>
      <c r="AI56" s="148"/>
      <c r="AJ56" s="146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111" t="s">
        <v>131</v>
      </c>
      <c r="B57" s="105">
        <f>[1]Summ!$J1031</f>
        <v>12770.023097494908</v>
      </c>
      <c r="C57" s="39"/>
      <c r="D57" s="38"/>
      <c r="E57" s="75">
        <f>Middle!E57</f>
        <v>1</v>
      </c>
      <c r="F57" s="75">
        <f>Middle!F57</f>
        <v>1.1399999999999999</v>
      </c>
      <c r="G57" s="22"/>
      <c r="H57" s="24">
        <f>(E57*F57)</f>
        <v>1.1399999999999999</v>
      </c>
      <c r="I57" s="39">
        <f>I106*I$70</f>
        <v>14557.826331144193</v>
      </c>
      <c r="J57" s="51">
        <f>J106*I$70</f>
        <v>14557.826331144193</v>
      </c>
      <c r="K57" s="40">
        <f>B57/B$63</f>
        <v>4.698521356477553E-2</v>
      </c>
      <c r="L57" s="22">
        <f>(L106*G$29*F$9/F$7)/B$112</f>
        <v>5.3563143463844096E-2</v>
      </c>
      <c r="M57" s="24">
        <f>J57/B$63</f>
        <v>5.3563143463844103E-2</v>
      </c>
      <c r="N57" s="2"/>
      <c r="O57" s="2"/>
      <c r="P57" s="2"/>
      <c r="Q57" s="2"/>
      <c r="R57" s="2"/>
      <c r="S57" s="2"/>
      <c r="T57" s="2"/>
      <c r="U57" s="56"/>
      <c r="V57" s="56"/>
      <c r="W57" s="111"/>
      <c r="X57" s="119"/>
      <c r="Y57" s="111"/>
      <c r="Z57" s="157">
        <f>Poor!Z57</f>
        <v>0.25</v>
      </c>
      <c r="AA57" s="148">
        <f>$J57*Z57</f>
        <v>3639.4565827860483</v>
      </c>
      <c r="AB57" s="157">
        <f>Poor!AB57</f>
        <v>0.25</v>
      </c>
      <c r="AC57" s="148">
        <f>$J57*AB57</f>
        <v>3639.4565827860483</v>
      </c>
      <c r="AD57" s="157">
        <f>Poor!AD57</f>
        <v>0.25</v>
      </c>
      <c r="AE57" s="148">
        <f>$J57*AD57</f>
        <v>3639.4565827860483</v>
      </c>
      <c r="AF57" s="157">
        <f>Poor!AF57</f>
        <v>0.25</v>
      </c>
      <c r="AG57" s="148">
        <f>$J57*AF57</f>
        <v>3639.4565827860483</v>
      </c>
      <c r="AH57" s="156">
        <f>SUM(Z57,AB57,AD57,AF57)</f>
        <v>1</v>
      </c>
      <c r="AI57" s="148">
        <f>SUM(AA57,AC57,AE57,AG57)</f>
        <v>14557.826331144193</v>
      </c>
      <c r="AJ57" s="149">
        <f>(AA57+AC57)</f>
        <v>7278.9131655720967</v>
      </c>
      <c r="AK57" s="148">
        <f>(AE57+AG57)</f>
        <v>7278.9131655720967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111" t="s">
        <v>132</v>
      </c>
      <c r="B58" s="105">
        <f>[1]Summ!$J1032</f>
        <v>9736.6666666666679</v>
      </c>
      <c r="C58" s="39"/>
      <c r="D58" s="38"/>
      <c r="E58" s="75">
        <f>Middle!E58</f>
        <v>1</v>
      </c>
      <c r="F58" s="75">
        <f>Middle!F58</f>
        <v>1.1100000000000001</v>
      </c>
      <c r="G58" s="22"/>
      <c r="H58" s="24">
        <f t="shared" ref="H58:H59" si="34">(E58*F58)</f>
        <v>1.1100000000000001</v>
      </c>
      <c r="I58" s="39"/>
      <c r="J58" s="51"/>
      <c r="K58" s="40"/>
      <c r="L58" s="22"/>
      <c r="M58" s="24"/>
      <c r="N58" s="2"/>
      <c r="O58" s="2"/>
      <c r="P58" s="2"/>
      <c r="Q58" s="2"/>
      <c r="R58" s="2"/>
      <c r="S58" s="2"/>
      <c r="T58" s="2"/>
      <c r="U58" s="56"/>
      <c r="V58" s="56"/>
      <c r="W58" s="111"/>
      <c r="X58" s="119"/>
      <c r="Y58" s="111"/>
      <c r="Z58" s="157"/>
      <c r="AA58" s="148"/>
      <c r="AB58" s="157"/>
      <c r="AC58" s="148"/>
      <c r="AD58" s="157"/>
      <c r="AE58" s="148"/>
      <c r="AF58" s="157"/>
      <c r="AG58" s="148"/>
      <c r="AH58" s="156"/>
      <c r="AI58" s="148"/>
      <c r="AJ58" s="149"/>
      <c r="AK58" s="148"/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111" t="s">
        <v>133</v>
      </c>
      <c r="B59" s="105">
        <f>[1]Summ!$J1033</f>
        <v>17340</v>
      </c>
      <c r="C59" s="39"/>
      <c r="D59" s="38"/>
      <c r="E59" s="75">
        <f>Middle!E59</f>
        <v>1</v>
      </c>
      <c r="F59" s="75">
        <f>Middle!F59</f>
        <v>1.1100000000000001</v>
      </c>
      <c r="G59" s="22"/>
      <c r="H59" s="24">
        <f t="shared" si="34"/>
        <v>1.1100000000000001</v>
      </c>
      <c r="I59" s="39"/>
      <c r="J59" s="51"/>
      <c r="K59" s="40"/>
      <c r="L59" s="22"/>
      <c r="M59" s="24"/>
      <c r="N59" s="2"/>
      <c r="O59" s="2"/>
      <c r="P59" s="2"/>
      <c r="Q59" s="2"/>
      <c r="R59" s="2"/>
      <c r="S59" s="2"/>
      <c r="T59" s="2"/>
      <c r="U59" s="56"/>
      <c r="V59" s="56"/>
      <c r="W59" s="111"/>
      <c r="X59" s="119"/>
      <c r="Y59" s="111"/>
      <c r="Z59" s="157"/>
      <c r="AA59" s="148"/>
      <c r="AB59" s="157"/>
      <c r="AC59" s="148"/>
      <c r="AD59" s="157"/>
      <c r="AE59" s="148"/>
      <c r="AF59" s="157"/>
      <c r="AG59" s="148"/>
      <c r="AH59" s="156"/>
      <c r="AI59" s="148"/>
      <c r="AJ59" s="149"/>
      <c r="AK59" s="148"/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3.5" customHeight="1">
      <c r="A60" s="111" t="s">
        <v>134</v>
      </c>
      <c r="B60" s="105">
        <f>[1]Summ!$J1034</f>
        <v>57060</v>
      </c>
      <c r="C60" s="39"/>
      <c r="D60" s="38"/>
      <c r="E60" s="75">
        <f>Middle!E60</f>
        <v>1</v>
      </c>
      <c r="F60" s="75">
        <f>Middle!F60</f>
        <v>1.1100000000000001</v>
      </c>
      <c r="G60" s="22"/>
      <c r="H60" s="24">
        <f>(E60*F60)</f>
        <v>1.1100000000000001</v>
      </c>
      <c r="I60" s="39">
        <f>I109*I$70</f>
        <v>0</v>
      </c>
      <c r="J60" s="51">
        <f>J109*I$70</f>
        <v>63336.6</v>
      </c>
      <c r="K60" s="40">
        <f>B60/B$63</f>
        <v>0.20994294728660423</v>
      </c>
      <c r="L60" s="22">
        <f>(L109*G$29*F$9/F$7)/B$112</f>
        <v>0.22288951622158601</v>
      </c>
      <c r="M60" s="24">
        <f>J60/B$63</f>
        <v>0.23303667148813068</v>
      </c>
      <c r="O60" s="2"/>
      <c r="P60" s="2"/>
      <c r="Q60" s="2"/>
      <c r="R60" s="2"/>
      <c r="S60" s="2"/>
      <c r="T60" s="2"/>
      <c r="U60" s="56"/>
      <c r="V60" s="56"/>
      <c r="W60" s="111"/>
      <c r="X60" s="119"/>
      <c r="Y60" s="111"/>
      <c r="Z60" s="157">
        <f>Poor!Z60</f>
        <v>0.09</v>
      </c>
      <c r="AA60" s="148">
        <f>$H$60*$B$60*Z60</f>
        <v>5700.2939999999999</v>
      </c>
      <c r="AB60" s="157">
        <f>Poor!AB60</f>
        <v>0.09</v>
      </c>
      <c r="AC60" s="148">
        <f>$H$60*$B$60*AB60</f>
        <v>5700.2939999999999</v>
      </c>
      <c r="AD60" s="157">
        <f>Poor!AD60</f>
        <v>0.23</v>
      </c>
      <c r="AE60" s="148">
        <f>$H$60*$B$60*AD60</f>
        <v>14567.418000000001</v>
      </c>
      <c r="AF60" s="157">
        <f>Poor!AF60</f>
        <v>0.59</v>
      </c>
      <c r="AG60" s="148">
        <f>$H$60*$B$60*AF60</f>
        <v>37368.594000000005</v>
      </c>
      <c r="AH60" s="156">
        <f>SUM(Z60,AB60,AD60,AF60)</f>
        <v>1</v>
      </c>
      <c r="AI60" s="148">
        <f>SUM(AA60,AC60,AE60,AG60)</f>
        <v>63336.600000000006</v>
      </c>
      <c r="AJ60" s="149">
        <f>(AA60+AC60)</f>
        <v>11400.588</v>
      </c>
      <c r="AK60" s="148">
        <f>(AE60+AG60)</f>
        <v>51936.012000000002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1" t="s">
        <v>135</v>
      </c>
      <c r="B61" s="81">
        <f>B110*B70</f>
        <v>2700.8287292817677</v>
      </c>
      <c r="C61" s="39"/>
      <c r="D61" s="38"/>
      <c r="E61" s="32"/>
      <c r="F61" s="32"/>
      <c r="G61" s="32"/>
      <c r="H61" s="31"/>
      <c r="I61" s="39">
        <f>I110*I$70</f>
        <v>266992.99241885584</v>
      </c>
      <c r="J61" s="51">
        <f>J110*I$70</f>
        <v>3038.4066384621565</v>
      </c>
      <c r="K61" s="40">
        <f>B61/B$63</f>
        <v>9.9372580361329899E-3</v>
      </c>
      <c r="L61" s="22">
        <f>(L110*G$29*F$9/F$7)/B$112</f>
        <v>1.0550059741797655E-2</v>
      </c>
      <c r="M61" s="24">
        <f>J61/B$63</f>
        <v>1.1179320798000856E-2</v>
      </c>
      <c r="O61" s="2"/>
      <c r="P61" s="2"/>
      <c r="Q61" s="2"/>
      <c r="R61" s="2"/>
      <c r="S61" s="2"/>
      <c r="T61" s="2"/>
      <c r="U61" s="56"/>
      <c r="V61" s="56"/>
      <c r="W61" s="111"/>
      <c r="X61" s="119"/>
      <c r="Y61" s="111"/>
      <c r="Z61" s="157"/>
      <c r="AA61" s="148">
        <f>AA22*$I$70/4</f>
        <v>0</v>
      </c>
      <c r="AB61" s="157"/>
      <c r="AC61" s="148">
        <f>AC22*$I$70/4</f>
        <v>0</v>
      </c>
      <c r="AD61" s="157"/>
      <c r="AE61" s="148">
        <f>AE22*$I$70/4</f>
        <v>0</v>
      </c>
      <c r="AF61" s="157"/>
      <c r="AG61" s="148">
        <f>AG22*$I$70/4</f>
        <v>-85.686757725913395</v>
      </c>
      <c r="AH61" s="156"/>
      <c r="AI61" s="148">
        <f>SUM(AA61,AC61,AE61,AG61)</f>
        <v>-85.686757725913395</v>
      </c>
      <c r="AJ61" s="149">
        <f>(AA61+AC61)</f>
        <v>0</v>
      </c>
      <c r="AK61" s="148">
        <f>(AE61+AG61)</f>
        <v>-85.686757725913395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1" t="s">
        <v>55</v>
      </c>
      <c r="B62" s="81">
        <f>B111*B70</f>
        <v>199257.27317322334</v>
      </c>
      <c r="C62" s="39"/>
      <c r="D62" s="38"/>
      <c r="E62" s="32"/>
      <c r="F62" s="32"/>
      <c r="G62" s="32"/>
      <c r="H62" s="31"/>
      <c r="I62" s="47"/>
      <c r="J62" s="51">
        <f>J111*I$70</f>
        <v>178568.55546727113</v>
      </c>
      <c r="K62" s="40">
        <f>B62/B$63</f>
        <v>0.7331345811124873</v>
      </c>
      <c r="L62" s="22">
        <f>(L111*G$29*F$9/F$7)/B$112</f>
        <v>0.77834485140575127</v>
      </c>
      <c r="M62" s="24">
        <f>J62/B$63</f>
        <v>0.65701382452699553</v>
      </c>
      <c r="O62" s="2"/>
      <c r="P62" s="2"/>
      <c r="Q62" s="2"/>
      <c r="R62" s="2"/>
      <c r="S62" s="2"/>
      <c r="T62" s="2"/>
      <c r="U62" s="56"/>
      <c r="V62" s="56"/>
      <c r="W62" s="111"/>
      <c r="X62" s="158"/>
      <c r="Y62" s="162" t="s">
        <v>104</v>
      </c>
      <c r="Z62" s="159"/>
      <c r="AA62" s="150">
        <f>AA66-AA61</f>
        <v>65917.82058309007</v>
      </c>
      <c r="AB62" s="159"/>
      <c r="AC62" s="150">
        <f>AA62+AC52-SUM(AC57,AC61)</f>
        <v>131835.64116618014</v>
      </c>
      <c r="AD62" s="159"/>
      <c r="AE62" s="150">
        <f>AC62+AE52-SUM(AE57,AE61)</f>
        <v>197538.25825038797</v>
      </c>
      <c r="AF62" s="159"/>
      <c r="AG62" s="150">
        <f>IF(SUM(AG6:AG21)+((AG52-AG57-$J$62)*4/I$70)&lt;1,0,AG52-AG57-$J$62-(1-SUM(AG6:AG21))*I$70/4)</f>
        <v>0</v>
      </c>
      <c r="AH62" s="135"/>
      <c r="AI62" s="150">
        <f>AI63-SUM(AI57,AI61)</f>
        <v>275084.34886345913</v>
      </c>
      <c r="AJ62" s="152">
        <f>AJ63-SUM(AJ57,AJ61)</f>
        <v>131835.64116618014</v>
      </c>
      <c r="AK62" s="150">
        <f>AJ62+AK63-SUM(AK57,AK61)</f>
        <v>275084.34886345913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 thickBot="1">
      <c r="A63" s="1" t="s">
        <v>32</v>
      </c>
      <c r="B63" s="81">
        <f>B52</f>
        <v>271788.125</v>
      </c>
      <c r="C63" s="39"/>
      <c r="D63" s="38"/>
      <c r="E63" s="32"/>
      <c r="F63" s="32"/>
      <c r="G63" s="32"/>
      <c r="H63" s="31"/>
      <c r="I63" s="39">
        <f>I112*I$70</f>
        <v>281550.81875000003</v>
      </c>
      <c r="J63" s="51">
        <f>J112*I$70</f>
        <v>289556.48843687749</v>
      </c>
      <c r="K63" s="40">
        <f>SUM(K57:K62)</f>
        <v>1</v>
      </c>
      <c r="L63" s="22">
        <f>SUM(L57:L62)</f>
        <v>1.0653475708329792</v>
      </c>
      <c r="M63" s="24">
        <f>SUM(M57:M62)</f>
        <v>0.95479296027697114</v>
      </c>
      <c r="O63" s="2"/>
      <c r="P63" s="2"/>
      <c r="Q63" s="2"/>
      <c r="R63" s="2"/>
      <c r="S63" s="2"/>
      <c r="T63" s="2"/>
      <c r="U63" s="56"/>
      <c r="V63" s="56"/>
      <c r="W63" s="111"/>
      <c r="X63" s="191"/>
      <c r="Y63" s="191"/>
      <c r="Z63" s="138"/>
      <c r="AA63" s="155">
        <f>AA52</f>
        <v>69557.277165876119</v>
      </c>
      <c r="AB63" s="138"/>
      <c r="AC63" s="154">
        <f>AC52</f>
        <v>69557.277165876119</v>
      </c>
      <c r="AD63" s="138"/>
      <c r="AE63" s="154">
        <f>AE52</f>
        <v>69342.073666993878</v>
      </c>
      <c r="AF63" s="138"/>
      <c r="AG63" s="154">
        <f>AG52</f>
        <v>81099.86043813132</v>
      </c>
      <c r="AH63" s="138"/>
      <c r="AI63" s="154">
        <f>SUM(AA63,AC63,AE63,AG63)</f>
        <v>289556.48843687744</v>
      </c>
      <c r="AJ63" s="155">
        <f>SUM(AA63,AC63)</f>
        <v>139114.55433175224</v>
      </c>
      <c r="AK63" s="155">
        <f>SUM(AE63,AG63)</f>
        <v>150441.9341051252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 thickBot="1">
      <c r="A64" s="100" t="s">
        <v>36</v>
      </c>
      <c r="B64" s="81"/>
      <c r="C64" s="39"/>
      <c r="D64" s="38"/>
      <c r="E64" s="32"/>
      <c r="F64" s="32"/>
      <c r="G64" s="32"/>
      <c r="H64" s="31"/>
      <c r="I64" s="39">
        <f>I113*I$70</f>
        <v>93391.699999999983</v>
      </c>
      <c r="J64" s="101">
        <f>J113*I$70</f>
        <v>0</v>
      </c>
      <c r="K64" s="40"/>
      <c r="L64" s="22">
        <f>-(L113*G$29*F$9/F$7)/B$112</f>
        <v>-0.12072998518231079</v>
      </c>
      <c r="M64" s="24">
        <f>-J64/B$63</f>
        <v>0</v>
      </c>
      <c r="O64" s="2"/>
      <c r="P64" s="2"/>
      <c r="Q64" s="2"/>
      <c r="R64" s="2"/>
      <c r="S64" s="2"/>
      <c r="T64" s="2"/>
      <c r="U64" s="56"/>
      <c r="V64" s="56"/>
      <c r="W64" s="111"/>
      <c r="X64" s="111"/>
      <c r="Y64" s="162" t="s">
        <v>102</v>
      </c>
      <c r="Z64" s="160"/>
      <c r="AA64" s="112">
        <f>AA23*$I$70/4</f>
        <v>0</v>
      </c>
      <c r="AB64" s="113"/>
      <c r="AC64" s="112">
        <f>AC23*$I$70/4</f>
        <v>0</v>
      </c>
      <c r="AD64" s="113"/>
      <c r="AE64" s="112">
        <f>AE23*$I$70/4</f>
        <v>0</v>
      </c>
      <c r="AF64" s="113"/>
      <c r="AG64" s="112">
        <f>AG23*$I$70/4</f>
        <v>0</v>
      </c>
      <c r="AH64" s="111"/>
      <c r="AI64" s="155">
        <f>SUM(AA64,AC64,AE64,AG64)</f>
        <v>0</v>
      </c>
      <c r="AJ64" s="154">
        <f>SUM(AA64,AC64)</f>
        <v>0</v>
      </c>
      <c r="AK64" s="161">
        <f>SUM(AE64,AG64)</f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82" t="s">
        <v>37</v>
      </c>
      <c r="B65" s="39"/>
      <c r="C65" s="39"/>
      <c r="D65" s="38"/>
      <c r="E65" s="32"/>
      <c r="F65" s="32"/>
      <c r="G65" s="32"/>
      <c r="H65" s="31"/>
      <c r="I65" s="47"/>
      <c r="J65" s="48"/>
      <c r="K65" s="32"/>
      <c r="L65" s="32"/>
      <c r="M65" s="48"/>
      <c r="N65" s="2"/>
      <c r="O65" s="2"/>
      <c r="P65" s="2"/>
      <c r="Q65" s="2"/>
      <c r="R65" s="2"/>
      <c r="S65" s="2"/>
      <c r="T65" s="2"/>
      <c r="U65" s="56"/>
      <c r="V65" s="56"/>
      <c r="W65" s="111"/>
      <c r="X65" s="111"/>
      <c r="Y65" s="162" t="s">
        <v>103</v>
      </c>
      <c r="Z65" s="111"/>
      <c r="AA65" s="113">
        <f>IF(SUM(AG6:AG21)+((AG52-AG57-$J$62)*4/I$70)&lt;1,0,AG52-AG57-$J$62-(1-SUM(AG6:AG21))*I$70/4)</f>
        <v>0</v>
      </c>
      <c r="AB65" s="113"/>
      <c r="AC65" s="113">
        <f>IF(AA62&lt;0,0,AA62)</f>
        <v>65917.82058309007</v>
      </c>
      <c r="AD65" s="113"/>
      <c r="AE65" s="113">
        <f>AC62</f>
        <v>131835.64116618014</v>
      </c>
      <c r="AF65" s="113"/>
      <c r="AG65" s="113">
        <f>AE62</f>
        <v>197538.25825038797</v>
      </c>
      <c r="AH65" s="111"/>
      <c r="AI65" s="147"/>
      <c r="AJ65" s="111"/>
      <c r="AK65" s="147"/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4" customHeight="1">
      <c r="A66" s="39" t="s">
        <v>38</v>
      </c>
      <c r="B66" s="106" t="str">
        <f>[1]Summ!$J1037</f>
        <v>maize</v>
      </c>
      <c r="C66" s="39"/>
      <c r="D66" s="38"/>
      <c r="E66" s="32"/>
      <c r="F66" s="32"/>
      <c r="G66" s="32"/>
      <c r="H66" s="31"/>
      <c r="I66" s="47"/>
      <c r="J66" s="48"/>
      <c r="K66" s="32"/>
      <c r="L66" s="32"/>
      <c r="M66" s="48"/>
      <c r="N66" s="32"/>
      <c r="O66" s="2"/>
      <c r="P66" s="2"/>
      <c r="Q66" s="2"/>
      <c r="R66" s="2"/>
      <c r="S66" s="2"/>
      <c r="T66" s="2"/>
      <c r="U66" s="56"/>
      <c r="V66" s="56"/>
      <c r="W66" s="111"/>
      <c r="X66" s="111"/>
      <c r="Y66" s="162" t="s">
        <v>63</v>
      </c>
      <c r="Z66" s="111"/>
      <c r="AA66" s="113">
        <f>AA52-AA57+IF(SUM(AG6:AG21)+((AG52-AG57-$J$62)*4/I$70)&lt;1,0,AG52-AG57-$J$62-(1-SUM(AG6:AG21))*I$70/4)</f>
        <v>65917.82058309007</v>
      </c>
      <c r="AB66" s="113"/>
      <c r="AC66" s="113">
        <f>AA66-AA61+AC52-AC57</f>
        <v>131835.64116618014</v>
      </c>
      <c r="AD66" s="113"/>
      <c r="AE66" s="113">
        <f>AC66-AC61+AE52-AE57</f>
        <v>197538.25825038797</v>
      </c>
      <c r="AF66" s="113"/>
      <c r="AG66" s="113">
        <f>AE66-AE61+AG52-AG57</f>
        <v>274998.66210573324</v>
      </c>
      <c r="AH66" s="111"/>
      <c r="AI66" s="147"/>
      <c r="AJ66" s="111"/>
      <c r="AK66" s="147"/>
      <c r="AS66" s="25"/>
      <c r="AT66" s="25"/>
      <c r="AU66" s="25"/>
      <c r="AV66" s="25"/>
      <c r="AW66" s="25"/>
      <c r="AX66" s="25"/>
      <c r="AZ66" s="25"/>
      <c r="BA66" s="25"/>
      <c r="BB66" s="25"/>
      <c r="BC66" s="25"/>
      <c r="BD66" s="25"/>
      <c r="BE66" s="25"/>
      <c r="BI66" s="25"/>
      <c r="BJ66" s="25"/>
      <c r="BK66" s="25"/>
      <c r="BL66" s="25"/>
      <c r="BM66" s="25"/>
      <c r="BN66" s="25"/>
      <c r="BP66" s="25"/>
      <c r="BQ66" s="25"/>
      <c r="BR66" s="25"/>
      <c r="BS66" s="25"/>
      <c r="BT66" s="25"/>
      <c r="BU66" s="25"/>
      <c r="BX66" s="25"/>
      <c r="BY66" s="25"/>
      <c r="BZ66" s="25"/>
      <c r="CA66" s="25"/>
      <c r="CB66" s="25"/>
      <c r="CC66" s="25"/>
      <c r="CE66" s="25"/>
      <c r="CF66" s="25"/>
      <c r="CG66" s="25"/>
      <c r="CH66" s="25"/>
      <c r="CI66" s="25"/>
      <c r="CJ66" s="25"/>
    </row>
    <row r="67" spans="1:88" ht="14" customHeight="1">
      <c r="A67" s="39" t="s">
        <v>39</v>
      </c>
      <c r="B67" s="106">
        <f>[1]Summ!$J1038</f>
        <v>0.58061985920496251</v>
      </c>
      <c r="C67" s="39"/>
      <c r="D67" s="38"/>
      <c r="E67" s="32"/>
      <c r="F67" s="32"/>
      <c r="G67" s="32"/>
      <c r="H67" s="31"/>
      <c r="I67" s="47"/>
      <c r="J67" s="48"/>
      <c r="K67" s="32"/>
      <c r="L67" s="32"/>
      <c r="M67" s="48"/>
      <c r="N67" s="32"/>
      <c r="O67" s="2"/>
      <c r="P67" s="2"/>
      <c r="Q67" s="2"/>
      <c r="R67" s="2"/>
      <c r="S67" s="2"/>
      <c r="T67" s="2"/>
      <c r="U67" s="56"/>
      <c r="V67" s="56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47"/>
      <c r="AJ67" s="111"/>
      <c r="AK67" s="147"/>
      <c r="AS67" s="25"/>
      <c r="AT67" s="25"/>
      <c r="AU67" s="25"/>
      <c r="AV67" s="25"/>
      <c r="AW67" s="25"/>
      <c r="AX67" s="25"/>
      <c r="AZ67" s="25"/>
      <c r="BA67" s="25"/>
      <c r="BB67" s="25"/>
      <c r="BC67" s="25"/>
      <c r="BD67" s="25"/>
      <c r="BE67" s="25"/>
      <c r="BI67" s="25"/>
      <c r="BJ67" s="25"/>
      <c r="BK67" s="25"/>
      <c r="BL67" s="25"/>
      <c r="BM67" s="25"/>
      <c r="BN67" s="25"/>
      <c r="BP67" s="25"/>
      <c r="BQ67" s="25"/>
      <c r="BR67" s="25"/>
      <c r="BS67" s="25"/>
      <c r="BT67" s="25"/>
      <c r="BU67" s="25"/>
      <c r="BX67" s="25"/>
      <c r="BY67" s="25"/>
      <c r="BZ67" s="25"/>
      <c r="CA67" s="25"/>
      <c r="CB67" s="25"/>
      <c r="CC67" s="25"/>
      <c r="CE67" s="25"/>
      <c r="CF67" s="25"/>
      <c r="CG67" s="25"/>
      <c r="CH67" s="25"/>
      <c r="CI67" s="25"/>
      <c r="CJ67" s="25"/>
    </row>
    <row r="68" spans="1:88" ht="14" customHeight="1">
      <c r="A68" s="39" t="s">
        <v>40</v>
      </c>
      <c r="B68" s="106">
        <f>[1]Summ!$J1039</f>
        <v>5</v>
      </c>
      <c r="C68" s="39"/>
      <c r="D68" s="38"/>
      <c r="E68" s="32"/>
      <c r="F68" s="32"/>
      <c r="G68" s="32"/>
      <c r="H68" s="31"/>
      <c r="I68" s="47"/>
      <c r="J68" s="48"/>
      <c r="K68" s="32"/>
      <c r="L68" s="32"/>
      <c r="M68" s="48"/>
      <c r="N68" s="32"/>
      <c r="O68" s="2"/>
      <c r="P68" s="2"/>
      <c r="Q68" s="2"/>
      <c r="R68" s="2"/>
      <c r="S68" s="2"/>
      <c r="T68" s="2"/>
      <c r="U68" s="56"/>
      <c r="V68" s="56"/>
      <c r="W68" s="111"/>
      <c r="X68" s="111"/>
      <c r="Y68" s="111"/>
      <c r="Z68" s="144" t="s">
        <v>64</v>
      </c>
      <c r="AA68" s="160"/>
      <c r="AB68" s="160"/>
      <c r="AC68" s="160"/>
      <c r="AD68" s="160"/>
      <c r="AE68" s="160"/>
      <c r="AF68" s="160"/>
      <c r="AG68" s="145"/>
      <c r="AH68" s="115" t="s">
        <v>65</v>
      </c>
      <c r="AI68" s="147"/>
      <c r="AJ68" s="111"/>
      <c r="AK68" s="147"/>
      <c r="AS68" s="25"/>
      <c r="AT68" s="25"/>
      <c r="AU68" s="25"/>
      <c r="AV68" s="25"/>
      <c r="AW68" s="25"/>
      <c r="AX68" s="25"/>
      <c r="AZ68" s="25"/>
      <c r="BA68" s="25"/>
      <c r="BB68" s="25"/>
      <c r="BC68" s="25"/>
      <c r="BD68" s="25"/>
      <c r="BE68" s="25"/>
      <c r="BI68" s="25"/>
      <c r="BJ68" s="25"/>
      <c r="BK68" s="25"/>
      <c r="BL68" s="25"/>
      <c r="BM68" s="25"/>
      <c r="BN68" s="25"/>
      <c r="BP68" s="25"/>
      <c r="BQ68" s="25"/>
      <c r="BR68" s="25"/>
      <c r="BS68" s="25"/>
      <c r="BT68" s="25"/>
      <c r="BU68" s="25"/>
      <c r="BX68" s="25"/>
      <c r="BY68" s="25"/>
      <c r="BZ68" s="25"/>
      <c r="CA68" s="25"/>
      <c r="CB68" s="25"/>
      <c r="CC68" s="25"/>
      <c r="CE68" s="25"/>
      <c r="CF68" s="25"/>
      <c r="CG68" s="25"/>
      <c r="CH68" s="25"/>
      <c r="CI68" s="25"/>
      <c r="CJ68" s="25"/>
    </row>
    <row r="69" spans="1:88" ht="14" customHeight="1">
      <c r="A69" s="39" t="s">
        <v>41</v>
      </c>
      <c r="B69" s="106">
        <f>[1]Summ!$J1040</f>
        <v>5</v>
      </c>
      <c r="C69" s="39"/>
      <c r="D69" s="38"/>
      <c r="E69" s="32"/>
      <c r="F69" s="32"/>
      <c r="G69" s="32"/>
      <c r="H69" s="31"/>
      <c r="I69" s="47"/>
      <c r="J69" s="48"/>
      <c r="K69" s="32"/>
      <c r="L69" s="32"/>
      <c r="M69" s="48"/>
      <c r="N69" s="32"/>
      <c r="O69" s="2"/>
      <c r="P69" s="2"/>
      <c r="Q69" s="2"/>
      <c r="R69" s="2"/>
      <c r="S69" s="2"/>
      <c r="T69" s="2"/>
      <c r="U69" s="56"/>
      <c r="V69" s="56"/>
      <c r="X69" s="111"/>
      <c r="Y69" s="162" t="s">
        <v>66</v>
      </c>
      <c r="Z69" s="163">
        <f>IF($AH$69=0,0,AA69/$AH$69)</f>
        <v>1</v>
      </c>
      <c r="AA69" s="195">
        <f>Poor!AA69</f>
        <v>5.6</v>
      </c>
      <c r="AB69" s="163">
        <f>IF($AH$69=0,0,AC69/$AH$69)</f>
        <v>1</v>
      </c>
      <c r="AC69" s="195">
        <f>Poor!AC69</f>
        <v>5.6</v>
      </c>
      <c r="AD69" s="163">
        <f>IF($AH$69=0,0,AE69/$AH$69)</f>
        <v>1</v>
      </c>
      <c r="AE69" s="195">
        <f>Poor!AE69</f>
        <v>5.6</v>
      </c>
      <c r="AF69" s="163">
        <f>IF($AH$69=0,0,AG69/$AH$69)</f>
        <v>1</v>
      </c>
      <c r="AG69" s="195">
        <f>Poor!AG69</f>
        <v>5.6</v>
      </c>
      <c r="AH69" s="165">
        <f>IF(PRODUCT(AA69,AC69,AE69,AG69)=0,0,SUM(AA69,AC69,AE69,AG69)/4)</f>
        <v>5.6</v>
      </c>
      <c r="AI69" s="147"/>
      <c r="AJ69" s="111"/>
      <c r="AK69" s="147"/>
      <c r="AS69" s="25"/>
      <c r="AT69" s="25"/>
      <c r="AU69" s="25"/>
      <c r="AV69" s="25"/>
      <c r="AW69" s="25"/>
      <c r="AX69" s="25"/>
      <c r="AZ69" s="25"/>
      <c r="BA69" s="25"/>
      <c r="BB69" s="25"/>
      <c r="BC69" s="25"/>
      <c r="BD69" s="25"/>
      <c r="BE69" s="25"/>
      <c r="BI69" s="25"/>
      <c r="BJ69" s="25"/>
      <c r="BK69" s="25"/>
      <c r="BL69" s="25"/>
      <c r="BM69" s="25"/>
      <c r="BN69" s="25"/>
      <c r="BP69" s="25"/>
      <c r="BQ69" s="25"/>
      <c r="BR69" s="25"/>
      <c r="BS69" s="25"/>
      <c r="BT69" s="25"/>
      <c r="BU69" s="25"/>
      <c r="BX69" s="25"/>
      <c r="BY69" s="25"/>
      <c r="BZ69" s="25"/>
      <c r="CA69" s="25"/>
      <c r="CB69" s="25"/>
      <c r="CC69" s="25"/>
      <c r="CE69" s="25"/>
      <c r="CF69" s="25"/>
      <c r="CG69" s="25"/>
      <c r="CH69" s="25"/>
      <c r="CI69" s="25"/>
      <c r="CJ69" s="25"/>
    </row>
    <row r="70" spans="1:88" ht="14" customHeight="1">
      <c r="A70" s="39" t="s">
        <v>42</v>
      </c>
      <c r="B70" s="39">
        <f>365*B67*B68*B69</f>
        <v>5298.1562152452825</v>
      </c>
      <c r="C70" s="39"/>
      <c r="D70" s="38"/>
      <c r="E70" s="32"/>
      <c r="F70" s="32"/>
      <c r="G70" s="32"/>
      <c r="H70" s="24">
        <f>G$29*F$9/F$7</f>
        <v>1.1199999999999999</v>
      </c>
      <c r="I70" s="39">
        <f xml:space="preserve"> B70*H70</f>
        <v>5933.9349610747158</v>
      </c>
      <c r="J70" s="48"/>
      <c r="K70" s="32"/>
      <c r="L70" s="32"/>
      <c r="M70" s="48"/>
      <c r="N70" s="32"/>
      <c r="O70" s="2"/>
      <c r="P70" s="2"/>
      <c r="Q70" s="2"/>
      <c r="R70" s="2"/>
      <c r="S70" s="2"/>
      <c r="T70" s="2"/>
      <c r="U70" s="56"/>
      <c r="V70" s="56"/>
      <c r="X70" s="111"/>
      <c r="Y70" s="162" t="s">
        <v>130</v>
      </c>
      <c r="Z70" s="111"/>
      <c r="AA70" s="166">
        <f>$I$70*Z69/4</f>
        <v>1483.483740268679</v>
      </c>
      <c r="AB70" s="113"/>
      <c r="AC70" s="166">
        <f>$I$70*AB69/4</f>
        <v>1483.483740268679</v>
      </c>
      <c r="AD70" s="113"/>
      <c r="AE70" s="166">
        <f>$I$70*AD69/4</f>
        <v>1483.483740268679</v>
      </c>
      <c r="AF70" s="113"/>
      <c r="AG70" s="166">
        <f>$I$70*AF69/4</f>
        <v>1483.483740268679</v>
      </c>
      <c r="AH70" s="166">
        <f>SUM(AA70,AC70,AE70,AG70)</f>
        <v>5933.9349610747158</v>
      </c>
      <c r="AI70" s="147"/>
      <c r="AJ70" s="111"/>
      <c r="AK70" s="147"/>
      <c r="AS70" s="25"/>
      <c r="AT70" s="25"/>
      <c r="AU70" s="25"/>
      <c r="AV70" s="25"/>
      <c r="AW70" s="25"/>
      <c r="AX70" s="25"/>
      <c r="AZ70" s="25"/>
      <c r="BA70" s="25"/>
      <c r="BB70" s="25"/>
      <c r="BC70" s="25"/>
      <c r="BD70" s="25"/>
      <c r="BE70" s="25"/>
      <c r="BI70" s="25"/>
      <c r="BJ70" s="25"/>
      <c r="BK70" s="25"/>
      <c r="BL70" s="25"/>
      <c r="BM70" s="25"/>
      <c r="BN70" s="25"/>
      <c r="BP70" s="25"/>
      <c r="BQ70" s="25"/>
      <c r="BR70" s="25"/>
      <c r="BS70" s="25"/>
      <c r="BT70" s="25"/>
      <c r="BU70" s="25"/>
      <c r="BX70" s="25"/>
      <c r="BY70" s="25"/>
      <c r="BZ70" s="25"/>
      <c r="CA70" s="25"/>
      <c r="CB70" s="25"/>
      <c r="CC70" s="25"/>
      <c r="CE70" s="25"/>
      <c r="CF70" s="25"/>
      <c r="CG70" s="25"/>
      <c r="CH70" s="25"/>
      <c r="CI70" s="25"/>
      <c r="CJ70" s="25"/>
    </row>
    <row r="71" spans="1:88" ht="14" customHeight="1" thickBot="1">
      <c r="A71" s="46" t="s">
        <v>136</v>
      </c>
      <c r="B71" s="240">
        <f>B57+((1-D21)*B70)</f>
        <v>16085.619650545739</v>
      </c>
      <c r="C71" s="46"/>
      <c r="D71" s="241"/>
      <c r="E71" s="64"/>
      <c r="F71" s="64"/>
      <c r="G71" s="64"/>
      <c r="H71" s="242">
        <f>IF(B71=0,0,I71/B71)</f>
        <v>1.1358775644021417</v>
      </c>
      <c r="I71" s="240">
        <f>(B57*H57)+((1-(D21*H21))*I70)</f>
        <v>18271.294470561123</v>
      </c>
      <c r="J71" s="48"/>
      <c r="K71" s="32"/>
      <c r="L71" s="32"/>
      <c r="M71" s="48"/>
      <c r="N71" s="32"/>
      <c r="O71" s="2"/>
      <c r="P71" s="2"/>
      <c r="Q71" s="2"/>
      <c r="R71" s="2"/>
      <c r="S71" s="2"/>
      <c r="T71" s="2"/>
      <c r="U71" s="56"/>
      <c r="V71" s="56"/>
      <c r="X71" s="111"/>
      <c r="Y71" s="162"/>
      <c r="Z71" s="111"/>
      <c r="AA71" s="111"/>
      <c r="AB71" s="111"/>
      <c r="AC71" s="111"/>
      <c r="AD71" s="111"/>
      <c r="AE71" s="111"/>
      <c r="AF71" s="111"/>
      <c r="AG71" s="111"/>
      <c r="AH71" s="111"/>
      <c r="AI71" s="147"/>
      <c r="AJ71" s="111"/>
      <c r="AK71" s="147"/>
      <c r="AS71" s="25"/>
      <c r="AT71" s="25"/>
      <c r="AU71" s="25"/>
      <c r="AV71" s="25"/>
      <c r="AW71" s="25"/>
      <c r="AX71" s="25"/>
      <c r="AZ71" s="25"/>
      <c r="BA71" s="25"/>
      <c r="BB71" s="25"/>
      <c r="BC71" s="25"/>
      <c r="BD71" s="25"/>
      <c r="BE71" s="25"/>
      <c r="BI71" s="25"/>
      <c r="BJ71" s="25"/>
      <c r="BK71" s="25"/>
      <c r="BL71" s="25"/>
      <c r="BM71" s="25"/>
      <c r="BN71" s="25"/>
      <c r="BP71" s="25"/>
      <c r="BQ71" s="25"/>
      <c r="BR71" s="25"/>
      <c r="BS71" s="25"/>
      <c r="BT71" s="25"/>
      <c r="BU71" s="25"/>
      <c r="BX71" s="25"/>
      <c r="BY71" s="25"/>
      <c r="BZ71" s="25"/>
      <c r="CA71" s="25"/>
      <c r="CB71" s="25"/>
      <c r="CC71" s="25"/>
      <c r="CE71" s="25"/>
      <c r="CF71" s="25"/>
      <c r="CG71" s="25"/>
      <c r="CH71" s="25"/>
      <c r="CI71" s="25"/>
      <c r="CJ71" s="25"/>
    </row>
    <row r="72" spans="1:88" ht="14" customHeight="1" thickBot="1">
      <c r="A72" s="39" t="s">
        <v>43</v>
      </c>
      <c r="B72" s="39"/>
      <c r="C72" s="39"/>
      <c r="D72" s="38"/>
      <c r="E72" s="32"/>
      <c r="F72" s="32"/>
      <c r="G72" s="32"/>
      <c r="H72" s="31"/>
      <c r="I72" s="47"/>
      <c r="J72" s="48"/>
      <c r="K72" s="32"/>
      <c r="L72" s="32"/>
      <c r="M72" s="48"/>
      <c r="N72" s="32"/>
      <c r="O72" s="2"/>
      <c r="P72" s="2"/>
      <c r="Q72" s="2"/>
      <c r="R72" s="2"/>
      <c r="S72" s="2"/>
      <c r="T72" s="2"/>
      <c r="U72" s="56"/>
      <c r="V72" s="56"/>
      <c r="X72" s="111"/>
      <c r="Y72" s="162"/>
      <c r="Z72" s="111"/>
      <c r="AA72" s="114"/>
      <c r="AB72" s="111"/>
      <c r="AC72" s="114"/>
      <c r="AD72" s="111"/>
      <c r="AE72" s="114"/>
      <c r="AF72" s="111"/>
      <c r="AG72" s="114"/>
      <c r="AH72" s="111"/>
      <c r="AI72" s="192"/>
      <c r="AJ72" s="193"/>
      <c r="AK72" s="194"/>
      <c r="AS72" s="25"/>
      <c r="AT72" s="25"/>
      <c r="AU72" s="25"/>
      <c r="AV72" s="25"/>
      <c r="AW72" s="25"/>
      <c r="AX72" s="25"/>
      <c r="AZ72" s="25"/>
      <c r="BA72" s="25"/>
      <c r="BB72" s="25"/>
      <c r="BC72" s="25"/>
      <c r="BD72" s="25"/>
      <c r="BE72" s="25"/>
      <c r="BI72" s="25"/>
      <c r="BJ72" s="25"/>
      <c r="BK72" s="25"/>
      <c r="BL72" s="25"/>
      <c r="BM72" s="25"/>
      <c r="BN72" s="25"/>
      <c r="BP72" s="25"/>
      <c r="BQ72" s="25"/>
      <c r="BR72" s="25"/>
      <c r="BS72" s="25"/>
      <c r="BT72" s="25"/>
      <c r="BU72" s="25"/>
      <c r="BX72" s="25"/>
      <c r="BY72" s="25"/>
      <c r="BZ72" s="25"/>
      <c r="CA72" s="25"/>
      <c r="CB72" s="25"/>
      <c r="CC72" s="25"/>
      <c r="CE72" s="25"/>
      <c r="CF72" s="25"/>
      <c r="CG72" s="25"/>
      <c r="CH72" s="25"/>
      <c r="CI72" s="25"/>
      <c r="CJ72" s="25"/>
    </row>
    <row r="73" spans="1:88" ht="14" customHeight="1">
      <c r="A73" s="107"/>
      <c r="B73" s="108"/>
      <c r="C73" s="39"/>
      <c r="D73" s="38"/>
      <c r="E73" s="32"/>
      <c r="F73" s="32"/>
      <c r="G73" s="32"/>
      <c r="H73" s="31"/>
      <c r="I73" s="47"/>
      <c r="J73" s="48"/>
      <c r="K73" s="32"/>
      <c r="L73" s="32"/>
      <c r="M73" s="48"/>
      <c r="N73" s="3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S73" s="25"/>
      <c r="AT73" s="25"/>
      <c r="AU73" s="25"/>
      <c r="AV73" s="25"/>
      <c r="AW73" s="25"/>
      <c r="AX73" s="25"/>
      <c r="AZ73" s="25"/>
      <c r="BA73" s="25"/>
      <c r="BB73" s="25"/>
      <c r="BC73" s="25"/>
      <c r="BD73" s="25"/>
      <c r="BE73" s="25"/>
      <c r="BI73" s="25"/>
      <c r="BJ73" s="25"/>
      <c r="BK73" s="25"/>
      <c r="BL73" s="25"/>
      <c r="BM73" s="25"/>
      <c r="BN73" s="25"/>
      <c r="BP73" s="25"/>
      <c r="BQ73" s="25"/>
      <c r="BR73" s="25"/>
      <c r="BS73" s="25"/>
      <c r="BT73" s="25"/>
      <c r="BU73" s="25"/>
      <c r="BX73" s="25"/>
      <c r="BY73" s="25"/>
      <c r="BZ73" s="25"/>
      <c r="CA73" s="25"/>
      <c r="CB73" s="25"/>
      <c r="CC73" s="25"/>
      <c r="CE73" s="25"/>
      <c r="CF73" s="25"/>
      <c r="CG73" s="25"/>
      <c r="CH73" s="25"/>
      <c r="CI73" s="25"/>
      <c r="CJ73" s="25"/>
    </row>
    <row r="74" spans="1:88" ht="14" customHeight="1">
      <c r="A74" s="39" t="s">
        <v>123</v>
      </c>
      <c r="B74" s="75">
        <f>[1]Summ!$K$892</f>
        <v>0</v>
      </c>
      <c r="C74" s="14"/>
      <c r="D74" s="12"/>
      <c r="E74" s="14"/>
      <c r="F74" s="14"/>
      <c r="G74" s="14"/>
      <c r="H74" s="12"/>
      <c r="I74" s="14"/>
      <c r="J74" s="12"/>
      <c r="K74" s="14"/>
      <c r="L74" s="14"/>
      <c r="M74" s="10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S74" s="25"/>
      <c r="AT74" s="25"/>
      <c r="AU74" s="25"/>
      <c r="AV74" s="25"/>
      <c r="AW74" s="25"/>
      <c r="AX74" s="25"/>
      <c r="AZ74" s="25"/>
      <c r="BA74" s="25"/>
      <c r="BB74" s="25"/>
      <c r="BC74" s="25"/>
      <c r="BD74" s="25"/>
      <c r="BE74" s="25"/>
      <c r="BI74" s="25"/>
      <c r="BJ74" s="25"/>
      <c r="BK74" s="25"/>
      <c r="BL74" s="25"/>
      <c r="BM74" s="25"/>
      <c r="BN74" s="25"/>
      <c r="BP74" s="25"/>
      <c r="BQ74" s="25"/>
      <c r="BR74" s="25"/>
      <c r="BS74" s="25"/>
      <c r="BT74" s="25"/>
      <c r="BU74" s="25"/>
      <c r="BX74" s="25"/>
      <c r="BY74" s="25"/>
      <c r="BZ74" s="25"/>
      <c r="CA74" s="25"/>
      <c r="CB74" s="25"/>
      <c r="CC74" s="25"/>
      <c r="CE74" s="25"/>
      <c r="CF74" s="25"/>
      <c r="CG74" s="25"/>
      <c r="CH74" s="25"/>
      <c r="CI74" s="25"/>
      <c r="CJ74" s="25"/>
    </row>
    <row r="75" spans="1:88" ht="15.75" customHeight="1">
      <c r="A75" s="73" t="str">
        <f>A26</f>
        <v>Income : Better-off HHs</v>
      </c>
      <c r="B75" s="2"/>
      <c r="C75" s="2"/>
      <c r="D75" s="31"/>
      <c r="E75" s="2"/>
      <c r="F75" s="2"/>
      <c r="G75" s="2"/>
      <c r="H75" s="17"/>
      <c r="I75" s="2"/>
      <c r="J75" s="33"/>
      <c r="M75" s="57"/>
      <c r="N75" s="58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S75" s="25"/>
      <c r="AT75" s="25"/>
      <c r="AU75" s="25"/>
      <c r="AV75" s="25"/>
      <c r="AW75" s="25"/>
      <c r="AX75" s="25"/>
      <c r="AZ75" s="25"/>
      <c r="BA75" s="25"/>
      <c r="BB75" s="25"/>
      <c r="BC75" s="25"/>
      <c r="BD75" s="25"/>
      <c r="BE75" s="25"/>
      <c r="BI75" s="25"/>
      <c r="BJ75" s="25"/>
      <c r="BK75" s="25"/>
      <c r="BL75" s="25"/>
      <c r="BM75" s="25"/>
      <c r="BN75" s="25"/>
      <c r="BP75" s="25"/>
      <c r="BQ75" s="25"/>
      <c r="BR75" s="25"/>
      <c r="BS75" s="25"/>
      <c r="BT75" s="25"/>
      <c r="BU75" s="25"/>
      <c r="BX75" s="25"/>
      <c r="BY75" s="25"/>
      <c r="BZ75" s="25"/>
      <c r="CA75" s="25"/>
      <c r="CB75" s="25"/>
      <c r="CC75" s="25"/>
      <c r="CE75" s="25"/>
      <c r="CF75" s="25"/>
      <c r="CG75" s="25"/>
      <c r="CH75" s="25"/>
      <c r="CI75" s="25"/>
      <c r="CJ75" s="25"/>
    </row>
    <row r="76" spans="1:88" ht="14" customHeight="1">
      <c r="A76" s="2"/>
      <c r="B76" s="19" t="s">
        <v>7</v>
      </c>
      <c r="C76" s="19" t="s">
        <v>8</v>
      </c>
      <c r="D76" s="16" t="s">
        <v>9</v>
      </c>
      <c r="H76" s="16" t="s">
        <v>12</v>
      </c>
      <c r="I76" s="19" t="s">
        <v>13</v>
      </c>
      <c r="J76" s="16" t="s">
        <v>14</v>
      </c>
      <c r="K76" s="19" t="s">
        <v>7</v>
      </c>
      <c r="L76" s="19" t="s">
        <v>15</v>
      </c>
      <c r="M76" s="57" t="str">
        <f t="shared" ref="M76:M101" si="35">(J76)</f>
        <v>Curr.</v>
      </c>
      <c r="N76" s="58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S76" s="25"/>
      <c r="AT76" s="25"/>
      <c r="AU76" s="25"/>
      <c r="AV76" s="25"/>
      <c r="AW76" s="25"/>
      <c r="AX76" s="25"/>
      <c r="AZ76" s="25"/>
      <c r="BA76" s="25"/>
      <c r="BB76" s="25"/>
      <c r="BC76" s="25"/>
      <c r="BD76" s="25"/>
      <c r="BE76" s="25"/>
      <c r="BI76" s="25"/>
      <c r="BJ76" s="25"/>
      <c r="BK76" s="25"/>
      <c r="BL76" s="25"/>
      <c r="BM76" s="25"/>
      <c r="BN76" s="25"/>
      <c r="BP76" s="25"/>
      <c r="BQ76" s="25"/>
      <c r="BR76" s="25"/>
      <c r="BS76" s="25"/>
      <c r="BT76" s="25"/>
      <c r="BU76" s="25"/>
      <c r="BX76" s="25"/>
      <c r="BY76" s="25"/>
      <c r="BZ76" s="25"/>
      <c r="CA76" s="25"/>
      <c r="CB76" s="25"/>
      <c r="CC76" s="25"/>
      <c r="CE76" s="25"/>
      <c r="CF76" s="25"/>
      <c r="CG76" s="25"/>
      <c r="CH76" s="25"/>
      <c r="CI76" s="25"/>
      <c r="CJ76" s="25"/>
    </row>
    <row r="77" spans="1:88" ht="14" customHeight="1">
      <c r="A77" s="2" t="s">
        <v>44</v>
      </c>
      <c r="B77" s="19" t="s">
        <v>16</v>
      </c>
      <c r="C77" s="19" t="s">
        <v>17</v>
      </c>
      <c r="D77" s="16" t="s">
        <v>16</v>
      </c>
      <c r="H77" s="16" t="s">
        <v>18</v>
      </c>
      <c r="I77" s="19" t="s">
        <v>16</v>
      </c>
      <c r="J77" s="16" t="s">
        <v>16</v>
      </c>
      <c r="K77" s="19" t="s">
        <v>16</v>
      </c>
      <c r="L77" s="19" t="s">
        <v>19</v>
      </c>
      <c r="M77" s="57" t="str">
        <f t="shared" si="35"/>
        <v>Access</v>
      </c>
      <c r="N77" s="58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S77" s="25"/>
      <c r="AT77" s="25"/>
      <c r="AU77" s="25"/>
      <c r="AV77" s="25"/>
      <c r="AW77" s="25"/>
      <c r="AX77" s="25"/>
      <c r="AZ77" s="25"/>
      <c r="BA77" s="25"/>
      <c r="BB77" s="25"/>
      <c r="BC77" s="25"/>
      <c r="BD77" s="25"/>
      <c r="BE77" s="25"/>
      <c r="BI77" s="25"/>
      <c r="BJ77" s="25"/>
      <c r="BK77" s="25"/>
      <c r="BL77" s="25"/>
      <c r="BM77" s="25"/>
      <c r="BN77" s="25"/>
      <c r="BP77" s="25"/>
      <c r="BQ77" s="25"/>
      <c r="BR77" s="25"/>
      <c r="BS77" s="25"/>
      <c r="BT77" s="25"/>
      <c r="BU77" s="25"/>
      <c r="BX77" s="25"/>
      <c r="BY77" s="25"/>
      <c r="BZ77" s="25"/>
      <c r="CA77" s="25"/>
      <c r="CB77" s="25"/>
      <c r="CC77" s="25"/>
      <c r="CE77" s="25"/>
      <c r="CF77" s="25"/>
      <c r="CG77" s="25"/>
      <c r="CH77" s="25"/>
      <c r="CI77" s="25"/>
      <c r="CJ77" s="25"/>
    </row>
    <row r="78" spans="1:88" ht="14" customHeight="1">
      <c r="A78" s="2" t="str">
        <f t="shared" ref="A78:A100" si="36">IF(A29="","",A29)</f>
        <v>Cattle sales - local: no. sold</v>
      </c>
      <c r="B78" s="75">
        <f t="shared" ref="B78:C100" si="37">(B29/$B$70)</f>
        <v>1.5099592528019927</v>
      </c>
      <c r="C78" s="75">
        <f t="shared" si="37"/>
        <v>0</v>
      </c>
      <c r="D78" s="24">
        <f t="shared" ref="D78:D100" si="38">(B78+C78)</f>
        <v>1.5099592528019927</v>
      </c>
      <c r="H78" s="24">
        <f t="shared" ref="H78:H100" si="39">(E29*F29/G29*F$7/F$9)</f>
        <v>0.99107142857142871</v>
      </c>
      <c r="I78" s="22">
        <f t="shared" ref="I78:I100" si="40">(D78*H78)</f>
        <v>1.496477473759118</v>
      </c>
      <c r="J78" s="24">
        <f t="shared" ref="J78:J100" si="41">IF(I$24&lt;=1+I$113,I78,L78+J$25*(I78-L78))</f>
        <v>1.496477473759118</v>
      </c>
      <c r="K78" s="22">
        <f t="shared" ref="K78:K100" si="42">(B78)</f>
        <v>1.5099592528019927</v>
      </c>
      <c r="L78" s="22">
        <f t="shared" ref="L78:L100" si="43">(K78*H78)</f>
        <v>1.496477473759118</v>
      </c>
      <c r="M78" s="233">
        <f t="shared" si="35"/>
        <v>1.496477473759118</v>
      </c>
      <c r="N78" s="235">
        <v>5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S78" s="25"/>
      <c r="AT78" s="25"/>
      <c r="AU78" s="25"/>
      <c r="AV78" s="25"/>
      <c r="AW78" s="25"/>
      <c r="AX78" s="25"/>
      <c r="AZ78" s="25"/>
      <c r="BA78" s="25"/>
      <c r="BB78" s="25"/>
      <c r="BC78" s="25"/>
      <c r="BD78" s="25"/>
      <c r="BE78" s="25"/>
      <c r="BI78" s="25"/>
      <c r="BJ78" s="25"/>
      <c r="BK78" s="25"/>
      <c r="BL78" s="25"/>
      <c r="BM78" s="25"/>
      <c r="BN78" s="25"/>
      <c r="BP78" s="25"/>
      <c r="BQ78" s="25"/>
      <c r="BR78" s="25"/>
      <c r="BS78" s="25"/>
      <c r="BT78" s="25"/>
      <c r="BU78" s="25"/>
      <c r="BX78" s="25"/>
      <c r="BY78" s="25"/>
      <c r="BZ78" s="25"/>
      <c r="CA78" s="25"/>
      <c r="CB78" s="25"/>
      <c r="CC78" s="25"/>
      <c r="CE78" s="25"/>
      <c r="CF78" s="25"/>
      <c r="CG78" s="25"/>
      <c r="CH78" s="25"/>
      <c r="CI78" s="25"/>
      <c r="CJ78" s="25"/>
    </row>
    <row r="79" spans="1:88" ht="14" customHeight="1">
      <c r="A79" s="2" t="str">
        <f t="shared" si="36"/>
        <v>Goat sales - local: no. sold</v>
      </c>
      <c r="B79" s="75">
        <f t="shared" si="37"/>
        <v>0.33974083188044835</v>
      </c>
      <c r="C79" s="75">
        <f t="shared" si="37"/>
        <v>-0.11324694396014945</v>
      </c>
      <c r="D79" s="24">
        <f t="shared" si="38"/>
        <v>0.2264938879202989</v>
      </c>
      <c r="H79" s="24">
        <f t="shared" si="39"/>
        <v>0.97321428571428581</v>
      </c>
      <c r="I79" s="22">
        <f t="shared" si="40"/>
        <v>0.22042708735100519</v>
      </c>
      <c r="J79" s="24">
        <f t="shared" si="41"/>
        <v>0.33074632037004942</v>
      </c>
      <c r="K79" s="22">
        <f t="shared" si="42"/>
        <v>0.33974083188044835</v>
      </c>
      <c r="L79" s="22">
        <f t="shared" si="43"/>
        <v>0.33064063102650781</v>
      </c>
      <c r="M79" s="233">
        <f t="shared" si="35"/>
        <v>0.33074632037004942</v>
      </c>
      <c r="N79" s="235">
        <v>5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2" t="str">
        <f t="shared" si="36"/>
        <v>Chicken sales: no. sold</v>
      </c>
      <c r="B80" s="75">
        <f t="shared" si="37"/>
        <v>0</v>
      </c>
      <c r="C80" s="75">
        <f t="shared" si="37"/>
        <v>0</v>
      </c>
      <c r="D80" s="24">
        <f t="shared" si="38"/>
        <v>0</v>
      </c>
      <c r="H80" s="24">
        <f t="shared" si="39"/>
        <v>0.97321428571428581</v>
      </c>
      <c r="I80" s="22">
        <f t="shared" si="40"/>
        <v>0</v>
      </c>
      <c r="J80" s="24">
        <f t="shared" si="41"/>
        <v>0</v>
      </c>
      <c r="K80" s="22">
        <f t="shared" si="42"/>
        <v>0</v>
      </c>
      <c r="L80" s="22">
        <f t="shared" si="43"/>
        <v>0</v>
      </c>
      <c r="M80" s="233">
        <f t="shared" si="35"/>
        <v>0</v>
      </c>
      <c r="N80" s="235">
        <v>5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2" t="str">
        <f t="shared" si="36"/>
        <v>Maize: kg produced</v>
      </c>
      <c r="B81" s="75">
        <f t="shared" si="37"/>
        <v>1.3589633275217934</v>
      </c>
      <c r="C81" s="75">
        <f t="shared" si="37"/>
        <v>-1.3589633275217934</v>
      </c>
      <c r="D81" s="24">
        <f t="shared" si="38"/>
        <v>0</v>
      </c>
      <c r="H81" s="24">
        <f t="shared" si="39"/>
        <v>0.91071428571428581</v>
      </c>
      <c r="I81" s="22">
        <f t="shared" si="40"/>
        <v>0</v>
      </c>
      <c r="J81" s="24">
        <f t="shared" si="41"/>
        <v>1.238814139590001</v>
      </c>
      <c r="K81" s="22">
        <f t="shared" si="42"/>
        <v>1.3589633275217934</v>
      </c>
      <c r="L81" s="22">
        <f t="shared" si="43"/>
        <v>1.237627316135919</v>
      </c>
      <c r="M81" s="233">
        <f t="shared" si="35"/>
        <v>1.238814139590001</v>
      </c>
      <c r="N81" s="235">
        <v>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2" t="str">
        <f t="shared" si="36"/>
        <v>Beans: kg produced</v>
      </c>
      <c r="B82" s="75">
        <f t="shared" si="37"/>
        <v>0.18874490660024909</v>
      </c>
      <c r="C82" s="75">
        <f t="shared" si="37"/>
        <v>0</v>
      </c>
      <c r="D82" s="24">
        <f t="shared" si="38"/>
        <v>0.18874490660024909</v>
      </c>
      <c r="H82" s="24">
        <f t="shared" si="39"/>
        <v>1.0089285714285714</v>
      </c>
      <c r="I82" s="22">
        <f t="shared" si="40"/>
        <v>0.19043012898060846</v>
      </c>
      <c r="J82" s="24">
        <f t="shared" si="41"/>
        <v>0.19043012898060846</v>
      </c>
      <c r="K82" s="22">
        <f t="shared" si="42"/>
        <v>0.18874490660024909</v>
      </c>
      <c r="L82" s="22">
        <f t="shared" si="43"/>
        <v>0.19043012898060846</v>
      </c>
      <c r="M82" s="233">
        <f t="shared" si="35"/>
        <v>0.19043012898060846</v>
      </c>
      <c r="N82" s="235">
        <v>2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2" t="str">
        <f t="shared" si="36"/>
        <v>Water melon: no. local meas</v>
      </c>
      <c r="B83" s="75">
        <f t="shared" si="37"/>
        <v>0</v>
      </c>
      <c r="C83" s="75">
        <f t="shared" si="37"/>
        <v>0</v>
      </c>
      <c r="D83" s="24">
        <f t="shared" si="38"/>
        <v>0</v>
      </c>
      <c r="H83" s="24">
        <f t="shared" si="39"/>
        <v>1.0892857142857144</v>
      </c>
      <c r="I83" s="22">
        <f t="shared" si="40"/>
        <v>0</v>
      </c>
      <c r="J83" s="24">
        <f t="shared" si="41"/>
        <v>0</v>
      </c>
      <c r="K83" s="22">
        <f t="shared" si="42"/>
        <v>0</v>
      </c>
      <c r="L83" s="22">
        <f t="shared" si="43"/>
        <v>0</v>
      </c>
      <c r="M83" s="233">
        <f t="shared" si="35"/>
        <v>0</v>
      </c>
      <c r="N83" s="235">
        <v>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>
      <c r="A84" s="2" t="str">
        <f t="shared" si="36"/>
        <v>WILD FOODS -- see worksheet Data 3</v>
      </c>
      <c r="B84" s="75">
        <f t="shared" si="37"/>
        <v>0</v>
      </c>
      <c r="C84" s="75">
        <f t="shared" si="37"/>
        <v>0</v>
      </c>
      <c r="D84" s="24">
        <f t="shared" si="38"/>
        <v>0</v>
      </c>
      <c r="H84" s="24">
        <f t="shared" si="39"/>
        <v>0.71428571428571441</v>
      </c>
      <c r="I84" s="22">
        <f t="shared" si="40"/>
        <v>0</v>
      </c>
      <c r="J84" s="24">
        <f t="shared" si="41"/>
        <v>0</v>
      </c>
      <c r="K84" s="22">
        <f t="shared" si="42"/>
        <v>0</v>
      </c>
      <c r="L84" s="22">
        <f t="shared" si="43"/>
        <v>0</v>
      </c>
      <c r="M84" s="233">
        <f t="shared" si="35"/>
        <v>0</v>
      </c>
      <c r="N84" s="235">
        <v>6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>
      <c r="A85" s="2" t="str">
        <f t="shared" si="36"/>
        <v>Agricultural cash income -- see Data2</v>
      </c>
      <c r="B85" s="75">
        <f t="shared" si="37"/>
        <v>0</v>
      </c>
      <c r="C85" s="75">
        <f t="shared" si="37"/>
        <v>0</v>
      </c>
      <c r="D85" s="24">
        <f t="shared" si="38"/>
        <v>0</v>
      </c>
      <c r="H85" s="24">
        <f t="shared" si="39"/>
        <v>0.862232142857143</v>
      </c>
      <c r="I85" s="22">
        <f t="shared" si="40"/>
        <v>0</v>
      </c>
      <c r="J85" s="24">
        <f t="shared" si="41"/>
        <v>0</v>
      </c>
      <c r="K85" s="22">
        <f t="shared" si="42"/>
        <v>0</v>
      </c>
      <c r="L85" s="22">
        <f t="shared" si="43"/>
        <v>0</v>
      </c>
      <c r="M85" s="233">
        <f t="shared" si="35"/>
        <v>0</v>
      </c>
      <c r="N85" s="235">
        <v>7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2" t="str">
        <f t="shared" si="36"/>
        <v>Construction cash income -- see Data2</v>
      </c>
      <c r="B86" s="75">
        <f t="shared" si="37"/>
        <v>0</v>
      </c>
      <c r="C86" s="75">
        <f t="shared" si="37"/>
        <v>0</v>
      </c>
      <c r="D86" s="24">
        <f t="shared" si="38"/>
        <v>0</v>
      </c>
      <c r="H86" s="24">
        <f t="shared" si="39"/>
        <v>0.98214285714285743</v>
      </c>
      <c r="I86" s="22">
        <f t="shared" si="40"/>
        <v>0</v>
      </c>
      <c r="J86" s="24">
        <f t="shared" si="41"/>
        <v>0</v>
      </c>
      <c r="K86" s="22">
        <f t="shared" si="42"/>
        <v>0</v>
      </c>
      <c r="L86" s="22">
        <f t="shared" si="43"/>
        <v>0</v>
      </c>
      <c r="M86" s="233">
        <f t="shared" si="35"/>
        <v>0</v>
      </c>
      <c r="N86" s="235">
        <v>7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2" t="str">
        <f t="shared" si="36"/>
        <v>Domestic work cash income -- see Data2</v>
      </c>
      <c r="B87" s="75">
        <f t="shared" si="37"/>
        <v>0</v>
      </c>
      <c r="C87" s="75">
        <f t="shared" si="37"/>
        <v>0</v>
      </c>
      <c r="D87" s="24">
        <f t="shared" si="38"/>
        <v>0</v>
      </c>
      <c r="H87" s="24">
        <f t="shared" si="39"/>
        <v>0.98214285714285743</v>
      </c>
      <c r="I87" s="22">
        <f t="shared" si="40"/>
        <v>0</v>
      </c>
      <c r="J87" s="24">
        <f t="shared" si="41"/>
        <v>0</v>
      </c>
      <c r="K87" s="22">
        <f t="shared" si="42"/>
        <v>0</v>
      </c>
      <c r="L87" s="22">
        <f t="shared" si="43"/>
        <v>0</v>
      </c>
      <c r="M87" s="233">
        <f t="shared" si="35"/>
        <v>0</v>
      </c>
      <c r="N87" s="235">
        <v>7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4" customHeight="1">
      <c r="A88" s="2" t="str">
        <f t="shared" si="36"/>
        <v>Labour migration(formal employment): no. people per HH</v>
      </c>
      <c r="B88" s="75">
        <f t="shared" si="37"/>
        <v>0</v>
      </c>
      <c r="C88" s="75">
        <f t="shared" si="37"/>
        <v>0</v>
      </c>
      <c r="D88" s="24">
        <f t="shared" si="38"/>
        <v>0</v>
      </c>
      <c r="H88" s="24">
        <f t="shared" si="39"/>
        <v>0.95535714285714302</v>
      </c>
      <c r="I88" s="22">
        <f t="shared" si="40"/>
        <v>0</v>
      </c>
      <c r="J88" s="24">
        <f t="shared" si="41"/>
        <v>0</v>
      </c>
      <c r="K88" s="22">
        <f t="shared" si="42"/>
        <v>0</v>
      </c>
      <c r="L88" s="22">
        <f t="shared" si="43"/>
        <v>0</v>
      </c>
      <c r="M88" s="233">
        <f t="shared" si="35"/>
        <v>0</v>
      </c>
      <c r="N88" s="235">
        <v>8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 t="str">
        <f t="shared" si="36"/>
        <v>Formal Employment (conservancies, etc.)</v>
      </c>
      <c r="B89" s="75">
        <f t="shared" si="37"/>
        <v>31.709144308841847</v>
      </c>
      <c r="C89" s="75">
        <f t="shared" si="37"/>
        <v>0</v>
      </c>
      <c r="D89" s="24">
        <f t="shared" si="38"/>
        <v>31.709144308841847</v>
      </c>
      <c r="H89" s="24">
        <f t="shared" si="39"/>
        <v>0.95535714285714302</v>
      </c>
      <c r="I89" s="22">
        <f t="shared" si="40"/>
        <v>30.293557509339983</v>
      </c>
      <c r="J89" s="24">
        <f t="shared" si="41"/>
        <v>30.293557509339983</v>
      </c>
      <c r="K89" s="22">
        <f t="shared" si="42"/>
        <v>31.709144308841847</v>
      </c>
      <c r="L89" s="22">
        <f t="shared" si="43"/>
        <v>30.293557509339983</v>
      </c>
      <c r="M89" s="233">
        <f t="shared" si="35"/>
        <v>30.293557509339983</v>
      </c>
      <c r="N89" s="235">
        <v>8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tr">
        <f t="shared" si="36"/>
        <v>Self-employment -- see Data2</v>
      </c>
      <c r="B90" s="75">
        <f t="shared" si="37"/>
        <v>0</v>
      </c>
      <c r="C90" s="75">
        <f t="shared" si="37"/>
        <v>0</v>
      </c>
      <c r="D90" s="24">
        <f t="shared" si="38"/>
        <v>0</v>
      </c>
      <c r="H90" s="24">
        <f t="shared" si="39"/>
        <v>0.98214285714285743</v>
      </c>
      <c r="I90" s="22">
        <f t="shared" si="40"/>
        <v>0</v>
      </c>
      <c r="J90" s="24">
        <f t="shared" si="41"/>
        <v>0</v>
      </c>
      <c r="K90" s="22">
        <f t="shared" si="42"/>
        <v>0</v>
      </c>
      <c r="L90" s="22">
        <f t="shared" si="43"/>
        <v>0</v>
      </c>
      <c r="M90" s="233">
        <f t="shared" si="35"/>
        <v>0</v>
      </c>
      <c r="N90" s="235">
        <v>10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si="36"/>
        <v>Small business -- see Data2</v>
      </c>
      <c r="B91" s="75">
        <f t="shared" si="37"/>
        <v>14.948596602739727</v>
      </c>
      <c r="C91" s="75">
        <f t="shared" si="37"/>
        <v>0</v>
      </c>
      <c r="D91" s="24">
        <f t="shared" si="38"/>
        <v>14.948596602739727</v>
      </c>
      <c r="H91" s="24">
        <f t="shared" si="39"/>
        <v>0.93750000000000022</v>
      </c>
      <c r="I91" s="22">
        <f t="shared" si="40"/>
        <v>14.014309315068497</v>
      </c>
      <c r="J91" s="24">
        <f t="shared" si="41"/>
        <v>14.014309315068497</v>
      </c>
      <c r="K91" s="22">
        <f t="shared" si="42"/>
        <v>14.948596602739727</v>
      </c>
      <c r="L91" s="22">
        <f t="shared" si="43"/>
        <v>14.014309315068497</v>
      </c>
      <c r="M91" s="233">
        <f t="shared" si="35"/>
        <v>14.014309315068497</v>
      </c>
      <c r="N91" s="235">
        <v>11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36"/>
        <v>Social development -- see Data2</v>
      </c>
      <c r="B92" s="75">
        <f t="shared" si="37"/>
        <v>1.2434750377957662</v>
      </c>
      <c r="C92" s="75">
        <f t="shared" si="37"/>
        <v>0</v>
      </c>
      <c r="D92" s="24">
        <f t="shared" si="38"/>
        <v>1.2434750377957662</v>
      </c>
      <c r="H92" s="24">
        <f t="shared" si="39"/>
        <v>0.99107142857142871</v>
      </c>
      <c r="I92" s="22">
        <f t="shared" si="40"/>
        <v>1.2323725821011613</v>
      </c>
      <c r="J92" s="24">
        <f t="shared" si="41"/>
        <v>1.2323725821011613</v>
      </c>
      <c r="K92" s="22">
        <f t="shared" si="42"/>
        <v>1.2434750377957662</v>
      </c>
      <c r="L92" s="22">
        <f t="shared" si="43"/>
        <v>1.2323725821011613</v>
      </c>
      <c r="M92" s="233">
        <f t="shared" si="35"/>
        <v>1.2323725821011613</v>
      </c>
      <c r="N92" s="235">
        <v>14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36"/>
        <v>Public works -- see Data2</v>
      </c>
      <c r="B93" s="75">
        <f t="shared" si="37"/>
        <v>0</v>
      </c>
      <c r="C93" s="75">
        <f t="shared" si="37"/>
        <v>0</v>
      </c>
      <c r="D93" s="24">
        <f t="shared" si="38"/>
        <v>0</v>
      </c>
      <c r="H93" s="24">
        <f t="shared" si="39"/>
        <v>0.95535714285714302</v>
      </c>
      <c r="I93" s="22">
        <f t="shared" si="40"/>
        <v>0</v>
      </c>
      <c r="J93" s="24">
        <f t="shared" si="41"/>
        <v>0</v>
      </c>
      <c r="K93" s="22">
        <f t="shared" si="42"/>
        <v>0</v>
      </c>
      <c r="L93" s="22">
        <f t="shared" si="43"/>
        <v>0</v>
      </c>
      <c r="M93" s="57">
        <f t="shared" si="35"/>
        <v>0</v>
      </c>
      <c r="N93" s="235">
        <v>9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36"/>
        <v>Remittances: no. times per year</v>
      </c>
      <c r="B94" s="75">
        <f t="shared" si="37"/>
        <v>0</v>
      </c>
      <c r="C94" s="75">
        <f t="shared" si="37"/>
        <v>0</v>
      </c>
      <c r="D94" s="24">
        <f t="shared" si="38"/>
        <v>0</v>
      </c>
      <c r="H94" s="24">
        <f t="shared" si="39"/>
        <v>0.93750000000000022</v>
      </c>
      <c r="I94" s="22">
        <f t="shared" si="40"/>
        <v>0</v>
      </c>
      <c r="J94" s="24">
        <f t="shared" si="41"/>
        <v>0</v>
      </c>
      <c r="K94" s="22">
        <f t="shared" si="42"/>
        <v>0</v>
      </c>
      <c r="L94" s="22">
        <f t="shared" si="43"/>
        <v>0</v>
      </c>
      <c r="M94" s="57">
        <f t="shared" si="35"/>
        <v>0</v>
      </c>
      <c r="N94" s="235">
        <v>15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36"/>
        <v/>
      </c>
      <c r="B95" s="75">
        <f t="shared" si="37"/>
        <v>0</v>
      </c>
      <c r="C95" s="75">
        <f t="shared" si="37"/>
        <v>0</v>
      </c>
      <c r="D95" s="24">
        <f t="shared" si="38"/>
        <v>0</v>
      </c>
      <c r="H95" s="24">
        <f t="shared" si="39"/>
        <v>0.8928571428571429</v>
      </c>
      <c r="I95" s="22">
        <f t="shared" si="40"/>
        <v>0</v>
      </c>
      <c r="J95" s="24">
        <f t="shared" si="41"/>
        <v>0</v>
      </c>
      <c r="K95" s="22">
        <f t="shared" si="42"/>
        <v>0</v>
      </c>
      <c r="L95" s="22">
        <f t="shared" si="43"/>
        <v>0</v>
      </c>
      <c r="M95" s="57">
        <f t="shared" si="35"/>
        <v>0</v>
      </c>
      <c r="N95" s="235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36"/>
        <v/>
      </c>
      <c r="B96" s="75">
        <f t="shared" si="37"/>
        <v>0</v>
      </c>
      <c r="C96" s="75">
        <f t="shared" si="37"/>
        <v>0</v>
      </c>
      <c r="D96" s="24">
        <f t="shared" si="38"/>
        <v>0</v>
      </c>
      <c r="H96" s="24">
        <f t="shared" si="39"/>
        <v>0.8928571428571429</v>
      </c>
      <c r="I96" s="22">
        <f t="shared" si="40"/>
        <v>0</v>
      </c>
      <c r="J96" s="24">
        <f t="shared" si="41"/>
        <v>0</v>
      </c>
      <c r="K96" s="22">
        <f t="shared" si="42"/>
        <v>0</v>
      </c>
      <c r="L96" s="22">
        <f t="shared" si="43"/>
        <v>0</v>
      </c>
      <c r="M96" s="57">
        <f t="shared" si="35"/>
        <v>0</v>
      </c>
      <c r="N96" s="235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36"/>
        <v/>
      </c>
      <c r="B97" s="75">
        <f t="shared" si="37"/>
        <v>0</v>
      </c>
      <c r="C97" s="75">
        <f t="shared" si="37"/>
        <v>0</v>
      </c>
      <c r="D97" s="24">
        <f t="shared" si="38"/>
        <v>0</v>
      </c>
      <c r="H97" s="24">
        <f t="shared" si="39"/>
        <v>0.8928571428571429</v>
      </c>
      <c r="I97" s="22">
        <f t="shared" si="40"/>
        <v>0</v>
      </c>
      <c r="J97" s="24">
        <f t="shared" si="41"/>
        <v>0</v>
      </c>
      <c r="K97" s="22">
        <f t="shared" si="42"/>
        <v>0</v>
      </c>
      <c r="L97" s="22">
        <f t="shared" si="43"/>
        <v>0</v>
      </c>
      <c r="M97" s="57">
        <f t="shared" si="35"/>
        <v>0</v>
      </c>
      <c r="N97" s="235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36"/>
        <v/>
      </c>
      <c r="B98" s="75">
        <f t="shared" si="37"/>
        <v>0</v>
      </c>
      <c r="C98" s="75">
        <f t="shared" si="37"/>
        <v>0</v>
      </c>
      <c r="D98" s="24">
        <f t="shared" si="38"/>
        <v>0</v>
      </c>
      <c r="H98" s="24">
        <f t="shared" si="39"/>
        <v>0.8928571428571429</v>
      </c>
      <c r="I98" s="22">
        <f t="shared" si="40"/>
        <v>0</v>
      </c>
      <c r="J98" s="24">
        <f t="shared" si="41"/>
        <v>0</v>
      </c>
      <c r="K98" s="22">
        <f t="shared" si="42"/>
        <v>0</v>
      </c>
      <c r="L98" s="22">
        <f t="shared" si="43"/>
        <v>0</v>
      </c>
      <c r="M98" s="57">
        <f t="shared" si="35"/>
        <v>0</v>
      </c>
      <c r="N98" s="235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36"/>
        <v/>
      </c>
      <c r="B99" s="75">
        <f t="shared" si="37"/>
        <v>0</v>
      </c>
      <c r="C99" s="75">
        <f t="shared" si="37"/>
        <v>0</v>
      </c>
      <c r="D99" s="24">
        <f t="shared" si="38"/>
        <v>0</v>
      </c>
      <c r="H99" s="24">
        <f t="shared" si="39"/>
        <v>0.8928571428571429</v>
      </c>
      <c r="I99" s="22">
        <f t="shared" si="40"/>
        <v>0</v>
      </c>
      <c r="J99" s="24">
        <f t="shared" si="41"/>
        <v>0</v>
      </c>
      <c r="K99" s="22">
        <f t="shared" si="42"/>
        <v>0</v>
      </c>
      <c r="L99" s="22">
        <f t="shared" si="43"/>
        <v>0</v>
      </c>
      <c r="M99" s="57">
        <f t="shared" si="35"/>
        <v>0</v>
      </c>
      <c r="N99" s="23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36"/>
        <v/>
      </c>
      <c r="B100" s="75">
        <f t="shared" si="37"/>
        <v>0</v>
      </c>
      <c r="C100" s="75">
        <f t="shared" si="37"/>
        <v>0</v>
      </c>
      <c r="D100" s="24">
        <f t="shared" si="38"/>
        <v>0</v>
      </c>
      <c r="H100" s="24">
        <f t="shared" si="39"/>
        <v>0.8928571428571429</v>
      </c>
      <c r="I100" s="22">
        <f t="shared" si="40"/>
        <v>0</v>
      </c>
      <c r="J100" s="24">
        <f t="shared" si="41"/>
        <v>0</v>
      </c>
      <c r="K100" s="22">
        <f t="shared" si="42"/>
        <v>0</v>
      </c>
      <c r="L100" s="22">
        <f t="shared" si="43"/>
        <v>0</v>
      </c>
      <c r="M100" s="57">
        <f t="shared" si="35"/>
        <v>0</v>
      </c>
      <c r="N100" s="23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">
        <v>32</v>
      </c>
      <c r="B101" s="22">
        <f>SUM(B78:B100)</f>
        <v>51.298624268181825</v>
      </c>
      <c r="C101" s="22">
        <f>SUM(C78:C100)</f>
        <v>-1.4722102714819427</v>
      </c>
      <c r="D101" s="24">
        <f>SUM(D78:D100)</f>
        <v>49.826413996699884</v>
      </c>
      <c r="E101" s="22"/>
      <c r="F101" s="2"/>
      <c r="G101" s="2"/>
      <c r="H101" s="31"/>
      <c r="I101" s="22">
        <f>SUM(I78:I100)</f>
        <v>47.44757409660037</v>
      </c>
      <c r="J101" s="24">
        <f>SUM(J78:J100)</f>
        <v>48.796707469209416</v>
      </c>
      <c r="K101" s="22">
        <f>SUM(K78:K100)</f>
        <v>51.298624268181825</v>
      </c>
      <c r="L101" s="22">
        <f>SUM(L78:L100)</f>
        <v>48.795414956411797</v>
      </c>
      <c r="M101" s="57">
        <f t="shared" si="35"/>
        <v>48.796707469209416</v>
      </c>
      <c r="N101" s="5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83"/>
      <c r="B102" s="83"/>
      <c r="C102" s="83"/>
      <c r="D102" s="10"/>
      <c r="E102" s="11"/>
      <c r="F102" s="11"/>
      <c r="G102" s="11"/>
      <c r="H102" s="10"/>
      <c r="I102" s="11"/>
      <c r="J102" s="62"/>
      <c r="K102" s="14"/>
      <c r="L102" s="11"/>
      <c r="M102" s="63"/>
      <c r="N102" s="5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>
      <c r="A103" s="73" t="str">
        <f>A54</f>
        <v>Expenditure : Better-off HHs</v>
      </c>
      <c r="B103" s="2"/>
      <c r="C103" s="2"/>
      <c r="D103" s="31"/>
      <c r="E103" s="2"/>
      <c r="F103" s="2"/>
      <c r="G103" s="2"/>
      <c r="H103" s="31"/>
      <c r="I103" s="22"/>
      <c r="J103" s="18"/>
      <c r="L103" s="2"/>
      <c r="M103" s="57"/>
      <c r="N103" s="5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2"/>
      <c r="AC103" s="2"/>
      <c r="AD103" s="2"/>
      <c r="AE103" s="2"/>
      <c r="AF103" s="2"/>
      <c r="AG103" s="2"/>
      <c r="AM103" s="21"/>
      <c r="AN103" s="21"/>
      <c r="AO103" s="21"/>
      <c r="AV103" s="21"/>
      <c r="AW103" s="21"/>
      <c r="AX103" s="21"/>
      <c r="BC103" s="21"/>
      <c r="BD103" s="21"/>
      <c r="BE103" s="21"/>
      <c r="BL103" s="21"/>
      <c r="BM103" s="21"/>
      <c r="BN103" s="21"/>
      <c r="BS103" s="21"/>
      <c r="BT103" s="21"/>
      <c r="BU103" s="21"/>
      <c r="CA103" s="21"/>
      <c r="CB103" s="21"/>
      <c r="CC103" s="21"/>
      <c r="CH103" s="21"/>
      <c r="CI103" s="21"/>
      <c r="CJ103" s="21"/>
    </row>
    <row r="104" spans="1:88" ht="14" customHeight="1">
      <c r="A104" s="84"/>
      <c r="B104" s="19" t="s">
        <v>7</v>
      </c>
      <c r="C104" s="2"/>
      <c r="D104" s="16"/>
      <c r="H104" s="16" t="s">
        <v>12</v>
      </c>
      <c r="I104" s="19" t="s">
        <v>13</v>
      </c>
      <c r="J104" s="16" t="s">
        <v>14</v>
      </c>
      <c r="K104" s="19" t="s">
        <v>7</v>
      </c>
      <c r="L104" s="19" t="s">
        <v>15</v>
      </c>
      <c r="M104" s="57" t="str">
        <f t="shared" ref="M104:M112" si="44">(J104)</f>
        <v>Curr.</v>
      </c>
      <c r="N104" s="5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">
        <v>44</v>
      </c>
      <c r="B105" s="19" t="s">
        <v>35</v>
      </c>
      <c r="C105" s="2"/>
      <c r="D105" s="31"/>
      <c r="H105" s="16" t="s">
        <v>18</v>
      </c>
      <c r="I105" s="19" t="s">
        <v>35</v>
      </c>
      <c r="J105" s="16" t="s">
        <v>35</v>
      </c>
      <c r="K105" s="19" t="s">
        <v>35</v>
      </c>
      <c r="L105" s="19" t="s">
        <v>19</v>
      </c>
      <c r="M105" s="57" t="str">
        <f t="shared" si="44"/>
        <v>Expend</v>
      </c>
      <c r="N105" s="5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2"/>
      <c r="AC105" s="2"/>
      <c r="AD105" s="2"/>
      <c r="AE105" s="2"/>
      <c r="AF105" s="2"/>
      <c r="AG105" s="2"/>
    </row>
    <row r="106" spans="1:88" ht="14" customHeight="1">
      <c r="A106" s="111" t="s">
        <v>131</v>
      </c>
      <c r="B106" s="75">
        <f>B57/B$70</f>
        <v>2.4102768168197</v>
      </c>
      <c r="C106" s="2"/>
      <c r="D106" s="24"/>
      <c r="H106" s="24">
        <f>(E57*F57/G$29*F$7/F$9)</f>
        <v>1.0178571428571428</v>
      </c>
      <c r="I106" s="29">
        <f>IF(SUMPRODUCT($B$106:$B106,$H$106:$H106)&lt;I$101,($B106*$H106),I$101)</f>
        <v>2.4533174742629087</v>
      </c>
      <c r="J106" s="243">
        <f>IF(SUMPRODUCT($B$106:$B106,$H$106:$H106)&lt;J$101,($B106*$H106),J$101)</f>
        <v>2.4533174742629087</v>
      </c>
      <c r="K106" s="22">
        <f>(B106)</f>
        <v>2.4102768168197</v>
      </c>
      <c r="L106" s="22">
        <f>IF(B106*H106&gt;=L101,L101,B106*H106)</f>
        <v>2.4533174742629087</v>
      </c>
      <c r="M106" s="57">
        <f t="shared" si="44"/>
        <v>2.4533174742629087</v>
      </c>
      <c r="N106" s="5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2"/>
      <c r="AC106" s="2"/>
      <c r="AD106" s="2"/>
      <c r="AE106" s="2"/>
      <c r="AF106" s="2"/>
      <c r="AG106" s="2"/>
    </row>
    <row r="107" spans="1:88" ht="14" customHeight="1">
      <c r="A107" s="111" t="s">
        <v>132</v>
      </c>
      <c r="B107" s="75">
        <f t="shared" ref="B107:B108" si="45">B58/B$70</f>
        <v>1.8377462405977587</v>
      </c>
      <c r="C107" s="2"/>
      <c r="D107" s="24"/>
      <c r="H107" s="24">
        <f t="shared" ref="H107:H108" si="46">(E58*F58/G$29*F$7/F$9)</f>
        <v>0.99107142857142871</v>
      </c>
      <c r="I107" s="29">
        <f>IF(SUMPRODUCT($B$106:$B107,$H$106:$H107)&lt;I$101,($B107*$H107),IF(SUMPRODUCT($B$106:$B106,$H$106:$H106)&lt;I$101,I$101-SUMPRODUCT($B$106:$B106,$H$106:$H106),0))</f>
        <v>1.8213377920209932</v>
      </c>
      <c r="J107" s="243">
        <f>IF(SUMPRODUCT($B$106:$B107,$H$106:$H107)&lt;J$101,($B107*$H107),IF(SUMPRODUCT($B$106:$B106,$H$106:$H106)&lt;J$101,J$101-SUMPRODUCT($B$106:$B106,$H$106:$H106),0))</f>
        <v>1.8213377920209932</v>
      </c>
      <c r="K107" s="22">
        <f t="shared" ref="K107:K108" si="47">(B107)</f>
        <v>1.8377462405977587</v>
      </c>
      <c r="L107" s="22">
        <f t="shared" ref="L107:L108" si="48">IF(B107*H107&gt;=L102,L102,B107*H107)</f>
        <v>0</v>
      </c>
      <c r="M107" s="57">
        <f t="shared" ref="M107:M108" si="49">(J107)</f>
        <v>1.8213377920209932</v>
      </c>
      <c r="N107" s="5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2"/>
      <c r="AC107" s="2"/>
      <c r="AD107" s="2"/>
      <c r="AE107" s="2"/>
      <c r="AF107" s="2"/>
      <c r="AG107" s="2"/>
    </row>
    <row r="108" spans="1:88" ht="14" customHeight="1">
      <c r="A108" s="111" t="s">
        <v>133</v>
      </c>
      <c r="B108" s="75">
        <f t="shared" si="45"/>
        <v>3.2728366804483189</v>
      </c>
      <c r="C108" s="2"/>
      <c r="D108" s="24"/>
      <c r="H108" s="24">
        <f t="shared" si="46"/>
        <v>0.99107142857142871</v>
      </c>
      <c r="I108" s="29">
        <f>IF(SUMPRODUCT($B$106:$B108,$H$106:$H108)&lt;(I$101-I$110),($B108*$H108),IF(SUMPRODUCT($B$106:$B107,$H$106:$H107)&lt;(I$101-I$110),I$101-I$110-SUMPRODUCT($B$106:$B107,$H$106:$H107),0))</f>
        <v>0</v>
      </c>
      <c r="J108" s="243">
        <f>IF(SUMPRODUCT($B$106:$B108,$H$106:$H108)&lt;(J$101-J$110),($B108*$H108),IF(SUMPRODUCT($B$106:$B107,$H$106:$H107)&lt;(J$101-J$110),J$101-J$110-SUMPRODUCT($B$106:$B107,$H$106:$H107),0))</f>
        <v>3.243614924372888</v>
      </c>
      <c r="K108" s="22">
        <f t="shared" si="47"/>
        <v>3.2728366804483189</v>
      </c>
      <c r="L108" s="22">
        <f t="shared" si="48"/>
        <v>0</v>
      </c>
      <c r="M108" s="57">
        <f t="shared" si="49"/>
        <v>3.243614924372888</v>
      </c>
      <c r="N108" s="5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2"/>
      <c r="AC108" s="2"/>
      <c r="AD108" s="2"/>
      <c r="AE108" s="2"/>
      <c r="AF108" s="2"/>
      <c r="AG108" s="2"/>
    </row>
    <row r="109" spans="1:88" ht="14" customHeight="1">
      <c r="A109" s="111" t="s">
        <v>134</v>
      </c>
      <c r="B109" s="75">
        <f>B60/B70</f>
        <v>10.769784370610212</v>
      </c>
      <c r="C109" s="2"/>
      <c r="D109" s="24"/>
      <c r="H109" s="24">
        <f>(E60*F60/G$29*F$7/F$9)</f>
        <v>0.99107142857142871</v>
      </c>
      <c r="I109" s="29">
        <f>IF(SUMPRODUCT($B$106:$B109,$H$106:$H109)&lt;(I$101-I$110),($B109*$H109),IF(SUMPRODUCT($B$106:$B108,$H$106:$H108)&lt;(I$101-I110),I$101-I$110-SUMPRODUCT($B$106:$B108,$H$106:$H108),0))</f>
        <v>0</v>
      </c>
      <c r="J109" s="243">
        <f>IF(SUMPRODUCT($B$106:$B109,$H$106:$H109)&lt;(J$101-J$110),($B109*$H109),IF(SUMPRODUCT($B$106:$B108,$H$106:$H108)&lt;(J$101-J110),J$101-J$110-SUMPRODUCT($B$106:$B108,$H$106:$H108),0))</f>
        <v>10.673625581586908</v>
      </c>
      <c r="K109" s="22">
        <f>(B109)</f>
        <v>10.769784370610212</v>
      </c>
      <c r="L109" s="22">
        <f>IF(L106=L101,0,(L101-L106)/(B101-B106)*K109)</f>
        <v>10.208862094614251</v>
      </c>
      <c r="M109" s="57">
        <f t="shared" si="44"/>
        <v>10.673625581586908</v>
      </c>
      <c r="N109" s="58"/>
      <c r="Q109" s="2"/>
      <c r="R109" s="22"/>
      <c r="S109" s="2"/>
      <c r="T109" s="2"/>
      <c r="U109" s="2"/>
      <c r="V109" s="2"/>
      <c r="W109" s="2"/>
      <c r="X109" s="2"/>
      <c r="Y109" s="2"/>
      <c r="Z109" s="2"/>
      <c r="AA109" s="2"/>
      <c r="AB109" s="22"/>
      <c r="AC109" s="2"/>
      <c r="AD109" s="2"/>
      <c r="AE109" s="2"/>
      <c r="AF109" s="2"/>
      <c r="AG109" s="2"/>
    </row>
    <row r="110" spans="1:88" ht="14" customHeight="1">
      <c r="A110" s="1" t="s">
        <v>135</v>
      </c>
      <c r="B110" s="22">
        <f>(B22)</f>
        <v>0.50976766625155667</v>
      </c>
      <c r="C110" s="2"/>
      <c r="D110" s="31"/>
      <c r="E110" s="2"/>
      <c r="F110" s="2"/>
      <c r="G110" s="2"/>
      <c r="H110" s="24"/>
      <c r="I110" s="29">
        <f>(I22)</f>
        <v>44.99425662233746</v>
      </c>
      <c r="J110" s="234">
        <f>(J22)</f>
        <v>0.51203908677688981</v>
      </c>
      <c r="K110" s="22">
        <f>(B110)</f>
        <v>0.50976766625155667</v>
      </c>
      <c r="L110" s="22">
        <f>IF(L106=L101,0,(L101-L106)/(B101-B106)*K110)</f>
        <v>0.48321745598334759</v>
      </c>
      <c r="M110" s="57">
        <f t="shared" si="44"/>
        <v>0.51203908677688981</v>
      </c>
      <c r="N110" s="5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2"/>
      <c r="AC110" s="2"/>
      <c r="AD110" s="2"/>
      <c r="AE110" s="2"/>
      <c r="AF110" s="2"/>
      <c r="AG110" s="2"/>
    </row>
    <row r="111" spans="1:88" ht="14" customHeight="1">
      <c r="A111" s="56" t="s">
        <v>55</v>
      </c>
      <c r="B111" s="22">
        <f>(B112-B106-B109-B110)</f>
        <v>37.608795414500356</v>
      </c>
      <c r="C111" s="2"/>
      <c r="D111" s="31"/>
      <c r="E111" s="2"/>
      <c r="F111" s="2"/>
      <c r="G111" s="2"/>
      <c r="H111" s="24"/>
      <c r="I111" s="29"/>
      <c r="J111" s="234">
        <f>(J112-J106-J107-J108-J109-J110)</f>
        <v>30.092772610188831</v>
      </c>
      <c r="K111" s="22">
        <f>(B111)</f>
        <v>37.608795414500356</v>
      </c>
      <c r="L111" s="22">
        <f>IF(L106=L101,0,(L101-L106)/(B101-B106)*K111)</f>
        <v>35.650017931551297</v>
      </c>
      <c r="M111" s="57">
        <f t="shared" si="44"/>
        <v>30.092772610188831</v>
      </c>
      <c r="N111" s="5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2"/>
      <c r="AC111" s="2"/>
      <c r="AD111" s="2"/>
      <c r="AE111" s="2"/>
      <c r="AF111" s="2"/>
      <c r="AG111" s="2"/>
    </row>
    <row r="112" spans="1:88" ht="14" customHeight="1">
      <c r="A112" s="2" t="s">
        <v>32</v>
      </c>
      <c r="B112" s="22">
        <f>(B101)</f>
        <v>51.298624268181825</v>
      </c>
      <c r="C112" s="2"/>
      <c r="D112" s="31"/>
      <c r="E112" s="2"/>
      <c r="F112" s="2"/>
      <c r="G112" s="2"/>
      <c r="H112" s="24"/>
      <c r="I112" s="29">
        <f>(I101)</f>
        <v>47.44757409660037</v>
      </c>
      <c r="J112" s="234">
        <f>(J101)</f>
        <v>48.796707469209416</v>
      </c>
      <c r="K112" s="22">
        <f>(B112)</f>
        <v>51.298624268181825</v>
      </c>
      <c r="L112" s="22">
        <f>(L101)</f>
        <v>48.795414956411797</v>
      </c>
      <c r="M112" s="57">
        <f t="shared" si="44"/>
        <v>48.796707469209416</v>
      </c>
      <c r="N112" s="5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2"/>
      <c r="AC112" s="2"/>
      <c r="AD112" s="2"/>
      <c r="AE112" s="2"/>
      <c r="AF112" s="2"/>
      <c r="AG112" s="2"/>
    </row>
    <row r="113" spans="1:33" ht="14" customHeight="1">
      <c r="A113" s="2" t="s">
        <v>36</v>
      </c>
      <c r="B113" s="22"/>
      <c r="C113" s="2"/>
      <c r="D113" s="31"/>
      <c r="E113" s="2"/>
      <c r="F113" s="2"/>
      <c r="G113" s="2"/>
      <c r="H113" s="24"/>
      <c r="I113" s="29">
        <f>IF(SUMPRODUCT($B106:$B109,$H106:$H109)&gt;(I101-I110),SUMPRODUCT($B106:$B109,$H106:$H109)+I110-I101,0)</f>
        <v>15.738578297980787</v>
      </c>
      <c r="J113" s="243">
        <f>IF(SUMPRODUCT($B106:$B109,$H106:$H109)&gt;(J101-J110),SUMPRODUCT($B106:$B109,$H106:$H109)+J110-J101,0)</f>
        <v>0</v>
      </c>
      <c r="K113" s="22"/>
      <c r="L113" s="22">
        <f>I113-L109</f>
        <v>5.5297162033665366</v>
      </c>
      <c r="M113" s="57">
        <f>I113-M109</f>
        <v>5.0649527163938792</v>
      </c>
      <c r="N113" s="5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2"/>
      <c r="AC113" s="2"/>
      <c r="AD113" s="2"/>
      <c r="AE113" s="2"/>
      <c r="AF113" s="2"/>
      <c r="AG113" s="2"/>
    </row>
    <row r="114" spans="1:33" ht="14" customHeight="1">
      <c r="A114" s="14"/>
      <c r="B114" s="14"/>
      <c r="C114" s="14"/>
      <c r="D114" s="12"/>
      <c r="E114" s="14"/>
      <c r="F114" s="14"/>
      <c r="G114" s="14"/>
      <c r="H114" s="12"/>
      <c r="I114" s="14"/>
      <c r="J114" s="12"/>
      <c r="K114" s="14"/>
      <c r="L114" s="14"/>
      <c r="M114" s="66"/>
      <c r="N114" s="58"/>
    </row>
    <row r="124" spans="1:33">
      <c r="A124" s="2"/>
      <c r="B124" s="2"/>
      <c r="C124" s="2"/>
      <c r="D124" s="2"/>
      <c r="E124" s="2"/>
      <c r="F124" s="2"/>
      <c r="G124" s="2"/>
      <c r="H124" s="2"/>
      <c r="I124" s="2"/>
      <c r="J124" s="2"/>
      <c r="L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B125" s="22"/>
      <c r="C125" s="22"/>
      <c r="D125" s="2"/>
      <c r="E125" s="2"/>
      <c r="F125" s="2"/>
      <c r="G125" s="2"/>
      <c r="H125" s="2"/>
      <c r="I125" s="22"/>
      <c r="J125" s="2"/>
      <c r="L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68"/>
      <c r="AC125" s="2"/>
      <c r="AD125" s="2"/>
      <c r="AE125" s="2"/>
      <c r="AF125" s="2"/>
      <c r="AG125" s="2"/>
    </row>
    <row r="126" spans="1:33">
      <c r="B126" s="22"/>
      <c r="C126" s="22"/>
      <c r="D126" s="2"/>
      <c r="E126" s="2"/>
      <c r="F126" s="2"/>
      <c r="G126" s="2"/>
      <c r="H126" s="2"/>
      <c r="I126" s="2"/>
      <c r="J126" s="2"/>
      <c r="L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68"/>
      <c r="AC126" s="2"/>
      <c r="AD126" s="2"/>
      <c r="AE126" s="2"/>
      <c r="AF126" s="2"/>
      <c r="AG126" s="2"/>
    </row>
    <row r="127" spans="1:33">
      <c r="B127" s="22"/>
      <c r="C127" s="22"/>
      <c r="D127" s="2"/>
      <c r="E127" s="2"/>
      <c r="F127" s="2"/>
      <c r="G127" s="2"/>
      <c r="H127" s="2"/>
      <c r="I127" s="22"/>
      <c r="J127" s="2"/>
      <c r="L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68"/>
      <c r="AC127" s="2"/>
      <c r="AD127" s="2"/>
      <c r="AE127" s="2"/>
      <c r="AF127" s="2"/>
      <c r="AG127" s="2"/>
    </row>
    <row r="128" spans="1:33">
      <c r="B128" s="2"/>
      <c r="C128" s="2"/>
      <c r="D128" s="2"/>
      <c r="E128" s="2"/>
      <c r="F128" s="2"/>
      <c r="G128" s="2"/>
      <c r="H128" s="2"/>
      <c r="I128" s="2"/>
      <c r="J128" s="2"/>
      <c r="L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68"/>
      <c r="AC128" s="2"/>
      <c r="AD128" s="2"/>
      <c r="AE128" s="2"/>
      <c r="AF128" s="2"/>
      <c r="AG128" s="2"/>
    </row>
    <row r="129" spans="1:33">
      <c r="B129" s="22"/>
      <c r="C129" s="22"/>
      <c r="D129" s="2"/>
      <c r="E129" s="2"/>
      <c r="F129" s="2"/>
      <c r="G129" s="2"/>
      <c r="H129" s="2"/>
      <c r="I129" s="2"/>
      <c r="J129" s="2"/>
      <c r="L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68"/>
      <c r="AC129" s="2"/>
      <c r="AD129" s="2"/>
      <c r="AE129" s="2"/>
      <c r="AF129" s="2"/>
      <c r="AG129" s="2"/>
    </row>
    <row r="130" spans="1:33">
      <c r="B130" s="22"/>
      <c r="C130" s="22"/>
      <c r="D130" s="2"/>
      <c r="E130" s="2"/>
      <c r="F130" s="2"/>
      <c r="G130" s="2"/>
      <c r="H130" s="2"/>
      <c r="I130" s="2"/>
      <c r="J130" s="2"/>
      <c r="L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68"/>
      <c r="AC130" s="2"/>
      <c r="AD130" s="2"/>
      <c r="AE130" s="2"/>
      <c r="AF130" s="2"/>
      <c r="AG130" s="2"/>
    </row>
    <row r="131" spans="1:33">
      <c r="B131" s="22"/>
      <c r="C131" s="22"/>
      <c r="D131" s="2"/>
      <c r="E131" s="2"/>
      <c r="F131" s="2"/>
      <c r="G131" s="2"/>
      <c r="H131" s="2"/>
      <c r="I131" s="2"/>
      <c r="J131" s="2"/>
      <c r="L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68"/>
      <c r="AC131" s="2"/>
      <c r="AD131" s="2"/>
      <c r="AE131" s="2"/>
      <c r="AF131" s="2"/>
      <c r="AG131" s="2"/>
    </row>
    <row r="132" spans="1:33">
      <c r="B132" s="22"/>
      <c r="C132" s="22"/>
      <c r="D132" s="2"/>
      <c r="E132" s="2"/>
      <c r="F132" s="2"/>
      <c r="G132" s="2"/>
      <c r="H132" s="2"/>
      <c r="I132" s="2"/>
      <c r="J132" s="2"/>
      <c r="L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68"/>
      <c r="AC132" s="2"/>
      <c r="AD132" s="2"/>
      <c r="AE132" s="2"/>
      <c r="AF132" s="2"/>
      <c r="AG132" s="2"/>
    </row>
    <row r="133" spans="1:33">
      <c r="B133" s="22"/>
      <c r="C133" s="22"/>
      <c r="D133" s="2"/>
      <c r="E133" s="2"/>
      <c r="F133" s="2"/>
      <c r="G133" s="2"/>
      <c r="H133" s="2"/>
      <c r="I133" s="2"/>
      <c r="J133" s="2"/>
      <c r="L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68"/>
      <c r="AC133" s="2"/>
      <c r="AD133" s="2"/>
      <c r="AE133" s="2"/>
      <c r="AF133" s="2"/>
      <c r="AG133" s="2"/>
    </row>
    <row r="134" spans="1:33">
      <c r="B134" s="22"/>
      <c r="C134" s="22"/>
      <c r="D134" s="2"/>
      <c r="E134" s="2"/>
      <c r="F134" s="2"/>
      <c r="G134" s="2"/>
      <c r="H134" s="2"/>
      <c r="I134" s="2"/>
      <c r="J134" s="2"/>
      <c r="L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68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2"/>
      <c r="E135" s="2"/>
      <c r="F135" s="2"/>
      <c r="G135" s="2"/>
      <c r="H135" s="2"/>
      <c r="I135" s="2"/>
      <c r="J135" s="2"/>
      <c r="L135" s="2"/>
      <c r="O135" s="2"/>
      <c r="P135" s="2"/>
      <c r="Q135" s="2"/>
      <c r="R135" s="2"/>
      <c r="S135" s="2"/>
      <c r="T135" s="2"/>
      <c r="U135" s="2"/>
      <c r="V135" s="2"/>
      <c r="W135" s="69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3"/>
      <c r="B136" s="2"/>
      <c r="C136" s="2"/>
      <c r="D136" s="2"/>
      <c r="E136" s="2"/>
      <c r="F136" s="2"/>
      <c r="H136" s="2"/>
      <c r="I136" s="2"/>
      <c r="J136" s="2"/>
      <c r="L136" s="2"/>
      <c r="W136" s="71"/>
    </row>
    <row r="137" spans="1:33">
      <c r="A137" s="2"/>
      <c r="B137" s="2"/>
      <c r="C137" s="2"/>
      <c r="D137" s="2"/>
      <c r="E137" s="2"/>
      <c r="F137" s="2"/>
      <c r="H137" s="2"/>
      <c r="I137" s="2"/>
      <c r="J137" s="2"/>
      <c r="L137" s="2"/>
      <c r="W137" s="71"/>
    </row>
    <row r="138" spans="1:33">
      <c r="A138" s="2"/>
      <c r="B138" s="2"/>
      <c r="C138" s="2"/>
      <c r="D138" s="2"/>
      <c r="E138" s="2"/>
      <c r="F138" s="2"/>
      <c r="H138" s="2"/>
      <c r="I138" s="2"/>
      <c r="J138" s="2"/>
      <c r="L138" s="2"/>
      <c r="W138" s="71"/>
    </row>
    <row r="139" spans="1:33">
      <c r="A139" s="22"/>
      <c r="B139" s="2"/>
      <c r="C139" s="2"/>
      <c r="D139" s="2"/>
      <c r="E139" s="2"/>
      <c r="F139" s="2"/>
      <c r="H139" s="2"/>
      <c r="I139" s="2"/>
      <c r="J139" s="2"/>
      <c r="L139" s="2"/>
      <c r="W139" s="71"/>
    </row>
    <row r="140" spans="1:33">
      <c r="A140" s="2"/>
      <c r="B140" s="2"/>
      <c r="C140" s="2"/>
      <c r="D140" s="2"/>
      <c r="E140" s="2"/>
      <c r="F140" s="2"/>
      <c r="H140" s="2"/>
      <c r="I140" s="2"/>
      <c r="J140" s="2"/>
      <c r="L140" s="2"/>
      <c r="W140" s="71"/>
    </row>
    <row r="141" spans="1:33">
      <c r="A141" s="2"/>
      <c r="B141" s="2"/>
      <c r="C141" s="2"/>
      <c r="D141" s="2"/>
      <c r="E141" s="2"/>
      <c r="F141" s="2"/>
      <c r="H141" s="2"/>
      <c r="I141" s="2"/>
      <c r="J141" s="2"/>
      <c r="L141" s="2"/>
    </row>
    <row r="142" spans="1:33">
      <c r="A142" s="2"/>
      <c r="B142" s="2"/>
      <c r="C142" s="2"/>
      <c r="D142" s="2"/>
      <c r="E142" s="2"/>
      <c r="F142" s="2"/>
      <c r="H142" s="2"/>
      <c r="I142" s="2"/>
      <c r="J142" s="2"/>
      <c r="L142" s="2"/>
    </row>
    <row r="143" spans="1:33">
      <c r="A143" s="2"/>
      <c r="B143" s="2"/>
      <c r="C143" s="2"/>
      <c r="D143" s="2"/>
      <c r="E143" s="2"/>
      <c r="F143" s="2"/>
      <c r="H143" s="2"/>
      <c r="I143" s="2"/>
      <c r="J143" s="2"/>
      <c r="L143" s="2"/>
      <c r="AB143" s="71"/>
    </row>
    <row r="144" spans="1:33">
      <c r="A144" s="2"/>
      <c r="B144" s="2"/>
      <c r="C144" s="2"/>
      <c r="D144" s="2"/>
      <c r="E144" s="2"/>
      <c r="F144" s="2"/>
      <c r="H144" s="2"/>
      <c r="I144" s="2"/>
      <c r="J144" s="2"/>
      <c r="L144" s="2"/>
      <c r="AB144" s="71"/>
    </row>
    <row r="145" spans="1:28">
      <c r="A145" s="2"/>
      <c r="B145" s="2"/>
      <c r="C145" s="2"/>
      <c r="D145" s="2"/>
      <c r="E145" s="2"/>
      <c r="F145" s="2"/>
      <c r="H145" s="2"/>
      <c r="I145" s="2"/>
      <c r="J145" s="2"/>
      <c r="L145" s="2"/>
      <c r="AB145" s="71"/>
    </row>
    <row r="146" spans="1:28">
      <c r="A146" s="2"/>
      <c r="B146" s="2"/>
      <c r="C146" s="2"/>
      <c r="D146" s="2"/>
      <c r="E146" s="2"/>
      <c r="F146" s="2"/>
      <c r="H146" s="2"/>
      <c r="I146" s="2"/>
      <c r="J146" s="2"/>
      <c r="L146" s="2"/>
      <c r="AB146" s="71"/>
    </row>
    <row r="147" spans="1:28">
      <c r="A147" s="2"/>
      <c r="B147" s="2"/>
      <c r="C147" s="2"/>
      <c r="D147" s="2"/>
      <c r="E147" s="2"/>
      <c r="F147" s="2"/>
      <c r="H147" s="2"/>
      <c r="I147" s="2"/>
      <c r="J147" s="2"/>
      <c r="L147" s="2"/>
      <c r="W147" s="72"/>
      <c r="AB147" s="71"/>
    </row>
    <row r="148" spans="1:28">
      <c r="A148" s="2"/>
      <c r="B148" s="2"/>
      <c r="C148" s="2"/>
      <c r="D148" s="2"/>
      <c r="E148" s="2"/>
      <c r="F148" s="2"/>
      <c r="H148" s="2"/>
      <c r="I148" s="2"/>
      <c r="J148" s="2"/>
      <c r="L148" s="2"/>
      <c r="W148" s="72"/>
      <c r="AB148" s="71"/>
    </row>
    <row r="149" spans="1:28">
      <c r="A149" s="2"/>
      <c r="B149" s="2"/>
      <c r="C149" s="2"/>
      <c r="D149" s="2"/>
      <c r="E149" s="2"/>
      <c r="F149" s="2"/>
      <c r="H149" s="2"/>
      <c r="I149" s="2"/>
      <c r="J149" s="2"/>
      <c r="L149" s="2"/>
      <c r="AB149" s="71"/>
    </row>
    <row r="150" spans="1:28">
      <c r="A150" s="2"/>
      <c r="B150" s="2"/>
      <c r="C150" s="2"/>
      <c r="D150" s="2"/>
      <c r="E150" s="2"/>
      <c r="F150" s="2"/>
      <c r="H150" s="2"/>
      <c r="I150" s="2"/>
      <c r="J150" s="2"/>
      <c r="L150" s="2"/>
      <c r="AB150" s="71"/>
    </row>
    <row r="151" spans="1:28">
      <c r="A151" s="2"/>
      <c r="B151" s="2"/>
      <c r="C151" s="2"/>
      <c r="D151" s="2"/>
      <c r="E151" s="2"/>
      <c r="F151" s="2"/>
      <c r="H151" s="2"/>
      <c r="I151" s="2"/>
      <c r="J151" s="2"/>
      <c r="L151" s="2"/>
      <c r="AB151" s="71"/>
    </row>
    <row r="152" spans="1:28">
      <c r="A152" s="2"/>
      <c r="B152" s="2"/>
      <c r="C152" s="2"/>
      <c r="D152" s="2"/>
      <c r="E152" s="2"/>
      <c r="F152" s="2"/>
      <c r="H152" s="2"/>
      <c r="I152" s="2"/>
      <c r="J152" s="2"/>
      <c r="L152" s="2"/>
    </row>
    <row r="153" spans="1:28">
      <c r="A153" s="2"/>
      <c r="B153" s="2"/>
      <c r="C153" s="2"/>
      <c r="D153" s="2"/>
      <c r="E153" s="2"/>
      <c r="F153" s="2"/>
      <c r="H153" s="2"/>
      <c r="I153" s="2"/>
      <c r="J153" s="2"/>
      <c r="L153" s="2"/>
      <c r="W153" s="72"/>
      <c r="AB153" s="71"/>
    </row>
    <row r="154" spans="1:28">
      <c r="A154" s="2"/>
      <c r="B154" s="2"/>
      <c r="C154" s="2"/>
      <c r="D154" s="2"/>
      <c r="E154" s="2"/>
      <c r="F154" s="2"/>
      <c r="H154" s="2"/>
      <c r="I154" s="2"/>
      <c r="J154" s="2"/>
      <c r="L154" s="2"/>
      <c r="W154" s="72"/>
    </row>
    <row r="155" spans="1:28">
      <c r="A155" s="2"/>
      <c r="B155" s="2"/>
      <c r="C155" s="2"/>
      <c r="D155" s="2"/>
      <c r="E155" s="2"/>
      <c r="F155" s="2"/>
      <c r="H155" s="2"/>
      <c r="I155" s="2"/>
      <c r="J155" s="2"/>
      <c r="L155" s="2"/>
    </row>
    <row r="156" spans="1:28">
      <c r="A156" s="2"/>
      <c r="B156" s="2"/>
      <c r="C156" s="2"/>
      <c r="D156" s="2"/>
      <c r="E156" s="2"/>
      <c r="F156" s="2"/>
      <c r="H156" s="2"/>
      <c r="I156" s="2"/>
      <c r="J156" s="2"/>
      <c r="L156" s="2"/>
    </row>
    <row r="157" spans="1:28">
      <c r="A157" s="2"/>
      <c r="B157" s="2"/>
      <c r="C157" s="2"/>
      <c r="D157" s="2"/>
      <c r="E157" s="2"/>
      <c r="F157" s="2"/>
      <c r="H157" s="2"/>
      <c r="I157" s="2"/>
      <c r="J157" s="2"/>
      <c r="L157" s="2"/>
      <c r="AB157" s="71"/>
    </row>
    <row r="158" spans="1:28">
      <c r="A158" s="2"/>
      <c r="B158" s="2"/>
      <c r="C158" s="2"/>
      <c r="D158" s="2"/>
      <c r="E158" s="2"/>
      <c r="F158" s="2"/>
      <c r="H158" s="2"/>
      <c r="I158" s="2"/>
      <c r="J158" s="2"/>
      <c r="L158" s="2"/>
      <c r="AB158" s="71"/>
    </row>
    <row r="159" spans="1:28">
      <c r="A159" s="2"/>
      <c r="B159" s="2"/>
      <c r="C159" s="2"/>
      <c r="D159" s="2"/>
      <c r="E159" s="2"/>
      <c r="F159" s="2"/>
      <c r="H159" s="2"/>
      <c r="I159" s="2"/>
      <c r="J159" s="2"/>
      <c r="L159" s="2"/>
      <c r="W159" s="72"/>
      <c r="AB159" s="71"/>
    </row>
    <row r="160" spans="1:28">
      <c r="A160" s="2"/>
      <c r="B160" s="2"/>
      <c r="C160" s="2"/>
      <c r="D160" s="2"/>
      <c r="E160" s="2"/>
      <c r="F160" s="2"/>
      <c r="H160" s="2"/>
      <c r="I160" s="2"/>
      <c r="J160" s="2"/>
      <c r="L160" s="2"/>
      <c r="W160" s="72"/>
      <c r="AB160" s="71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</row>
    <row r="167" spans="1:28">
      <c r="AB167" s="71"/>
    </row>
    <row r="168" spans="1:28">
      <c r="AB168" s="71"/>
    </row>
    <row r="169" spans="1:28">
      <c r="AB169" s="71"/>
    </row>
    <row r="170" spans="1:28">
      <c r="AB170" s="71"/>
    </row>
    <row r="171" spans="1:28">
      <c r="W171" s="72"/>
      <c r="AB171" s="71"/>
    </row>
    <row r="172" spans="1:28">
      <c r="W172" s="72"/>
      <c r="AB172" s="71"/>
    </row>
    <row r="173" spans="1:28">
      <c r="W173" s="72"/>
    </row>
    <row r="175" spans="1:28">
      <c r="AB175" s="71"/>
    </row>
    <row r="176" spans="1:28">
      <c r="AB176" s="71"/>
    </row>
    <row r="177" spans="23:28">
      <c r="AB177" s="71"/>
    </row>
    <row r="178" spans="23:28">
      <c r="AB178" s="71"/>
    </row>
    <row r="179" spans="23:28">
      <c r="AB179" s="71"/>
    </row>
    <row r="180" spans="23:28">
      <c r="W180" s="72"/>
      <c r="AB180" s="71"/>
    </row>
    <row r="181" spans="23:28">
      <c r="W181" s="72"/>
    </row>
    <row r="182" spans="23:28">
      <c r="W182" s="72"/>
    </row>
    <row r="189" spans="23:28">
      <c r="W189" s="72"/>
    </row>
    <row r="190" spans="23:28">
      <c r="W190" s="72"/>
    </row>
    <row r="191" spans="23:28">
      <c r="W191" s="72"/>
    </row>
    <row r="201" spans="23:23">
      <c r="W201" s="72"/>
    </row>
    <row r="202" spans="23:23">
      <c r="W202" s="72"/>
    </row>
    <row r="203" spans="23:23">
      <c r="W203" s="72"/>
    </row>
    <row r="210" spans="23:23">
      <c r="W210" s="72"/>
    </row>
    <row r="211" spans="23:23">
      <c r="W211" s="72"/>
    </row>
    <row r="212" spans="23:23">
      <c r="W212" s="72"/>
    </row>
    <row r="219" spans="23:23">
      <c r="W219" s="72"/>
    </row>
    <row r="220" spans="23:23">
      <c r="W220" s="72"/>
    </row>
    <row r="221" spans="23:23">
      <c r="W221" s="72"/>
    </row>
    <row r="231" spans="23:23">
      <c r="W231" s="72"/>
    </row>
    <row r="232" spans="23:23">
      <c r="W232" s="72"/>
    </row>
    <row r="233" spans="23:23">
      <c r="W233" s="72"/>
    </row>
    <row r="240" spans="23:23">
      <c r="W240" s="72"/>
    </row>
    <row r="241" spans="23:23">
      <c r="W241" s="72"/>
    </row>
    <row r="242" spans="23:23">
      <c r="W242" s="72"/>
    </row>
    <row r="249" spans="23:23">
      <c r="W249" s="72"/>
    </row>
    <row r="250" spans="23:23">
      <c r="W250" s="72"/>
    </row>
    <row r="251" spans="23:23">
      <c r="W251" s="72"/>
    </row>
  </sheetData>
  <sheetProtection sheet="1" objects="1" scenarios="1"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19" val="1" numFmtId="9"/>
      <inputCells r="E20" val="1" numFmtId="9"/>
      <inputCells r="E21" val="1" numFmtId="9"/>
      <inputCells r="E32" val="1" numFmtId="9"/>
      <inputCells r="E36" val="1" numFmtId="9"/>
      <inputCells r="E37" val="1" numFmtId="9"/>
      <inputCells r="E38" val="1" numFmtId="9"/>
      <inputCells r="E51" val="1" numFmtId="9"/>
      <inputCells r="F30" val="1" numFmtId="9"/>
      <inputCells r="F31" val="2" numFmtId="9"/>
      <inputCells r="F32" val="1.25" numFmtId="9"/>
      <inputCells r="F36" val="1" numFmtId="9"/>
      <inputCells r="F37" val="0.4" numFmtId="9"/>
      <inputCells r="F38" val="1" numFmtId="9"/>
      <inputCells r="F51" val="1" numFmtId="9"/>
      <inputCells r="F29" val="2.5" numFmtId="9"/>
      <inputCells r="G29" val="2" numFmtId="9"/>
      <inputCells r="F57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19" val="1" numFmtId="9"/>
      <inputCells r="E20" val="1" numFmtId="9"/>
      <inputCells r="E21" val="1" numFmtId="9"/>
      <inputCells r="E32" val="1" numFmtId="9"/>
      <inputCells r="E36" val="1" numFmtId="9"/>
      <inputCells r="E37" val="1" numFmtId="9"/>
      <inputCells r="E38" val="1" numFmtId="9"/>
      <inputCells r="E51" val="1" numFmtId="9"/>
      <inputCells r="F29" val="1" numFmtId="9"/>
      <inputCells r="F30" val="1" numFmtId="9"/>
      <inputCells r="F31" val="1" numFmtId="9"/>
      <inputCells r="F32" val="1" numFmtId="9"/>
      <inputCells r="F36" val="1" numFmtId="9"/>
      <inputCells r="F37" val="1" numFmtId="9"/>
      <inputCells r="F38" val="1" numFmtId="9"/>
      <inputCells r="F51" val="1" numFmtId="9"/>
      <inputCells r="G29" val="1" numFmtId="9"/>
      <inputCells r="F57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5" priority="113" operator="equal">
      <formula>16</formula>
    </cfRule>
    <cfRule type="cellIs" dxfId="94" priority="114" operator="equal">
      <formula>15</formula>
    </cfRule>
    <cfRule type="cellIs" dxfId="93" priority="115" operator="equal">
      <formula>14</formula>
    </cfRule>
    <cfRule type="cellIs" dxfId="92" priority="116" operator="equal">
      <formula>13</formula>
    </cfRule>
    <cfRule type="cellIs" dxfId="91" priority="117" operator="equal">
      <formula>12</formula>
    </cfRule>
    <cfRule type="cellIs" dxfId="90" priority="118" operator="equal">
      <formula>11</formula>
    </cfRule>
    <cfRule type="cellIs" dxfId="89" priority="119" operator="equal">
      <formula>10</formula>
    </cfRule>
    <cfRule type="cellIs" dxfId="88" priority="120" operator="equal">
      <formula>9</formula>
    </cfRule>
    <cfRule type="cellIs" dxfId="87" priority="121" operator="equal">
      <formula>8</formula>
    </cfRule>
    <cfRule type="cellIs" dxfId="86" priority="122" operator="equal">
      <formula>7</formula>
    </cfRule>
    <cfRule type="cellIs" dxfId="85" priority="123" operator="equal">
      <formula>6</formula>
    </cfRule>
    <cfRule type="cellIs" dxfId="84" priority="124" operator="equal">
      <formula>5</formula>
    </cfRule>
    <cfRule type="cellIs" dxfId="83" priority="125" operator="equal">
      <formula>4</formula>
    </cfRule>
    <cfRule type="cellIs" dxfId="82" priority="126" operator="equal">
      <formula>3</formula>
    </cfRule>
    <cfRule type="cellIs" dxfId="81" priority="127" operator="equal">
      <formula>2</formula>
    </cfRule>
    <cfRule type="cellIs" dxfId="80" priority="128" operator="equal">
      <formula>1</formula>
    </cfRule>
  </conditionalFormatting>
  <conditionalFormatting sqref="N21">
    <cfRule type="cellIs" dxfId="79" priority="97" operator="equal">
      <formula>16</formula>
    </cfRule>
    <cfRule type="cellIs" dxfId="78" priority="98" operator="equal">
      <formula>15</formula>
    </cfRule>
    <cfRule type="cellIs" dxfId="77" priority="99" operator="equal">
      <formula>14</formula>
    </cfRule>
    <cfRule type="cellIs" dxfId="76" priority="100" operator="equal">
      <formula>13</formula>
    </cfRule>
    <cfRule type="cellIs" dxfId="75" priority="101" operator="equal">
      <formula>12</formula>
    </cfRule>
    <cfRule type="cellIs" dxfId="74" priority="102" operator="equal">
      <formula>11</formula>
    </cfRule>
    <cfRule type="cellIs" dxfId="73" priority="103" operator="equal">
      <formula>10</formula>
    </cfRule>
    <cfRule type="cellIs" dxfId="72" priority="104" operator="equal">
      <formula>9</formula>
    </cfRule>
    <cfRule type="cellIs" dxfId="71" priority="105" operator="equal">
      <formula>8</formula>
    </cfRule>
    <cfRule type="cellIs" dxfId="70" priority="106" operator="equal">
      <formula>7</formula>
    </cfRule>
    <cfRule type="cellIs" dxfId="69" priority="107" operator="equal">
      <formula>6</formula>
    </cfRule>
    <cfRule type="cellIs" dxfId="68" priority="108" operator="equal">
      <formula>5</formula>
    </cfRule>
    <cfRule type="cellIs" dxfId="67" priority="109" operator="equal">
      <formula>4</formula>
    </cfRule>
    <cfRule type="cellIs" dxfId="66" priority="110" operator="equal">
      <formula>3</formula>
    </cfRule>
    <cfRule type="cellIs" dxfId="65" priority="111" operator="equal">
      <formula>2</formula>
    </cfRule>
    <cfRule type="cellIs" dxfId="64" priority="112" operator="equal">
      <formula>1</formula>
    </cfRule>
  </conditionalFormatting>
  <conditionalFormatting sqref="N95:N100">
    <cfRule type="cellIs" dxfId="63" priority="49" operator="equal">
      <formula>16</formula>
    </cfRule>
    <cfRule type="cellIs" dxfId="62" priority="50" operator="equal">
      <formula>15</formula>
    </cfRule>
    <cfRule type="cellIs" dxfId="61" priority="51" operator="equal">
      <formula>14</formula>
    </cfRule>
    <cfRule type="cellIs" dxfId="60" priority="52" operator="equal">
      <formula>13</formula>
    </cfRule>
    <cfRule type="cellIs" dxfId="59" priority="53" operator="equal">
      <formula>12</formula>
    </cfRule>
    <cfRule type="cellIs" dxfId="58" priority="54" operator="equal">
      <formula>11</formula>
    </cfRule>
    <cfRule type="cellIs" dxfId="57" priority="55" operator="equal">
      <formula>10</formula>
    </cfRule>
    <cfRule type="cellIs" dxfId="56" priority="56" operator="equal">
      <formula>9</formula>
    </cfRule>
    <cfRule type="cellIs" dxfId="55" priority="57" operator="equal">
      <formula>8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N6:N20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78:N91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92:N94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C3" zoomScale="90" zoomScaleNormal="90" zoomScalePageLayoutView="90" workbookViewId="0">
      <selection activeCell="C53" sqref="C53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8"/>
      <c r="G2" s="89"/>
      <c r="H2" s="89"/>
      <c r="I2" s="89"/>
      <c r="J2" s="89"/>
      <c r="K2" s="253" t="str">
        <f>Poor!A1</f>
        <v>ZALOF</v>
      </c>
      <c r="L2" s="253"/>
      <c r="M2" s="253"/>
      <c r="N2" s="253"/>
      <c r="O2" s="253"/>
      <c r="P2" s="253"/>
      <c r="Q2" s="253"/>
      <c r="R2" s="87"/>
      <c r="S2" s="87"/>
      <c r="T2" s="87"/>
      <c r="U2" s="87"/>
      <c r="V2" s="87"/>
    </row>
    <row r="3" spans="1:22" s="93" customFormat="1" ht="17">
      <c r="A3" s="90"/>
      <c r="B3" s="254" t="str">
        <f>V.Poor!A3</f>
        <v>Sources of Food : Very Poor HHs</v>
      </c>
      <c r="C3" s="255"/>
      <c r="D3" s="255"/>
      <c r="E3" s="255"/>
      <c r="F3" s="92"/>
      <c r="G3" s="252" t="str">
        <f>Poor!A3</f>
        <v>Sources of Food : Poor HHs</v>
      </c>
      <c r="H3" s="252"/>
      <c r="I3" s="252"/>
      <c r="J3" s="252"/>
      <c r="K3" s="89"/>
      <c r="L3" s="252" t="str">
        <f>Middle!A3</f>
        <v>Sources of Food : Middle HHs</v>
      </c>
      <c r="M3" s="252"/>
      <c r="N3" s="252"/>
      <c r="O3" s="252"/>
      <c r="P3" s="252"/>
      <c r="Q3" s="91"/>
      <c r="R3" s="252" t="str">
        <f>Rich!A3</f>
        <v>Sources of Food : Better-off HHs</v>
      </c>
      <c r="S3" s="252"/>
      <c r="T3" s="252"/>
      <c r="U3" s="25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75" zoomScale="125" zoomScaleNormal="125" zoomScalePageLayoutView="125" workbookViewId="0">
      <selection activeCell="F101" sqref="F10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53" t="str">
        <f>Poor!A1</f>
        <v>ZALOF</v>
      </c>
      <c r="L2" s="253"/>
      <c r="M2" s="253"/>
      <c r="N2" s="253"/>
      <c r="O2" s="253"/>
      <c r="P2" s="253"/>
      <c r="Q2" s="253"/>
      <c r="R2" s="87"/>
      <c r="S2" s="87"/>
      <c r="T2" s="87"/>
      <c r="U2" s="87"/>
      <c r="V2" s="87"/>
    </row>
    <row r="3" spans="1:22" s="93" customFormat="1" ht="17">
      <c r="A3" s="90"/>
      <c r="B3" s="89"/>
      <c r="C3" s="254" t="str">
        <f>V.Poor!A26</f>
        <v>Income : Very Poor HHs</v>
      </c>
      <c r="D3" s="254"/>
      <c r="E3" s="254"/>
      <c r="F3" s="90"/>
      <c r="G3" s="252" t="str">
        <f>Poor!A26</f>
        <v>Income : Poor HHs</v>
      </c>
      <c r="H3" s="252"/>
      <c r="I3" s="252"/>
      <c r="J3" s="252"/>
      <c r="K3" s="89"/>
      <c r="L3" s="252" t="str">
        <f>Middle!A26</f>
        <v>Income : Middle HHs</v>
      </c>
      <c r="M3" s="252"/>
      <c r="N3" s="252"/>
      <c r="O3" s="252"/>
      <c r="P3" s="252"/>
      <c r="Q3" s="91"/>
      <c r="R3" s="252" t="str">
        <f>Rich!A26</f>
        <v>Income : Better-off HHs</v>
      </c>
      <c r="S3" s="252"/>
      <c r="T3" s="252"/>
      <c r="U3" s="25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1" t="s">
        <v>88</v>
      </c>
      <c r="C71" s="171" t="s">
        <v>89</v>
      </c>
      <c r="D71" s="171" t="s">
        <v>90</v>
      </c>
      <c r="E71" s="171" t="s">
        <v>91</v>
      </c>
      <c r="F71" s="171" t="s">
        <v>92</v>
      </c>
      <c r="G71" s="171" t="s">
        <v>93</v>
      </c>
      <c r="H71" s="171" t="s">
        <v>94</v>
      </c>
      <c r="I71" s="171" t="s">
        <v>95</v>
      </c>
    </row>
    <row r="72" spans="1:9">
      <c r="A72" t="str">
        <f>V.Poor!Q7</f>
        <v>Own crops Consumed</v>
      </c>
      <c r="B72" s="110">
        <f>V.Poor!R7</f>
        <v>1200.5294239670377</v>
      </c>
      <c r="C72" s="110">
        <f>Poor!R7</f>
        <v>2791.8711372284488</v>
      </c>
      <c r="D72" s="110">
        <f>Middle!R7</f>
        <v>3104.472928176795</v>
      </c>
      <c r="E72" s="110">
        <f>Rich!R7</f>
        <v>4088.2475138121531</v>
      </c>
      <c r="F72" s="110">
        <f>V.Poor!T7</f>
        <v>1200.5294239670377</v>
      </c>
      <c r="G72" s="110">
        <f>Poor!T7</f>
        <v>2791.1415500239705</v>
      </c>
      <c r="H72" s="110">
        <f>Middle!T7</f>
        <v>3093.4790784119295</v>
      </c>
      <c r="I72" s="110">
        <f>Rich!T7</f>
        <v>4072.0926399923628</v>
      </c>
    </row>
    <row r="73" spans="1:9">
      <c r="A73" t="str">
        <f>V.Poor!Q8</f>
        <v>Own crops sold</v>
      </c>
      <c r="B73" s="110">
        <f>V.Poor!R8</f>
        <v>0</v>
      </c>
      <c r="C73" s="110">
        <f>Poor!R8</f>
        <v>447.99999999999994</v>
      </c>
      <c r="D73" s="110">
        <f>Middle!R8</f>
        <v>3768.5759999999996</v>
      </c>
      <c r="E73" s="110">
        <f>Rich!R8</f>
        <v>11020.8</v>
      </c>
      <c r="F73" s="110">
        <f>V.Poor!T8</f>
        <v>0</v>
      </c>
      <c r="G73" s="110">
        <f>Poor!T8</f>
        <v>500.50787451743446</v>
      </c>
      <c r="H73" s="110">
        <f>Middle!T8</f>
        <v>3503.6887353458615</v>
      </c>
      <c r="I73" s="110">
        <f>Rich!T8</f>
        <v>10177.251039824161</v>
      </c>
    </row>
    <row r="74" spans="1:9">
      <c r="A74" t="str">
        <f>V.Poor!Q9</f>
        <v>Animal products consumed</v>
      </c>
      <c r="B74" s="110">
        <f>V.Poor!R9</f>
        <v>0</v>
      </c>
      <c r="C74" s="110">
        <f>Poor!R9</f>
        <v>59.413246683736901</v>
      </c>
      <c r="D74" s="110">
        <f>Middle!R9</f>
        <v>352.47640176149508</v>
      </c>
      <c r="E74" s="110">
        <f>Rich!R9</f>
        <v>507.01801557855862</v>
      </c>
      <c r="F74" s="110">
        <f>V.Poor!T9</f>
        <v>0</v>
      </c>
      <c r="G74" s="110">
        <f>Poor!T9</f>
        <v>59.413246683736901</v>
      </c>
      <c r="H74" s="110">
        <f>Middle!T9</f>
        <v>352.47640176149508</v>
      </c>
      <c r="I74" s="110">
        <f>Rich!T9</f>
        <v>507.01801557855862</v>
      </c>
    </row>
    <row r="75" spans="1:9">
      <c r="A75" t="str">
        <f>V.Poor!Q10</f>
        <v>Animal products sold</v>
      </c>
      <c r="B75" s="110">
        <f>V.Poor!R10</f>
        <v>0</v>
      </c>
      <c r="C75" s="110">
        <f>Poor!R10</f>
        <v>0</v>
      </c>
      <c r="D75" s="110">
        <f>Middle!R10</f>
        <v>0</v>
      </c>
      <c r="E75" s="110">
        <f>Rich!R10</f>
        <v>0</v>
      </c>
      <c r="F75" s="110">
        <f>V.Poor!T10</f>
        <v>0</v>
      </c>
      <c r="G75" s="110">
        <f>Poor!T10</f>
        <v>0</v>
      </c>
      <c r="H75" s="110">
        <f>Middle!T10</f>
        <v>0</v>
      </c>
      <c r="I75" s="110">
        <f>Rich!T10</f>
        <v>0</v>
      </c>
    </row>
    <row r="76" spans="1:9">
      <c r="A76" t="str">
        <f>V.Poor!Q11</f>
        <v>Animals sold</v>
      </c>
      <c r="B76" s="110">
        <f>V.Poor!R11</f>
        <v>0</v>
      </c>
      <c r="C76" s="110">
        <f>Poor!R11</f>
        <v>4175.92</v>
      </c>
      <c r="D76" s="110">
        <f>Middle!R11</f>
        <v>11558.4</v>
      </c>
      <c r="E76" s="110">
        <f>Rich!R11</f>
        <v>13171.199999999997</v>
      </c>
      <c r="F76" s="110">
        <f>V.Poor!T11</f>
        <v>0</v>
      </c>
      <c r="G76" s="110">
        <f>Poor!T11</f>
        <v>4127.8149999999996</v>
      </c>
      <c r="H76" s="110">
        <f>Middle!T11</f>
        <v>11429.031043868346</v>
      </c>
      <c r="I76" s="110">
        <f>Rich!T11</f>
        <v>13011.152584428786</v>
      </c>
    </row>
    <row r="77" spans="1:9">
      <c r="A77" t="str">
        <f>V.Poor!Q12</f>
        <v>Wild foods consumed and sold</v>
      </c>
      <c r="B77" s="110">
        <f>V.Poor!R12</f>
        <v>0</v>
      </c>
      <c r="C77" s="110">
        <f>Poor!R12</f>
        <v>0</v>
      </c>
      <c r="D77" s="110">
        <f>Middle!R12</f>
        <v>0</v>
      </c>
      <c r="E77" s="110">
        <f>Rich!R12</f>
        <v>0</v>
      </c>
      <c r="F77" s="110">
        <f>V.Poor!T12</f>
        <v>-19.221494290062946</v>
      </c>
      <c r="G77" s="110">
        <f>Poor!T12</f>
        <v>-22.678952002197136</v>
      </c>
      <c r="H77" s="110">
        <f>Middle!T12</f>
        <v>0</v>
      </c>
      <c r="I77" s="110">
        <f>Rich!T12</f>
        <v>0</v>
      </c>
    </row>
    <row r="78" spans="1:9">
      <c r="A78" t="str">
        <f>V.Poor!Q13</f>
        <v>Labour - casual</v>
      </c>
      <c r="B78" s="110">
        <f>V.Poor!R13</f>
        <v>8489.5999999999985</v>
      </c>
      <c r="C78" s="110">
        <f>Poor!R13</f>
        <v>14808.875138121546</v>
      </c>
      <c r="D78" s="110">
        <f>Middle!R13</f>
        <v>0</v>
      </c>
      <c r="E78" s="110">
        <f>Rich!R13</f>
        <v>0</v>
      </c>
      <c r="F78" s="110">
        <f>V.Poor!T13</f>
        <v>8243.9900000000016</v>
      </c>
      <c r="G78" s="110">
        <f>Poor!T13</f>
        <v>14004.989080815909</v>
      </c>
      <c r="H78" s="110">
        <f>Middle!T13</f>
        <v>0</v>
      </c>
      <c r="I78" s="110">
        <f>Rich!T13</f>
        <v>0</v>
      </c>
    </row>
    <row r="79" spans="1:9">
      <c r="A79" t="str">
        <f>V.Poor!Q14</f>
        <v>Labour - formal emp</v>
      </c>
      <c r="B79" s="110">
        <f>V.Poor!R14</f>
        <v>0</v>
      </c>
      <c r="C79" s="110">
        <f>Poor!R14</f>
        <v>13439.999999999998</v>
      </c>
      <c r="D79" s="110">
        <f>Middle!R14</f>
        <v>169343.99999999994</v>
      </c>
      <c r="E79" s="110">
        <f>Rich!R14</f>
        <v>225792</v>
      </c>
      <c r="F79" s="110">
        <f>V.Poor!T14</f>
        <v>0</v>
      </c>
      <c r="G79" s="110">
        <f>Poor!T14</f>
        <v>12840</v>
      </c>
      <c r="H79" s="110">
        <f>Middle!T14</f>
        <v>161784</v>
      </c>
      <c r="I79" s="110">
        <f>Rich!T14</f>
        <v>215712.00000000006</v>
      </c>
    </row>
    <row r="80" spans="1:9">
      <c r="A80" t="str">
        <f>V.Poor!Q15</f>
        <v>Labour - public works</v>
      </c>
      <c r="B80" s="110">
        <f>V.Poor!R15</f>
        <v>0</v>
      </c>
      <c r="C80" s="110">
        <f>Poor!R15</f>
        <v>628.31999999999994</v>
      </c>
      <c r="D80" s="110">
        <f>Middle!R15</f>
        <v>0</v>
      </c>
      <c r="E80" s="110">
        <f>Rich!R15</f>
        <v>0</v>
      </c>
      <c r="F80" s="110">
        <f>V.Poor!T15</f>
        <v>0</v>
      </c>
      <c r="G80" s="110">
        <f>Poor!T15</f>
        <v>600.27</v>
      </c>
      <c r="H80" s="110">
        <f>Middle!T15</f>
        <v>0</v>
      </c>
      <c r="I80" s="110">
        <f>Rich!T15</f>
        <v>0</v>
      </c>
    </row>
    <row r="81" spans="1:9">
      <c r="A81" t="str">
        <f>V.Poor!Q16</f>
        <v>Self - employment</v>
      </c>
      <c r="B81" s="110">
        <f>V.Poor!R16</f>
        <v>2567.0399999999995</v>
      </c>
      <c r="C81" s="110">
        <f>Poor!R16</f>
        <v>7044.7999999999993</v>
      </c>
      <c r="D81" s="110">
        <f>Middle!R16</f>
        <v>0</v>
      </c>
      <c r="E81" s="110">
        <f>Rich!R16</f>
        <v>0</v>
      </c>
      <c r="F81" s="110">
        <f>V.Poor!T16</f>
        <v>2508.6273188622135</v>
      </c>
      <c r="G81" s="110">
        <f>Poor!T16</f>
        <v>6883.5319738581456</v>
      </c>
      <c r="H81" s="110">
        <f>Middle!T16</f>
        <v>0</v>
      </c>
      <c r="I81" s="110">
        <f>Rich!T16</f>
        <v>0</v>
      </c>
    </row>
    <row r="82" spans="1:9">
      <c r="A82" t="str">
        <f>V.Poor!Q17</f>
        <v>Small business/petty trading</v>
      </c>
      <c r="B82" s="110">
        <f>V.Poor!R17</f>
        <v>0</v>
      </c>
      <c r="C82" s="110">
        <f>Poor!R17</f>
        <v>2150.3999999999996</v>
      </c>
      <c r="D82" s="110">
        <f>Middle!R17</f>
        <v>41932.799999999988</v>
      </c>
      <c r="E82" s="110">
        <f>Rich!R17</f>
        <v>106444.79999999997</v>
      </c>
      <c r="F82" s="110">
        <f>V.Poor!T17</f>
        <v>0</v>
      </c>
      <c r="G82" s="110">
        <f>Poor!T17</f>
        <v>2016.0000000000002</v>
      </c>
      <c r="H82" s="110">
        <f>Middle!T17</f>
        <v>39312.000000000007</v>
      </c>
      <c r="I82" s="110">
        <f>Rich!T17</f>
        <v>99792</v>
      </c>
    </row>
    <row r="83" spans="1:9">
      <c r="A83" t="str">
        <f>V.Poor!Q18</f>
        <v>Food transfer - official</v>
      </c>
      <c r="B83" s="110">
        <f>V.Poor!R18</f>
        <v>0</v>
      </c>
      <c r="C83" s="110">
        <f>Poor!R18</f>
        <v>61.259668508287291</v>
      </c>
      <c r="D83" s="110">
        <f>Middle!R18</f>
        <v>73.511602209944741</v>
      </c>
      <c r="E83" s="110">
        <f>Rich!R18</f>
        <v>0</v>
      </c>
      <c r="F83" s="110">
        <f>V.Poor!T18</f>
        <v>0</v>
      </c>
      <c r="G83" s="110">
        <f>Poor!T18</f>
        <v>62.829808358044033</v>
      </c>
      <c r="H83" s="110">
        <f>Middle!T18</f>
        <v>73.662842476635262</v>
      </c>
      <c r="I83" s="110">
        <f>Rich!T18</f>
        <v>0</v>
      </c>
    </row>
    <row r="84" spans="1:9">
      <c r="A84" t="str">
        <f>V.Poor!Q19</f>
        <v>Food transfer - gifts</v>
      </c>
      <c r="B84" s="110">
        <f>V.Poor!R19</f>
        <v>171.52515641107254</v>
      </c>
      <c r="C84" s="110">
        <f>Poor!R19</f>
        <v>67.199042293934056</v>
      </c>
      <c r="D84" s="110">
        <f>Middle!R19</f>
        <v>0</v>
      </c>
      <c r="E84" s="110">
        <f>Rich!R19</f>
        <v>0</v>
      </c>
      <c r="F84" s="110">
        <f>V.Poor!T19</f>
        <v>171.52515641107254</v>
      </c>
      <c r="G84" s="110">
        <f>Poor!T19</f>
        <v>67.199042293934056</v>
      </c>
      <c r="H84" s="110">
        <f>Middle!T19</f>
        <v>0</v>
      </c>
      <c r="I84" s="110">
        <f>Rich!T19</f>
        <v>0</v>
      </c>
    </row>
    <row r="85" spans="1:9">
      <c r="A85" t="str">
        <f>V.Poor!Q20</f>
        <v>Cash transfer - official</v>
      </c>
      <c r="B85" s="110">
        <f>V.Poor!R20</f>
        <v>18197.817647058822</v>
      </c>
      <c r="C85" s="110">
        <f>Poor!R20</f>
        <v>18197.817647058822</v>
      </c>
      <c r="D85" s="110">
        <f>Middle!R20</f>
        <v>8854.44</v>
      </c>
      <c r="E85" s="110">
        <f>Rich!R20</f>
        <v>8854.44</v>
      </c>
      <c r="F85" s="110">
        <f>V.Poor!T20</f>
        <v>18035.337132352943</v>
      </c>
      <c r="G85" s="110">
        <f>Poor!T20</f>
        <v>18035.337132352943</v>
      </c>
      <c r="H85" s="110">
        <f>Middle!T20</f>
        <v>8775.3825000000015</v>
      </c>
      <c r="I85" s="110">
        <f>Rich!T20</f>
        <v>8775.3825000000015</v>
      </c>
    </row>
    <row r="86" spans="1:9">
      <c r="A86" t="str">
        <f>V.Poor!Q21</f>
        <v>Cash transfer - gifts</v>
      </c>
      <c r="B86" s="110">
        <f>V.Poor!R21</f>
        <v>0</v>
      </c>
      <c r="C86" s="110">
        <f>Poor!R21</f>
        <v>1679.9999999999998</v>
      </c>
      <c r="D86" s="110">
        <f>Middle!R21</f>
        <v>0</v>
      </c>
      <c r="E86" s="110">
        <f>Rich!R21</f>
        <v>0</v>
      </c>
      <c r="F86" s="110">
        <f>V.Poor!T21</f>
        <v>0</v>
      </c>
      <c r="G86" s="110">
        <f>Poor!T21</f>
        <v>1575.0000000000002</v>
      </c>
      <c r="H86" s="110">
        <f>Middle!T21</f>
        <v>0</v>
      </c>
      <c r="I86" s="110">
        <f>Rich!T21</f>
        <v>0</v>
      </c>
    </row>
    <row r="87" spans="1:9">
      <c r="A87" t="str">
        <f>V.Poor!Q22</f>
        <v>Other</v>
      </c>
      <c r="B87" s="110">
        <f>V.Poor!R22</f>
        <v>0</v>
      </c>
      <c r="C87" s="110">
        <f>Poor!R22</f>
        <v>0</v>
      </c>
      <c r="D87" s="110">
        <f>Middle!R22</f>
        <v>0</v>
      </c>
      <c r="E87" s="110">
        <f>Rich!R22</f>
        <v>0</v>
      </c>
      <c r="F87" s="110">
        <f>V.Poor!T22</f>
        <v>0</v>
      </c>
      <c r="G87" s="110">
        <f>Poor!T22</f>
        <v>0</v>
      </c>
      <c r="H87" s="110">
        <f>Middle!T22</f>
        <v>0</v>
      </c>
      <c r="I87" s="110">
        <f>Rich!T22</f>
        <v>0</v>
      </c>
    </row>
    <row r="88" spans="1:9">
      <c r="A88" t="str">
        <f>V.Poor!Q23</f>
        <v>TOTAL</v>
      </c>
      <c r="B88" s="110">
        <f>V.Poor!R23</f>
        <v>30626.512227436931</v>
      </c>
      <c r="C88" s="110">
        <f>Poor!R23</f>
        <v>65553.875879894767</v>
      </c>
      <c r="D88" s="110">
        <f>Middle!R23</f>
        <v>238988.67693214817</v>
      </c>
      <c r="E88" s="110">
        <f>Rich!R23</f>
        <v>369878.50552939071</v>
      </c>
      <c r="F88" s="110">
        <f>V.Poor!T23</f>
        <v>30140.787537303208</v>
      </c>
      <c r="G88" s="110">
        <f>Poor!T23</f>
        <v>63541.355756901918</v>
      </c>
      <c r="H88" s="110">
        <f>Middle!T23</f>
        <v>228323.72060186428</v>
      </c>
      <c r="I88" s="110">
        <f>Rich!T23</f>
        <v>352046.89677982393</v>
      </c>
    </row>
    <row r="89" spans="1:9">
      <c r="A89" t="str">
        <f>V.Poor!Q24</f>
        <v>Food Poverty line</v>
      </c>
      <c r="B89" s="110">
        <f>V.Poor!R24</f>
        <v>21925.553364673353</v>
      </c>
      <c r="C89" s="110">
        <f>Poor!R24</f>
        <v>21925.553364673353</v>
      </c>
      <c r="D89" s="110">
        <f>Middle!R24</f>
        <v>21925.553364673349</v>
      </c>
      <c r="E89" s="110">
        <f>Rich!R24</f>
        <v>21925.553364673349</v>
      </c>
      <c r="F89" s="110">
        <f>V.Poor!T24</f>
        <v>21925.553364673353</v>
      </c>
      <c r="G89" s="110">
        <f>Poor!T24</f>
        <v>21925.553364673353</v>
      </c>
      <c r="H89" s="110">
        <f>Middle!T24</f>
        <v>21925.553364673349</v>
      </c>
      <c r="I89" s="110">
        <f>Rich!T24</f>
        <v>21925.553364673349</v>
      </c>
    </row>
    <row r="90" spans="1:9">
      <c r="A90" s="109" t="str">
        <f>V.Poor!Q25</f>
        <v>Lower Bound Poverty line</v>
      </c>
      <c r="B90" s="110">
        <f>V.Poor!R25</f>
        <v>35197.146827147968</v>
      </c>
      <c r="C90" s="110">
        <f>Poor!R25</f>
        <v>35197.146827147968</v>
      </c>
      <c r="D90" s="110">
        <f>Middle!R25</f>
        <v>35197.146827147968</v>
      </c>
      <c r="E90" s="110">
        <f>Rich!R25</f>
        <v>35197.146827147968</v>
      </c>
      <c r="F90" s="110">
        <f>V.Poor!T25</f>
        <v>34894.793364673351</v>
      </c>
      <c r="G90" s="110">
        <f>Poor!T25</f>
        <v>34894.793364673351</v>
      </c>
      <c r="H90" s="110">
        <f>Middle!T25</f>
        <v>34894.793364673351</v>
      </c>
      <c r="I90" s="110">
        <f>Rich!T25</f>
        <v>34894.793364673351</v>
      </c>
    </row>
    <row r="91" spans="1:9">
      <c r="A91" s="109" t="str">
        <f>V.Poor!Q26</f>
        <v>Upper Bound Poverty line</v>
      </c>
      <c r="B91" s="110">
        <f>V.Poor!R26</f>
        <v>58832.487187227729</v>
      </c>
      <c r="C91" s="110">
        <f>Poor!R26</f>
        <v>58832.487187227729</v>
      </c>
      <c r="D91" s="110">
        <f>Middle!R26</f>
        <v>58832.487187227744</v>
      </c>
      <c r="E91" s="110">
        <f>Rich!R26</f>
        <v>58832.487187227744</v>
      </c>
      <c r="F91" s="110">
        <f>V.Poor!T26</f>
        <v>57991.673364673356</v>
      </c>
      <c r="G91" s="110">
        <f>Poor!T26</f>
        <v>57991.673364673356</v>
      </c>
      <c r="H91" s="110">
        <f>Middle!T26</f>
        <v>57991.673364673356</v>
      </c>
      <c r="I91" s="110">
        <f>Rich!T26</f>
        <v>57991.673364673356</v>
      </c>
    </row>
    <row r="92" spans="1:9">
      <c r="A92" s="109" t="str">
        <f>V.Poor!Q27</f>
        <v>Resilience line</v>
      </c>
      <c r="B92" s="110">
        <f>V.Poor!R27</f>
        <v>59871.815158655685</v>
      </c>
      <c r="C92" s="110">
        <f>Poor!R27</f>
        <v>63126.104380667821</v>
      </c>
      <c r="D92" s="110">
        <f>Middle!R27</f>
        <v>99965.339900383857</v>
      </c>
      <c r="E92" s="110">
        <f>Rich!R27</f>
        <v>136608.29577697121</v>
      </c>
      <c r="F92" s="110">
        <f>V.Poor!T27</f>
        <v>59007.323364673357</v>
      </c>
      <c r="G92" s="110">
        <f>Poor!T27</f>
        <v>62187.473364673358</v>
      </c>
      <c r="H92" s="110">
        <f>Middle!T27</f>
        <v>98187.437364673358</v>
      </c>
      <c r="I92" s="110">
        <f>Rich!T27</f>
        <v>133995.59336467338</v>
      </c>
    </row>
    <row r="93" spans="1:9">
      <c r="A93" t="str">
        <f>V.Poor!Q24</f>
        <v>Food Poverty line</v>
      </c>
      <c r="F93" s="110">
        <f>V.Poor!T24</f>
        <v>21925.553364673353</v>
      </c>
      <c r="G93" s="110">
        <f>Poor!T24</f>
        <v>21925.553364673353</v>
      </c>
      <c r="H93" s="110">
        <f>Middle!T24</f>
        <v>21925.553364673349</v>
      </c>
      <c r="I93" s="110">
        <f>Rich!T24</f>
        <v>21925.553364673349</v>
      </c>
    </row>
    <row r="94" spans="1:9">
      <c r="A94" t="str">
        <f>V.Poor!Q25</f>
        <v>Lower Bound Poverty line</v>
      </c>
      <c r="F94" s="110">
        <f>V.Poor!T25</f>
        <v>34894.793364673351</v>
      </c>
      <c r="G94" s="110">
        <f>Poor!T25</f>
        <v>34894.793364673351</v>
      </c>
      <c r="H94" s="110">
        <f>Middle!T25</f>
        <v>34894.793364673351</v>
      </c>
      <c r="I94" s="110">
        <f>Rich!T25</f>
        <v>34894.793364673351</v>
      </c>
    </row>
    <row r="95" spans="1:9">
      <c r="A95" t="str">
        <f>V.Poor!Q26</f>
        <v>Upper Bound Poverty line</v>
      </c>
      <c r="F95" s="110">
        <f>V.Poor!T26</f>
        <v>57991.673364673356</v>
      </c>
      <c r="G95" s="110">
        <f>Poor!T26</f>
        <v>57991.673364673356</v>
      </c>
      <c r="H95" s="110">
        <f>Middle!T26</f>
        <v>57991.673364673356</v>
      </c>
      <c r="I95" s="110">
        <f>Rich!T26</f>
        <v>57991.673364673356</v>
      </c>
    </row>
    <row r="96" spans="1:9">
      <c r="A96" t="str">
        <f>V.Poor!Q27</f>
        <v>Resilience line</v>
      </c>
      <c r="F96" s="110">
        <f>V.Poor!T27</f>
        <v>59007.323364673357</v>
      </c>
      <c r="G96" s="110">
        <f>Poor!T27</f>
        <v>62187.473364673358</v>
      </c>
      <c r="H96" s="110">
        <f>Middle!T27</f>
        <v>98187.437364673358</v>
      </c>
      <c r="I96" s="110">
        <f>Rich!T27</f>
        <v>133995.59336467338</v>
      </c>
    </row>
    <row r="98" spans="1:9">
      <c r="A98" t="s">
        <v>141</v>
      </c>
      <c r="B98">
        <f>IF(B89&gt;B$88,B89-B$88,0)</f>
        <v>0</v>
      </c>
      <c r="C98">
        <f t="shared" ref="C98:I101" si="0">IF(C89&gt;C$88,C89-C$88,0)</f>
        <v>0</v>
      </c>
      <c r="D98">
        <f t="shared" si="0"/>
        <v>0</v>
      </c>
      <c r="E98">
        <f t="shared" si="0"/>
        <v>0</v>
      </c>
      <c r="F98">
        <f t="shared" si="0"/>
        <v>0</v>
      </c>
      <c r="G98">
        <f t="shared" si="0"/>
        <v>0</v>
      </c>
      <c r="H98">
        <f t="shared" si="0"/>
        <v>0</v>
      </c>
      <c r="I98">
        <f t="shared" si="0"/>
        <v>0</v>
      </c>
    </row>
    <row r="99" spans="1:9">
      <c r="A99" t="s">
        <v>142</v>
      </c>
      <c r="B99">
        <f>IF(B90&gt;B$88,B90-B$88,0)</f>
        <v>4570.6345997110366</v>
      </c>
      <c r="C99">
        <f t="shared" si="0"/>
        <v>0</v>
      </c>
      <c r="D99">
        <f t="shared" si="0"/>
        <v>0</v>
      </c>
      <c r="E99">
        <f t="shared" si="0"/>
        <v>0</v>
      </c>
      <c r="F99">
        <f t="shared" si="0"/>
        <v>4754.0058273701434</v>
      </c>
      <c r="G99">
        <f t="shared" si="0"/>
        <v>0</v>
      </c>
      <c r="H99">
        <f t="shared" si="0"/>
        <v>0</v>
      </c>
      <c r="I99">
        <f t="shared" si="0"/>
        <v>0</v>
      </c>
    </row>
    <row r="100" spans="1:9">
      <c r="A100" t="s">
        <v>143</v>
      </c>
      <c r="B100">
        <f>IF(B91&gt;B$88,B91-B$88,0)</f>
        <v>28205.974959790798</v>
      </c>
      <c r="C100">
        <f t="shared" si="0"/>
        <v>0</v>
      </c>
      <c r="D100">
        <f t="shared" si="0"/>
        <v>0</v>
      </c>
      <c r="E100">
        <f t="shared" si="0"/>
        <v>0</v>
      </c>
      <c r="F100">
        <f t="shared" si="0"/>
        <v>27850.885827370148</v>
      </c>
      <c r="G100">
        <f t="shared" si="0"/>
        <v>0</v>
      </c>
      <c r="H100">
        <f t="shared" si="0"/>
        <v>0</v>
      </c>
      <c r="I100">
        <f t="shared" si="0"/>
        <v>0</v>
      </c>
    </row>
    <row r="101" spans="1:9">
      <c r="A101" t="s">
        <v>144</v>
      </c>
      <c r="B101">
        <f>IF(B92&gt;B$88,B92-B$88,0)</f>
        <v>29245.302931218754</v>
      </c>
      <c r="C101">
        <f t="shared" si="0"/>
        <v>0</v>
      </c>
      <c r="D101">
        <f t="shared" si="0"/>
        <v>0</v>
      </c>
      <c r="E101">
        <f t="shared" si="0"/>
        <v>0</v>
      </c>
      <c r="F101">
        <f t="shared" si="0"/>
        <v>28866.535827370149</v>
      </c>
      <c r="G101">
        <f t="shared" si="0"/>
        <v>0</v>
      </c>
      <c r="H101">
        <f t="shared" si="0"/>
        <v>0</v>
      </c>
      <c r="I101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G1" zoomScale="75" workbookViewId="0">
      <selection activeCell="K63" sqref="K63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53" t="str">
        <f>Poor!A1</f>
        <v>ZALOF</v>
      </c>
      <c r="L2" s="253"/>
      <c r="M2" s="253"/>
      <c r="N2" s="253"/>
      <c r="O2" s="253"/>
      <c r="P2" s="253"/>
      <c r="Q2" s="253"/>
      <c r="R2" s="87"/>
      <c r="S2" s="87"/>
      <c r="T2" s="87"/>
      <c r="U2" s="87"/>
      <c r="V2" s="87"/>
    </row>
    <row r="3" spans="1:22" s="93" customFormat="1" ht="17">
      <c r="A3" s="90"/>
      <c r="B3" s="254" t="str">
        <f>V.Poor!A54</f>
        <v>Expenditure : Very Poor HHs</v>
      </c>
      <c r="C3" s="254"/>
      <c r="D3" s="254"/>
      <c r="E3" s="254"/>
      <c r="F3" s="90"/>
      <c r="G3" s="252" t="str">
        <f>Poor!A54</f>
        <v>Expenditure : Poor HHs</v>
      </c>
      <c r="H3" s="252"/>
      <c r="I3" s="252"/>
      <c r="J3" s="252"/>
      <c r="K3" s="89"/>
      <c r="L3" s="252" t="str">
        <f>Middle!A54</f>
        <v>Expenditure : Middle HHs</v>
      </c>
      <c r="M3" s="252"/>
      <c r="N3" s="252"/>
      <c r="O3" s="252"/>
      <c r="P3" s="252"/>
      <c r="Q3" s="91"/>
      <c r="R3" s="252" t="str">
        <f>Rich!A54</f>
        <v>Expenditure : Better-off HHs</v>
      </c>
      <c r="S3" s="252"/>
      <c r="T3" s="252"/>
      <c r="U3" s="25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3" bestFit="1" customWidth="1"/>
    <col min="2" max="2" width="9" style="203" bestFit="1" customWidth="1"/>
    <col min="3" max="4" width="6.5703125" style="203" bestFit="1" customWidth="1"/>
    <col min="5" max="5" width="8.28515625" style="203" bestFit="1" customWidth="1"/>
    <col min="6" max="9" width="7.5703125" style="203" bestFit="1" customWidth="1"/>
    <col min="10" max="10" width="8.42578125" style="203" bestFit="1" customWidth="1"/>
    <col min="11" max="14" width="7.5703125" style="203" bestFit="1" customWidth="1"/>
    <col min="15" max="15" width="8.28515625" style="203" customWidth="1"/>
    <col min="16" max="43" width="7.42578125" style="203" bestFit="1" customWidth="1"/>
    <col min="44" max="89" width="8.42578125" style="203" bestFit="1" customWidth="1"/>
    <col min="90" max="105" width="9.42578125" style="203" bestFit="1" customWidth="1"/>
    <col min="106" max="16384" width="11.5703125" style="203"/>
  </cols>
  <sheetData>
    <row r="1" spans="1:106">
      <c r="B1" s="203" t="s">
        <v>97</v>
      </c>
      <c r="C1" s="203" t="s">
        <v>96</v>
      </c>
      <c r="D1" s="203" t="s">
        <v>98</v>
      </c>
      <c r="E1" s="203" t="s">
        <v>99</v>
      </c>
    </row>
    <row r="2" spans="1:106">
      <c r="B2" s="204">
        <f>[1]!wb_summary</f>
        <v>0.25</v>
      </c>
      <c r="C2" s="204">
        <f>[1]WB!$CK$10</f>
        <v>0.43</v>
      </c>
      <c r="D2" s="204">
        <f>[1]WB!$CK$11</f>
        <v>0.23</v>
      </c>
      <c r="E2" s="204">
        <f>[1]WB!$CK$12</f>
        <v>0.09</v>
      </c>
      <c r="F2" s="204">
        <v>0.01</v>
      </c>
      <c r="G2" s="204">
        <v>0.02</v>
      </c>
      <c r="H2" s="204">
        <v>0.03</v>
      </c>
      <c r="I2" s="204">
        <v>0.04</v>
      </c>
      <c r="J2" s="204">
        <v>0.05</v>
      </c>
      <c r="K2" s="204">
        <v>0.06</v>
      </c>
      <c r="L2" s="204">
        <v>7.0000000000000007E-2</v>
      </c>
      <c r="M2" s="204">
        <v>0.08</v>
      </c>
      <c r="N2" s="204">
        <v>0.09</v>
      </c>
      <c r="O2" s="204">
        <v>0.1</v>
      </c>
      <c r="P2" s="204">
        <v>0.11</v>
      </c>
      <c r="Q2" s="204">
        <v>0.12</v>
      </c>
      <c r="R2" s="204">
        <v>0.13</v>
      </c>
      <c r="S2" s="204">
        <v>0.14000000000000001</v>
      </c>
      <c r="T2" s="204">
        <v>0.15</v>
      </c>
      <c r="U2" s="204">
        <v>0.16</v>
      </c>
      <c r="V2" s="204">
        <v>0.17</v>
      </c>
      <c r="W2" s="204">
        <v>0.18</v>
      </c>
      <c r="X2" s="204">
        <v>0.19</v>
      </c>
      <c r="Y2" s="204">
        <v>0.2</v>
      </c>
      <c r="Z2" s="204">
        <v>0.21</v>
      </c>
      <c r="AA2" s="204">
        <v>0.22</v>
      </c>
      <c r="AB2" s="204">
        <v>0.23</v>
      </c>
      <c r="AC2" s="204">
        <v>0.24</v>
      </c>
      <c r="AD2" s="204">
        <v>0.25</v>
      </c>
      <c r="AE2" s="204">
        <v>0.26</v>
      </c>
      <c r="AF2" s="204">
        <v>0.27</v>
      </c>
      <c r="AG2" s="204">
        <v>0.28000000000000003</v>
      </c>
      <c r="AH2" s="204">
        <v>0.28999999999999998</v>
      </c>
      <c r="AI2" s="204">
        <v>0.3</v>
      </c>
      <c r="AJ2" s="204">
        <v>0.31</v>
      </c>
      <c r="AK2" s="204">
        <v>0.32</v>
      </c>
      <c r="AL2" s="204">
        <v>0.33</v>
      </c>
      <c r="AM2" s="204">
        <v>0.34</v>
      </c>
      <c r="AN2" s="204">
        <v>0.35</v>
      </c>
      <c r="AO2" s="204">
        <v>0.36</v>
      </c>
      <c r="AP2" s="204">
        <v>0.37</v>
      </c>
      <c r="AQ2" s="204">
        <v>0.38</v>
      </c>
      <c r="AR2" s="204">
        <v>0.39</v>
      </c>
      <c r="AS2" s="204">
        <v>0.4</v>
      </c>
      <c r="AT2" s="204">
        <v>0.41</v>
      </c>
      <c r="AU2" s="204">
        <v>0.42</v>
      </c>
      <c r="AV2" s="204">
        <v>0.43</v>
      </c>
      <c r="AW2" s="204">
        <v>0.44</v>
      </c>
      <c r="AX2" s="204">
        <v>0.45</v>
      </c>
      <c r="AY2" s="204">
        <v>0.46</v>
      </c>
      <c r="AZ2" s="204">
        <v>0.47</v>
      </c>
      <c r="BA2" s="204">
        <v>0.48</v>
      </c>
      <c r="BB2" s="204">
        <v>0.49</v>
      </c>
      <c r="BC2" s="204">
        <v>0.5</v>
      </c>
      <c r="BD2" s="204">
        <v>0.51</v>
      </c>
      <c r="BE2" s="204">
        <v>0.52</v>
      </c>
      <c r="BF2" s="204">
        <v>0.53</v>
      </c>
      <c r="BG2" s="204">
        <v>0.54</v>
      </c>
      <c r="BH2" s="204">
        <v>0.55000000000000004</v>
      </c>
      <c r="BI2" s="204">
        <v>0.56000000000000005</v>
      </c>
      <c r="BJ2" s="204">
        <v>0.56999999999999995</v>
      </c>
      <c r="BK2" s="204">
        <v>0.57999999999999996</v>
      </c>
      <c r="BL2" s="204">
        <v>0.59</v>
      </c>
      <c r="BM2" s="204">
        <v>0.6</v>
      </c>
      <c r="BN2" s="204">
        <v>0.61</v>
      </c>
      <c r="BO2" s="204">
        <v>0.62</v>
      </c>
      <c r="BP2" s="204">
        <v>0.63</v>
      </c>
      <c r="BQ2" s="204">
        <v>0.64</v>
      </c>
      <c r="BR2" s="204">
        <v>0.65</v>
      </c>
      <c r="BS2" s="204">
        <v>0.66</v>
      </c>
      <c r="BT2" s="204">
        <v>0.67</v>
      </c>
      <c r="BU2" s="204">
        <v>0.68</v>
      </c>
      <c r="BV2" s="204">
        <v>0.69</v>
      </c>
      <c r="BW2" s="204">
        <v>0.7</v>
      </c>
      <c r="BX2" s="204">
        <v>0.71</v>
      </c>
      <c r="BY2" s="204">
        <v>0.72</v>
      </c>
      <c r="BZ2" s="204">
        <v>0.73</v>
      </c>
      <c r="CA2" s="204">
        <v>0.74</v>
      </c>
      <c r="CB2" s="204">
        <v>0.75</v>
      </c>
      <c r="CC2" s="204">
        <v>0.76</v>
      </c>
      <c r="CD2" s="204">
        <v>0.77</v>
      </c>
      <c r="CE2" s="204">
        <v>0.78</v>
      </c>
      <c r="CF2" s="204">
        <v>0.79</v>
      </c>
      <c r="CG2" s="204">
        <v>0.8</v>
      </c>
      <c r="CH2" s="204">
        <v>0.81</v>
      </c>
      <c r="CI2" s="204">
        <v>0.82</v>
      </c>
      <c r="CJ2" s="204">
        <v>0.83</v>
      </c>
      <c r="CK2" s="204">
        <v>0.84</v>
      </c>
      <c r="CL2" s="204">
        <v>0.85</v>
      </c>
      <c r="CM2" s="204">
        <v>0.86</v>
      </c>
      <c r="CN2" s="204">
        <v>0.87</v>
      </c>
      <c r="CO2" s="204">
        <v>0.88</v>
      </c>
      <c r="CP2" s="204">
        <v>0.89</v>
      </c>
      <c r="CQ2" s="204">
        <v>0.9</v>
      </c>
      <c r="CR2" s="204">
        <v>0.91</v>
      </c>
      <c r="CS2" s="204">
        <v>0.92</v>
      </c>
      <c r="CT2" s="204">
        <v>0.93</v>
      </c>
      <c r="CU2" s="204">
        <v>0.94</v>
      </c>
      <c r="CV2" s="204">
        <v>0.95</v>
      </c>
      <c r="CW2" s="204">
        <v>0.96</v>
      </c>
      <c r="CX2" s="204">
        <v>0.97</v>
      </c>
      <c r="CY2" s="204">
        <v>0.98</v>
      </c>
      <c r="CZ2" s="204">
        <v>0.99</v>
      </c>
      <c r="DA2" s="204">
        <v>1</v>
      </c>
      <c r="DB2" s="204"/>
    </row>
    <row r="3" spans="1:106">
      <c r="A3" s="203" t="str">
        <f>Income!A72</f>
        <v>Own crops Consumed</v>
      </c>
      <c r="B3" s="205">
        <f>Income!B72</f>
        <v>1200.5294239670377</v>
      </c>
      <c r="C3" s="205">
        <f>Income!C72</f>
        <v>2791.8711372284488</v>
      </c>
      <c r="D3" s="205">
        <f>Income!D72</f>
        <v>3104.472928176795</v>
      </c>
      <c r="E3" s="205">
        <f>Income!E72</f>
        <v>4088.2475138121531</v>
      </c>
      <c r="F3" s="206">
        <f>IF(F$2&lt;=($B$2+$C$2+$D$2),IF(F$2&lt;=($B$2+$C$2),IF(F$2&lt;=$B$2,$B3,$C3),$D3),$E3)</f>
        <v>1200.5294239670377</v>
      </c>
      <c r="G3" s="206">
        <f t="shared" ref="G3:AW7" si="0">IF(G$2&lt;=($B$2+$C$2+$D$2),IF(G$2&lt;=($B$2+$C$2),IF(G$2&lt;=$B$2,$B3,$C3),$D3),$E3)</f>
        <v>1200.5294239670377</v>
      </c>
      <c r="H3" s="206">
        <f t="shared" si="0"/>
        <v>1200.5294239670377</v>
      </c>
      <c r="I3" s="206">
        <f t="shared" si="0"/>
        <v>1200.5294239670377</v>
      </c>
      <c r="J3" s="206">
        <f t="shared" si="0"/>
        <v>1200.5294239670377</v>
      </c>
      <c r="K3" s="206">
        <f t="shared" si="0"/>
        <v>1200.5294239670377</v>
      </c>
      <c r="L3" s="206">
        <f t="shared" si="0"/>
        <v>1200.5294239670377</v>
      </c>
      <c r="M3" s="206">
        <f t="shared" si="0"/>
        <v>1200.5294239670377</v>
      </c>
      <c r="N3" s="206">
        <f t="shared" si="0"/>
        <v>1200.5294239670377</v>
      </c>
      <c r="O3" s="206">
        <f t="shared" si="0"/>
        <v>1200.5294239670377</v>
      </c>
      <c r="P3" s="206">
        <f t="shared" si="0"/>
        <v>1200.5294239670377</v>
      </c>
      <c r="Q3" s="206">
        <f t="shared" si="0"/>
        <v>1200.5294239670377</v>
      </c>
      <c r="R3" s="206">
        <f t="shared" si="0"/>
        <v>1200.5294239670377</v>
      </c>
      <c r="S3" s="206">
        <f t="shared" si="0"/>
        <v>1200.5294239670377</v>
      </c>
      <c r="T3" s="206">
        <f t="shared" si="0"/>
        <v>1200.5294239670377</v>
      </c>
      <c r="U3" s="206">
        <f t="shared" si="0"/>
        <v>1200.5294239670377</v>
      </c>
      <c r="V3" s="206">
        <f t="shared" si="0"/>
        <v>1200.5294239670377</v>
      </c>
      <c r="W3" s="206">
        <f t="shared" si="0"/>
        <v>1200.5294239670377</v>
      </c>
      <c r="X3" s="206">
        <f t="shared" si="0"/>
        <v>1200.5294239670377</v>
      </c>
      <c r="Y3" s="206">
        <f t="shared" si="0"/>
        <v>1200.5294239670377</v>
      </c>
      <c r="Z3" s="206">
        <f t="shared" si="0"/>
        <v>1200.5294239670377</v>
      </c>
      <c r="AA3" s="206">
        <f t="shared" si="0"/>
        <v>1200.5294239670377</v>
      </c>
      <c r="AB3" s="206">
        <f t="shared" si="0"/>
        <v>1200.5294239670377</v>
      </c>
      <c r="AC3" s="206">
        <f t="shared" si="0"/>
        <v>1200.5294239670377</v>
      </c>
      <c r="AD3" s="206">
        <f t="shared" si="0"/>
        <v>1200.5294239670377</v>
      </c>
      <c r="AE3" s="206">
        <f t="shared" si="0"/>
        <v>2791.8711372284488</v>
      </c>
      <c r="AF3" s="206">
        <f t="shared" si="0"/>
        <v>2791.8711372284488</v>
      </c>
      <c r="AG3" s="206">
        <f t="shared" si="0"/>
        <v>2791.8711372284488</v>
      </c>
      <c r="AH3" s="206">
        <f t="shared" si="0"/>
        <v>2791.8711372284488</v>
      </c>
      <c r="AI3" s="206">
        <f t="shared" si="0"/>
        <v>2791.8711372284488</v>
      </c>
      <c r="AJ3" s="206">
        <f t="shared" si="0"/>
        <v>2791.8711372284488</v>
      </c>
      <c r="AK3" s="206">
        <f t="shared" si="0"/>
        <v>2791.8711372284488</v>
      </c>
      <c r="AL3" s="206">
        <f t="shared" si="0"/>
        <v>2791.8711372284488</v>
      </c>
      <c r="AM3" s="206">
        <f t="shared" si="0"/>
        <v>2791.8711372284488</v>
      </c>
      <c r="AN3" s="206">
        <f t="shared" si="0"/>
        <v>2791.8711372284488</v>
      </c>
      <c r="AO3" s="206">
        <f t="shared" si="0"/>
        <v>2791.8711372284488</v>
      </c>
      <c r="AP3" s="206">
        <f t="shared" si="0"/>
        <v>2791.8711372284488</v>
      </c>
      <c r="AQ3" s="206">
        <f t="shared" si="0"/>
        <v>2791.8711372284488</v>
      </c>
      <c r="AR3" s="206">
        <f t="shared" si="0"/>
        <v>2791.8711372284488</v>
      </c>
      <c r="AS3" s="206">
        <f t="shared" si="0"/>
        <v>2791.8711372284488</v>
      </c>
      <c r="AT3" s="206">
        <f t="shared" si="0"/>
        <v>2791.8711372284488</v>
      </c>
      <c r="AU3" s="206">
        <f t="shared" si="0"/>
        <v>2791.8711372284488</v>
      </c>
      <c r="AV3" s="206">
        <f t="shared" si="0"/>
        <v>2791.8711372284488</v>
      </c>
      <c r="AW3" s="206">
        <f t="shared" si="0"/>
        <v>2791.8711372284488</v>
      </c>
      <c r="AX3" s="206">
        <f t="shared" ref="AX3:BZ10" si="1">IF(AX$2&lt;=($B$2+$C$2+$D$2),IF(AX$2&lt;=($B$2+$C$2),IF(AX$2&lt;=$B$2,$B3,$C3),$D3),$E3)</f>
        <v>2791.8711372284488</v>
      </c>
      <c r="AY3" s="206">
        <f t="shared" si="1"/>
        <v>2791.8711372284488</v>
      </c>
      <c r="AZ3" s="206">
        <f t="shared" si="1"/>
        <v>2791.8711372284488</v>
      </c>
      <c r="BA3" s="206">
        <f t="shared" si="1"/>
        <v>2791.8711372284488</v>
      </c>
      <c r="BB3" s="206">
        <f t="shared" si="1"/>
        <v>2791.8711372284488</v>
      </c>
      <c r="BC3" s="206">
        <f t="shared" si="1"/>
        <v>2791.8711372284488</v>
      </c>
      <c r="BD3" s="206">
        <f t="shared" si="1"/>
        <v>2791.8711372284488</v>
      </c>
      <c r="BE3" s="206">
        <f t="shared" si="1"/>
        <v>2791.8711372284488</v>
      </c>
      <c r="BF3" s="206">
        <f t="shared" si="1"/>
        <v>2791.8711372284488</v>
      </c>
      <c r="BG3" s="206">
        <f t="shared" si="1"/>
        <v>2791.8711372284488</v>
      </c>
      <c r="BH3" s="206">
        <f t="shared" si="1"/>
        <v>2791.8711372284488</v>
      </c>
      <c r="BI3" s="206">
        <f t="shared" si="1"/>
        <v>2791.8711372284488</v>
      </c>
      <c r="BJ3" s="206">
        <f t="shared" si="1"/>
        <v>2791.8711372284488</v>
      </c>
      <c r="BK3" s="206">
        <f t="shared" si="1"/>
        <v>2791.8711372284488</v>
      </c>
      <c r="BL3" s="206">
        <f t="shared" si="1"/>
        <v>2791.8711372284488</v>
      </c>
      <c r="BM3" s="206">
        <f t="shared" si="1"/>
        <v>2791.8711372284488</v>
      </c>
      <c r="BN3" s="206">
        <f t="shared" si="1"/>
        <v>2791.8711372284488</v>
      </c>
      <c r="BO3" s="206">
        <f t="shared" si="1"/>
        <v>2791.8711372284488</v>
      </c>
      <c r="BP3" s="206">
        <f t="shared" si="1"/>
        <v>2791.8711372284488</v>
      </c>
      <c r="BQ3" s="206">
        <f t="shared" si="1"/>
        <v>2791.8711372284488</v>
      </c>
      <c r="BR3" s="206">
        <f t="shared" si="1"/>
        <v>2791.8711372284488</v>
      </c>
      <c r="BS3" s="206">
        <f t="shared" si="1"/>
        <v>2791.8711372284488</v>
      </c>
      <c r="BT3" s="206">
        <f t="shared" si="1"/>
        <v>2791.8711372284488</v>
      </c>
      <c r="BU3" s="206">
        <f t="shared" si="1"/>
        <v>2791.8711372284488</v>
      </c>
      <c r="BV3" s="206">
        <f t="shared" si="1"/>
        <v>3104.472928176795</v>
      </c>
      <c r="BW3" s="206">
        <f t="shared" si="1"/>
        <v>3104.472928176795</v>
      </c>
      <c r="BX3" s="206">
        <f t="shared" si="1"/>
        <v>3104.472928176795</v>
      </c>
      <c r="BY3" s="206">
        <f t="shared" si="1"/>
        <v>3104.472928176795</v>
      </c>
      <c r="BZ3" s="206">
        <f t="shared" si="1"/>
        <v>3104.472928176795</v>
      </c>
      <c r="CA3" s="206">
        <f t="shared" ref="CA3:CR15" si="2">IF(CA$2&lt;=($B$2+$C$2+$D$2),IF(CA$2&lt;=($B$2+$C$2),IF(CA$2&lt;=$B$2,$B3,$C3),$D3),$E3)</f>
        <v>3104.472928176795</v>
      </c>
      <c r="CB3" s="206">
        <f t="shared" si="2"/>
        <v>3104.472928176795</v>
      </c>
      <c r="CC3" s="206">
        <f t="shared" si="2"/>
        <v>3104.472928176795</v>
      </c>
      <c r="CD3" s="206">
        <f t="shared" si="2"/>
        <v>3104.472928176795</v>
      </c>
      <c r="CE3" s="206">
        <f t="shared" si="2"/>
        <v>3104.472928176795</v>
      </c>
      <c r="CF3" s="206">
        <f t="shared" si="2"/>
        <v>3104.472928176795</v>
      </c>
      <c r="CG3" s="206">
        <f t="shared" si="2"/>
        <v>3104.472928176795</v>
      </c>
      <c r="CH3" s="206">
        <f t="shared" si="2"/>
        <v>3104.472928176795</v>
      </c>
      <c r="CI3" s="206">
        <f t="shared" si="2"/>
        <v>3104.472928176795</v>
      </c>
      <c r="CJ3" s="206">
        <f t="shared" si="2"/>
        <v>3104.472928176795</v>
      </c>
      <c r="CK3" s="206">
        <f t="shared" si="2"/>
        <v>3104.472928176795</v>
      </c>
      <c r="CL3" s="206">
        <f t="shared" si="2"/>
        <v>3104.472928176795</v>
      </c>
      <c r="CM3" s="206">
        <f t="shared" si="2"/>
        <v>3104.472928176795</v>
      </c>
      <c r="CN3" s="206">
        <f t="shared" si="2"/>
        <v>3104.472928176795</v>
      </c>
      <c r="CO3" s="206">
        <f t="shared" si="2"/>
        <v>3104.472928176795</v>
      </c>
      <c r="CP3" s="206">
        <f t="shared" si="2"/>
        <v>3104.472928176795</v>
      </c>
      <c r="CQ3" s="206">
        <f t="shared" si="2"/>
        <v>3104.472928176795</v>
      </c>
      <c r="CR3" s="206">
        <f t="shared" si="2"/>
        <v>3104.472928176795</v>
      </c>
      <c r="CS3" s="206">
        <f t="shared" ref="CS3:DA15" si="3">IF(CS$2&lt;=($B$2+$C$2+$D$2),IF(CS$2&lt;=($B$2+$C$2),IF(CS$2&lt;=$B$2,$B3,$C3),$D3),$E3)</f>
        <v>4088.2475138121531</v>
      </c>
      <c r="CT3" s="206">
        <f t="shared" si="3"/>
        <v>4088.2475138121531</v>
      </c>
      <c r="CU3" s="206">
        <f t="shared" si="3"/>
        <v>4088.2475138121531</v>
      </c>
      <c r="CV3" s="206">
        <f t="shared" si="3"/>
        <v>4088.2475138121531</v>
      </c>
      <c r="CW3" s="206">
        <f t="shared" si="3"/>
        <v>4088.2475138121531</v>
      </c>
      <c r="CX3" s="206">
        <f t="shared" si="3"/>
        <v>4088.2475138121531</v>
      </c>
      <c r="CY3" s="206">
        <f t="shared" si="3"/>
        <v>4088.2475138121531</v>
      </c>
      <c r="CZ3" s="206">
        <f t="shared" si="3"/>
        <v>4088.2475138121531</v>
      </c>
      <c r="DA3" s="206">
        <f t="shared" si="3"/>
        <v>4088.2475138121531</v>
      </c>
      <c r="DB3" s="206"/>
    </row>
    <row r="4" spans="1:106">
      <c r="A4" s="203" t="str">
        <f>Income!A73</f>
        <v>Own crops sold</v>
      </c>
      <c r="B4" s="205">
        <f>Income!B73</f>
        <v>0</v>
      </c>
      <c r="C4" s="205">
        <f>Income!C73</f>
        <v>447.99999999999994</v>
      </c>
      <c r="D4" s="205">
        <f>Income!D73</f>
        <v>3768.5759999999996</v>
      </c>
      <c r="E4" s="205">
        <f>Income!E73</f>
        <v>11020.8</v>
      </c>
      <c r="F4" s="206">
        <f t="shared" ref="F4:U17" si="4">IF(F$2&lt;=($B$2+$C$2+$D$2),IF(F$2&lt;=($B$2+$C$2),IF(F$2&lt;=$B$2,$B4,$C4),$D4),$E4)</f>
        <v>0</v>
      </c>
      <c r="G4" s="206">
        <f t="shared" si="0"/>
        <v>0</v>
      </c>
      <c r="H4" s="206">
        <f t="shared" si="0"/>
        <v>0</v>
      </c>
      <c r="I4" s="206">
        <f t="shared" si="0"/>
        <v>0</v>
      </c>
      <c r="J4" s="206">
        <f t="shared" si="0"/>
        <v>0</v>
      </c>
      <c r="K4" s="206">
        <f t="shared" si="0"/>
        <v>0</v>
      </c>
      <c r="L4" s="206">
        <f t="shared" si="0"/>
        <v>0</v>
      </c>
      <c r="M4" s="206">
        <f t="shared" si="0"/>
        <v>0</v>
      </c>
      <c r="N4" s="206">
        <f t="shared" si="0"/>
        <v>0</v>
      </c>
      <c r="O4" s="206">
        <f t="shared" si="0"/>
        <v>0</v>
      </c>
      <c r="P4" s="206">
        <f t="shared" si="0"/>
        <v>0</v>
      </c>
      <c r="Q4" s="206">
        <f t="shared" si="0"/>
        <v>0</v>
      </c>
      <c r="R4" s="206">
        <f t="shared" si="0"/>
        <v>0</v>
      </c>
      <c r="S4" s="206">
        <f t="shared" si="0"/>
        <v>0</v>
      </c>
      <c r="T4" s="206">
        <f t="shared" si="0"/>
        <v>0</v>
      </c>
      <c r="U4" s="206">
        <f t="shared" si="0"/>
        <v>0</v>
      </c>
      <c r="V4" s="206">
        <f t="shared" si="0"/>
        <v>0</v>
      </c>
      <c r="W4" s="206">
        <f t="shared" si="0"/>
        <v>0</v>
      </c>
      <c r="X4" s="206">
        <f t="shared" si="0"/>
        <v>0</v>
      </c>
      <c r="Y4" s="206">
        <f t="shared" si="0"/>
        <v>0</v>
      </c>
      <c r="Z4" s="206">
        <f t="shared" si="0"/>
        <v>0</v>
      </c>
      <c r="AA4" s="206">
        <f t="shared" si="0"/>
        <v>0</v>
      </c>
      <c r="AB4" s="206">
        <f t="shared" si="0"/>
        <v>0</v>
      </c>
      <c r="AC4" s="206">
        <f t="shared" si="0"/>
        <v>0</v>
      </c>
      <c r="AD4" s="206">
        <f t="shared" si="0"/>
        <v>0</v>
      </c>
      <c r="AE4" s="206">
        <f t="shared" si="0"/>
        <v>447.99999999999994</v>
      </c>
      <c r="AF4" s="206">
        <f t="shared" si="0"/>
        <v>447.99999999999994</v>
      </c>
      <c r="AG4" s="206">
        <f t="shared" si="0"/>
        <v>447.99999999999994</v>
      </c>
      <c r="AH4" s="206">
        <f t="shared" si="0"/>
        <v>447.99999999999994</v>
      </c>
      <c r="AI4" s="206">
        <f t="shared" si="0"/>
        <v>447.99999999999994</v>
      </c>
      <c r="AJ4" s="206">
        <f t="shared" si="0"/>
        <v>447.99999999999994</v>
      </c>
      <c r="AK4" s="206">
        <f t="shared" si="0"/>
        <v>447.99999999999994</v>
      </c>
      <c r="AL4" s="206">
        <f t="shared" si="0"/>
        <v>447.99999999999994</v>
      </c>
      <c r="AM4" s="206">
        <f t="shared" si="0"/>
        <v>447.99999999999994</v>
      </c>
      <c r="AN4" s="206">
        <f t="shared" si="0"/>
        <v>447.99999999999994</v>
      </c>
      <c r="AO4" s="206">
        <f t="shared" si="0"/>
        <v>447.99999999999994</v>
      </c>
      <c r="AP4" s="206">
        <f t="shared" si="0"/>
        <v>447.99999999999994</v>
      </c>
      <c r="AQ4" s="206">
        <f t="shared" si="0"/>
        <v>447.99999999999994</v>
      </c>
      <c r="AR4" s="206">
        <f t="shared" si="0"/>
        <v>447.99999999999994</v>
      </c>
      <c r="AS4" s="206">
        <f t="shared" si="0"/>
        <v>447.99999999999994</v>
      </c>
      <c r="AT4" s="206">
        <f t="shared" si="0"/>
        <v>447.99999999999994</v>
      </c>
      <c r="AU4" s="206">
        <f t="shared" si="0"/>
        <v>447.99999999999994</v>
      </c>
      <c r="AV4" s="206">
        <f t="shared" si="0"/>
        <v>447.99999999999994</v>
      </c>
      <c r="AW4" s="206">
        <f t="shared" si="0"/>
        <v>447.99999999999994</v>
      </c>
      <c r="AX4" s="206">
        <f t="shared" si="1"/>
        <v>447.99999999999994</v>
      </c>
      <c r="AY4" s="206">
        <f t="shared" si="1"/>
        <v>447.99999999999994</v>
      </c>
      <c r="AZ4" s="206">
        <f t="shared" si="1"/>
        <v>447.99999999999994</v>
      </c>
      <c r="BA4" s="206">
        <f t="shared" si="1"/>
        <v>447.99999999999994</v>
      </c>
      <c r="BB4" s="206">
        <f t="shared" si="1"/>
        <v>447.99999999999994</v>
      </c>
      <c r="BC4" s="206">
        <f t="shared" si="1"/>
        <v>447.99999999999994</v>
      </c>
      <c r="BD4" s="206">
        <f t="shared" si="1"/>
        <v>447.99999999999994</v>
      </c>
      <c r="BE4" s="206">
        <f t="shared" si="1"/>
        <v>447.99999999999994</v>
      </c>
      <c r="BF4" s="206">
        <f t="shared" si="1"/>
        <v>447.99999999999994</v>
      </c>
      <c r="BG4" s="206">
        <f t="shared" si="1"/>
        <v>447.99999999999994</v>
      </c>
      <c r="BH4" s="206">
        <f t="shared" si="1"/>
        <v>447.99999999999994</v>
      </c>
      <c r="BI4" s="206">
        <f t="shared" si="1"/>
        <v>447.99999999999994</v>
      </c>
      <c r="BJ4" s="206">
        <f t="shared" si="1"/>
        <v>447.99999999999994</v>
      </c>
      <c r="BK4" s="206">
        <f t="shared" si="1"/>
        <v>447.99999999999994</v>
      </c>
      <c r="BL4" s="206">
        <f t="shared" si="1"/>
        <v>447.99999999999994</v>
      </c>
      <c r="BM4" s="206">
        <f t="shared" si="1"/>
        <v>447.99999999999994</v>
      </c>
      <c r="BN4" s="206">
        <f t="shared" si="1"/>
        <v>447.99999999999994</v>
      </c>
      <c r="BO4" s="206">
        <f t="shared" si="1"/>
        <v>447.99999999999994</v>
      </c>
      <c r="BP4" s="206">
        <f t="shared" si="1"/>
        <v>447.99999999999994</v>
      </c>
      <c r="BQ4" s="206">
        <f t="shared" si="1"/>
        <v>447.99999999999994</v>
      </c>
      <c r="BR4" s="206">
        <f t="shared" si="1"/>
        <v>447.99999999999994</v>
      </c>
      <c r="BS4" s="206">
        <f t="shared" si="1"/>
        <v>447.99999999999994</v>
      </c>
      <c r="BT4" s="206">
        <f t="shared" si="1"/>
        <v>447.99999999999994</v>
      </c>
      <c r="BU4" s="206">
        <f t="shared" si="1"/>
        <v>447.99999999999994</v>
      </c>
      <c r="BV4" s="206">
        <f t="shared" si="1"/>
        <v>3768.5759999999996</v>
      </c>
      <c r="BW4" s="206">
        <f t="shared" si="1"/>
        <v>3768.5759999999996</v>
      </c>
      <c r="BX4" s="206">
        <f t="shared" si="1"/>
        <v>3768.5759999999996</v>
      </c>
      <c r="BY4" s="206">
        <f t="shared" si="1"/>
        <v>3768.5759999999996</v>
      </c>
      <c r="BZ4" s="206">
        <f t="shared" si="1"/>
        <v>3768.5759999999996</v>
      </c>
      <c r="CA4" s="206">
        <f t="shared" si="2"/>
        <v>3768.5759999999996</v>
      </c>
      <c r="CB4" s="206">
        <f t="shared" si="2"/>
        <v>3768.5759999999996</v>
      </c>
      <c r="CC4" s="206">
        <f t="shared" si="2"/>
        <v>3768.5759999999996</v>
      </c>
      <c r="CD4" s="206">
        <f t="shared" si="2"/>
        <v>3768.5759999999996</v>
      </c>
      <c r="CE4" s="206">
        <f t="shared" si="2"/>
        <v>3768.5759999999996</v>
      </c>
      <c r="CF4" s="206">
        <f t="shared" si="2"/>
        <v>3768.5759999999996</v>
      </c>
      <c r="CG4" s="206">
        <f t="shared" si="2"/>
        <v>3768.5759999999996</v>
      </c>
      <c r="CH4" s="206">
        <f t="shared" si="2"/>
        <v>3768.5759999999996</v>
      </c>
      <c r="CI4" s="206">
        <f t="shared" si="2"/>
        <v>3768.5759999999996</v>
      </c>
      <c r="CJ4" s="206">
        <f t="shared" si="2"/>
        <v>3768.5759999999996</v>
      </c>
      <c r="CK4" s="206">
        <f t="shared" si="2"/>
        <v>3768.5759999999996</v>
      </c>
      <c r="CL4" s="206">
        <f t="shared" si="2"/>
        <v>3768.5759999999996</v>
      </c>
      <c r="CM4" s="206">
        <f t="shared" si="2"/>
        <v>3768.5759999999996</v>
      </c>
      <c r="CN4" s="206">
        <f t="shared" si="2"/>
        <v>3768.5759999999996</v>
      </c>
      <c r="CO4" s="206">
        <f t="shared" si="2"/>
        <v>3768.5759999999996</v>
      </c>
      <c r="CP4" s="206">
        <f t="shared" si="2"/>
        <v>3768.5759999999996</v>
      </c>
      <c r="CQ4" s="206">
        <f t="shared" si="2"/>
        <v>3768.5759999999996</v>
      </c>
      <c r="CR4" s="206">
        <f t="shared" si="2"/>
        <v>3768.5759999999996</v>
      </c>
      <c r="CS4" s="206">
        <f t="shared" si="3"/>
        <v>11020.8</v>
      </c>
      <c r="CT4" s="206">
        <f t="shared" si="3"/>
        <v>11020.8</v>
      </c>
      <c r="CU4" s="206">
        <f t="shared" si="3"/>
        <v>11020.8</v>
      </c>
      <c r="CV4" s="206">
        <f t="shared" si="3"/>
        <v>11020.8</v>
      </c>
      <c r="CW4" s="206">
        <f t="shared" si="3"/>
        <v>11020.8</v>
      </c>
      <c r="CX4" s="206">
        <f t="shared" si="3"/>
        <v>11020.8</v>
      </c>
      <c r="CY4" s="206">
        <f t="shared" si="3"/>
        <v>11020.8</v>
      </c>
      <c r="CZ4" s="206">
        <f t="shared" si="3"/>
        <v>11020.8</v>
      </c>
      <c r="DA4" s="206">
        <f t="shared" si="3"/>
        <v>11020.8</v>
      </c>
      <c r="DB4" s="206"/>
    </row>
    <row r="5" spans="1:106">
      <c r="A5" s="203" t="str">
        <f>Income!A74</f>
        <v>Animal products consumed</v>
      </c>
      <c r="B5" s="205">
        <f>Income!B74</f>
        <v>0</v>
      </c>
      <c r="C5" s="205">
        <f>Income!C74</f>
        <v>59.413246683736901</v>
      </c>
      <c r="D5" s="205">
        <f>Income!D74</f>
        <v>352.47640176149508</v>
      </c>
      <c r="E5" s="205">
        <f>Income!E74</f>
        <v>507.01801557855862</v>
      </c>
      <c r="F5" s="206">
        <f t="shared" si="4"/>
        <v>0</v>
      </c>
      <c r="G5" s="206">
        <f t="shared" si="0"/>
        <v>0</v>
      </c>
      <c r="H5" s="206">
        <f t="shared" si="0"/>
        <v>0</v>
      </c>
      <c r="I5" s="206">
        <f t="shared" si="0"/>
        <v>0</v>
      </c>
      <c r="J5" s="206">
        <f t="shared" si="0"/>
        <v>0</v>
      </c>
      <c r="K5" s="206">
        <f t="shared" si="0"/>
        <v>0</v>
      </c>
      <c r="L5" s="206">
        <f t="shared" si="0"/>
        <v>0</v>
      </c>
      <c r="M5" s="206">
        <f t="shared" si="0"/>
        <v>0</v>
      </c>
      <c r="N5" s="206">
        <f t="shared" si="0"/>
        <v>0</v>
      </c>
      <c r="O5" s="206">
        <f t="shared" si="0"/>
        <v>0</v>
      </c>
      <c r="P5" s="206">
        <f t="shared" si="0"/>
        <v>0</v>
      </c>
      <c r="Q5" s="206">
        <f t="shared" si="0"/>
        <v>0</v>
      </c>
      <c r="R5" s="206">
        <f t="shared" si="0"/>
        <v>0</v>
      </c>
      <c r="S5" s="206">
        <f t="shared" si="0"/>
        <v>0</v>
      </c>
      <c r="T5" s="206">
        <f t="shared" si="0"/>
        <v>0</v>
      </c>
      <c r="U5" s="206">
        <f t="shared" si="0"/>
        <v>0</v>
      </c>
      <c r="V5" s="206">
        <f t="shared" si="0"/>
        <v>0</v>
      </c>
      <c r="W5" s="206">
        <f t="shared" si="0"/>
        <v>0</v>
      </c>
      <c r="X5" s="206">
        <f t="shared" si="0"/>
        <v>0</v>
      </c>
      <c r="Y5" s="206">
        <f t="shared" si="0"/>
        <v>0</v>
      </c>
      <c r="Z5" s="206">
        <f t="shared" si="0"/>
        <v>0</v>
      </c>
      <c r="AA5" s="206">
        <f t="shared" si="0"/>
        <v>0</v>
      </c>
      <c r="AB5" s="206">
        <f t="shared" si="0"/>
        <v>0</v>
      </c>
      <c r="AC5" s="206">
        <f t="shared" si="0"/>
        <v>0</v>
      </c>
      <c r="AD5" s="206">
        <f t="shared" si="0"/>
        <v>0</v>
      </c>
      <c r="AE5" s="206">
        <f t="shared" si="0"/>
        <v>59.413246683736901</v>
      </c>
      <c r="AF5" s="206">
        <f t="shared" si="0"/>
        <v>59.413246683736901</v>
      </c>
      <c r="AG5" s="206">
        <f t="shared" si="0"/>
        <v>59.413246683736901</v>
      </c>
      <c r="AH5" s="206">
        <f t="shared" si="0"/>
        <v>59.413246683736901</v>
      </c>
      <c r="AI5" s="206">
        <f t="shared" si="0"/>
        <v>59.413246683736901</v>
      </c>
      <c r="AJ5" s="206">
        <f t="shared" si="0"/>
        <v>59.413246683736901</v>
      </c>
      <c r="AK5" s="206">
        <f t="shared" si="0"/>
        <v>59.413246683736901</v>
      </c>
      <c r="AL5" s="206">
        <f t="shared" si="0"/>
        <v>59.413246683736901</v>
      </c>
      <c r="AM5" s="206">
        <f t="shared" si="0"/>
        <v>59.413246683736901</v>
      </c>
      <c r="AN5" s="206">
        <f t="shared" si="0"/>
        <v>59.413246683736901</v>
      </c>
      <c r="AO5" s="206">
        <f t="shared" si="0"/>
        <v>59.413246683736901</v>
      </c>
      <c r="AP5" s="206">
        <f t="shared" si="0"/>
        <v>59.413246683736901</v>
      </c>
      <c r="AQ5" s="206">
        <f t="shared" si="0"/>
        <v>59.413246683736901</v>
      </c>
      <c r="AR5" s="206">
        <f t="shared" si="0"/>
        <v>59.413246683736901</v>
      </c>
      <c r="AS5" s="206">
        <f t="shared" si="0"/>
        <v>59.413246683736901</v>
      </c>
      <c r="AT5" s="206">
        <f t="shared" si="0"/>
        <v>59.413246683736901</v>
      </c>
      <c r="AU5" s="206">
        <f t="shared" si="0"/>
        <v>59.413246683736901</v>
      </c>
      <c r="AV5" s="206">
        <f t="shared" si="0"/>
        <v>59.413246683736901</v>
      </c>
      <c r="AW5" s="206">
        <f t="shared" si="0"/>
        <v>59.413246683736901</v>
      </c>
      <c r="AX5" s="206">
        <f t="shared" si="1"/>
        <v>59.413246683736901</v>
      </c>
      <c r="AY5" s="206">
        <f t="shared" si="1"/>
        <v>59.413246683736901</v>
      </c>
      <c r="AZ5" s="206">
        <f t="shared" si="1"/>
        <v>59.413246683736901</v>
      </c>
      <c r="BA5" s="206">
        <f t="shared" si="1"/>
        <v>59.413246683736901</v>
      </c>
      <c r="BB5" s="206">
        <f t="shared" si="1"/>
        <v>59.413246683736901</v>
      </c>
      <c r="BC5" s="206">
        <f t="shared" si="1"/>
        <v>59.413246683736901</v>
      </c>
      <c r="BD5" s="206">
        <f t="shared" si="1"/>
        <v>59.413246683736901</v>
      </c>
      <c r="BE5" s="206">
        <f t="shared" si="1"/>
        <v>59.413246683736901</v>
      </c>
      <c r="BF5" s="206">
        <f t="shared" si="1"/>
        <v>59.413246683736901</v>
      </c>
      <c r="BG5" s="206">
        <f t="shared" si="1"/>
        <v>59.413246683736901</v>
      </c>
      <c r="BH5" s="206">
        <f t="shared" si="1"/>
        <v>59.413246683736901</v>
      </c>
      <c r="BI5" s="206">
        <f t="shared" si="1"/>
        <v>59.413246683736901</v>
      </c>
      <c r="BJ5" s="206">
        <f t="shared" si="1"/>
        <v>59.413246683736901</v>
      </c>
      <c r="BK5" s="206">
        <f t="shared" si="1"/>
        <v>59.413246683736901</v>
      </c>
      <c r="BL5" s="206">
        <f t="shared" si="1"/>
        <v>59.413246683736901</v>
      </c>
      <c r="BM5" s="206">
        <f t="shared" si="1"/>
        <v>59.413246683736901</v>
      </c>
      <c r="BN5" s="206">
        <f t="shared" si="1"/>
        <v>59.413246683736901</v>
      </c>
      <c r="BO5" s="206">
        <f t="shared" si="1"/>
        <v>59.413246683736901</v>
      </c>
      <c r="BP5" s="206">
        <f t="shared" si="1"/>
        <v>59.413246683736901</v>
      </c>
      <c r="BQ5" s="206">
        <f t="shared" si="1"/>
        <v>59.413246683736901</v>
      </c>
      <c r="BR5" s="206">
        <f t="shared" si="1"/>
        <v>59.413246683736901</v>
      </c>
      <c r="BS5" s="206">
        <f t="shared" si="1"/>
        <v>59.413246683736901</v>
      </c>
      <c r="BT5" s="206">
        <f t="shared" si="1"/>
        <v>59.413246683736901</v>
      </c>
      <c r="BU5" s="206">
        <f t="shared" si="1"/>
        <v>59.413246683736901</v>
      </c>
      <c r="BV5" s="206">
        <f t="shared" si="1"/>
        <v>352.47640176149508</v>
      </c>
      <c r="BW5" s="206">
        <f t="shared" si="1"/>
        <v>352.47640176149508</v>
      </c>
      <c r="BX5" s="206">
        <f t="shared" si="1"/>
        <v>352.47640176149508</v>
      </c>
      <c r="BY5" s="206">
        <f t="shared" si="1"/>
        <v>352.47640176149508</v>
      </c>
      <c r="BZ5" s="206">
        <f t="shared" si="1"/>
        <v>352.47640176149508</v>
      </c>
      <c r="CA5" s="206">
        <f t="shared" si="2"/>
        <v>352.47640176149508</v>
      </c>
      <c r="CB5" s="206">
        <f t="shared" si="2"/>
        <v>352.47640176149508</v>
      </c>
      <c r="CC5" s="206">
        <f t="shared" si="2"/>
        <v>352.47640176149508</v>
      </c>
      <c r="CD5" s="206">
        <f t="shared" si="2"/>
        <v>352.47640176149508</v>
      </c>
      <c r="CE5" s="206">
        <f t="shared" si="2"/>
        <v>352.47640176149508</v>
      </c>
      <c r="CF5" s="206">
        <f t="shared" si="2"/>
        <v>352.47640176149508</v>
      </c>
      <c r="CG5" s="206">
        <f t="shared" si="2"/>
        <v>352.47640176149508</v>
      </c>
      <c r="CH5" s="206">
        <f t="shared" si="2"/>
        <v>352.47640176149508</v>
      </c>
      <c r="CI5" s="206">
        <f t="shared" si="2"/>
        <v>352.47640176149508</v>
      </c>
      <c r="CJ5" s="206">
        <f t="shared" si="2"/>
        <v>352.47640176149508</v>
      </c>
      <c r="CK5" s="206">
        <f t="shared" si="2"/>
        <v>352.47640176149508</v>
      </c>
      <c r="CL5" s="206">
        <f t="shared" si="2"/>
        <v>352.47640176149508</v>
      </c>
      <c r="CM5" s="206">
        <f t="shared" si="2"/>
        <v>352.47640176149508</v>
      </c>
      <c r="CN5" s="206">
        <f t="shared" si="2"/>
        <v>352.47640176149508</v>
      </c>
      <c r="CO5" s="206">
        <f t="shared" si="2"/>
        <v>352.47640176149508</v>
      </c>
      <c r="CP5" s="206">
        <f t="shared" si="2"/>
        <v>352.47640176149508</v>
      </c>
      <c r="CQ5" s="206">
        <f t="shared" si="2"/>
        <v>352.47640176149508</v>
      </c>
      <c r="CR5" s="206">
        <f t="shared" si="2"/>
        <v>352.47640176149508</v>
      </c>
      <c r="CS5" s="206">
        <f t="shared" si="3"/>
        <v>507.01801557855862</v>
      </c>
      <c r="CT5" s="206">
        <f t="shared" si="3"/>
        <v>507.01801557855862</v>
      </c>
      <c r="CU5" s="206">
        <f t="shared" si="3"/>
        <v>507.01801557855862</v>
      </c>
      <c r="CV5" s="206">
        <f t="shared" si="3"/>
        <v>507.01801557855862</v>
      </c>
      <c r="CW5" s="206">
        <f t="shared" si="3"/>
        <v>507.01801557855862</v>
      </c>
      <c r="CX5" s="206">
        <f t="shared" si="3"/>
        <v>507.01801557855862</v>
      </c>
      <c r="CY5" s="206">
        <f t="shared" si="3"/>
        <v>507.01801557855862</v>
      </c>
      <c r="CZ5" s="206">
        <f t="shared" si="3"/>
        <v>507.01801557855862</v>
      </c>
      <c r="DA5" s="206">
        <f t="shared" si="3"/>
        <v>507.01801557855862</v>
      </c>
      <c r="DB5" s="206"/>
    </row>
    <row r="6" spans="1:106">
      <c r="A6" s="203" t="str">
        <f>Income!A75</f>
        <v>Animal products sold</v>
      </c>
      <c r="B6" s="205">
        <f>Income!B75</f>
        <v>0</v>
      </c>
      <c r="C6" s="205">
        <f>Income!C75</f>
        <v>0</v>
      </c>
      <c r="D6" s="205">
        <f>Income!D75</f>
        <v>0</v>
      </c>
      <c r="E6" s="205">
        <f>Income!E75</f>
        <v>0</v>
      </c>
      <c r="F6" s="206">
        <f t="shared" si="4"/>
        <v>0</v>
      </c>
      <c r="G6" s="206">
        <f t="shared" si="0"/>
        <v>0</v>
      </c>
      <c r="H6" s="206">
        <f t="shared" si="0"/>
        <v>0</v>
      </c>
      <c r="I6" s="206">
        <f t="shared" si="0"/>
        <v>0</v>
      </c>
      <c r="J6" s="206">
        <f t="shared" si="0"/>
        <v>0</v>
      </c>
      <c r="K6" s="206">
        <f t="shared" si="0"/>
        <v>0</v>
      </c>
      <c r="L6" s="206">
        <f t="shared" si="0"/>
        <v>0</v>
      </c>
      <c r="M6" s="206">
        <f t="shared" si="0"/>
        <v>0</v>
      </c>
      <c r="N6" s="206">
        <f t="shared" si="0"/>
        <v>0</v>
      </c>
      <c r="O6" s="206">
        <f t="shared" si="0"/>
        <v>0</v>
      </c>
      <c r="P6" s="206">
        <f t="shared" si="0"/>
        <v>0</v>
      </c>
      <c r="Q6" s="206">
        <f t="shared" si="0"/>
        <v>0</v>
      </c>
      <c r="R6" s="206">
        <f t="shared" si="0"/>
        <v>0</v>
      </c>
      <c r="S6" s="206">
        <f t="shared" si="0"/>
        <v>0</v>
      </c>
      <c r="T6" s="206">
        <f t="shared" si="0"/>
        <v>0</v>
      </c>
      <c r="U6" s="206">
        <f t="shared" si="0"/>
        <v>0</v>
      </c>
      <c r="V6" s="206">
        <f t="shared" si="0"/>
        <v>0</v>
      </c>
      <c r="W6" s="206">
        <f t="shared" si="0"/>
        <v>0</v>
      </c>
      <c r="X6" s="206">
        <f t="shared" si="0"/>
        <v>0</v>
      </c>
      <c r="Y6" s="206">
        <f t="shared" si="0"/>
        <v>0</v>
      </c>
      <c r="Z6" s="206">
        <f t="shared" si="0"/>
        <v>0</v>
      </c>
      <c r="AA6" s="206">
        <f t="shared" si="0"/>
        <v>0</v>
      </c>
      <c r="AB6" s="206">
        <f t="shared" si="0"/>
        <v>0</v>
      </c>
      <c r="AC6" s="206">
        <f t="shared" si="0"/>
        <v>0</v>
      </c>
      <c r="AD6" s="206">
        <f t="shared" si="0"/>
        <v>0</v>
      </c>
      <c r="AE6" s="206">
        <f t="shared" si="0"/>
        <v>0</v>
      </c>
      <c r="AF6" s="206">
        <f t="shared" si="0"/>
        <v>0</v>
      </c>
      <c r="AG6" s="206">
        <f t="shared" si="0"/>
        <v>0</v>
      </c>
      <c r="AH6" s="206">
        <f t="shared" si="0"/>
        <v>0</v>
      </c>
      <c r="AI6" s="206">
        <f t="shared" si="0"/>
        <v>0</v>
      </c>
      <c r="AJ6" s="206">
        <f t="shared" si="0"/>
        <v>0</v>
      </c>
      <c r="AK6" s="206">
        <f t="shared" si="0"/>
        <v>0</v>
      </c>
      <c r="AL6" s="206">
        <f t="shared" si="0"/>
        <v>0</v>
      </c>
      <c r="AM6" s="206">
        <f t="shared" si="0"/>
        <v>0</v>
      </c>
      <c r="AN6" s="206">
        <f t="shared" si="0"/>
        <v>0</v>
      </c>
      <c r="AO6" s="206">
        <f t="shared" si="0"/>
        <v>0</v>
      </c>
      <c r="AP6" s="206">
        <f t="shared" si="0"/>
        <v>0</v>
      </c>
      <c r="AQ6" s="206">
        <f t="shared" si="0"/>
        <v>0</v>
      </c>
      <c r="AR6" s="206">
        <f t="shared" si="0"/>
        <v>0</v>
      </c>
      <c r="AS6" s="206">
        <f t="shared" si="0"/>
        <v>0</v>
      </c>
      <c r="AT6" s="206">
        <f t="shared" si="0"/>
        <v>0</v>
      </c>
      <c r="AU6" s="206">
        <f t="shared" si="0"/>
        <v>0</v>
      </c>
      <c r="AV6" s="206">
        <f t="shared" si="0"/>
        <v>0</v>
      </c>
      <c r="AW6" s="206">
        <f t="shared" si="0"/>
        <v>0</v>
      </c>
      <c r="AX6" s="206">
        <f t="shared" si="1"/>
        <v>0</v>
      </c>
      <c r="AY6" s="206">
        <f t="shared" si="1"/>
        <v>0</v>
      </c>
      <c r="AZ6" s="206">
        <f t="shared" si="1"/>
        <v>0</v>
      </c>
      <c r="BA6" s="206">
        <f t="shared" si="1"/>
        <v>0</v>
      </c>
      <c r="BB6" s="206">
        <f t="shared" si="1"/>
        <v>0</v>
      </c>
      <c r="BC6" s="206">
        <f t="shared" si="1"/>
        <v>0</v>
      </c>
      <c r="BD6" s="206">
        <f t="shared" si="1"/>
        <v>0</v>
      </c>
      <c r="BE6" s="206">
        <f t="shared" si="1"/>
        <v>0</v>
      </c>
      <c r="BF6" s="206">
        <f t="shared" si="1"/>
        <v>0</v>
      </c>
      <c r="BG6" s="206">
        <f t="shared" si="1"/>
        <v>0</v>
      </c>
      <c r="BH6" s="206">
        <f t="shared" si="1"/>
        <v>0</v>
      </c>
      <c r="BI6" s="206">
        <f t="shared" si="1"/>
        <v>0</v>
      </c>
      <c r="BJ6" s="206">
        <f t="shared" si="1"/>
        <v>0</v>
      </c>
      <c r="BK6" s="206">
        <f t="shared" si="1"/>
        <v>0</v>
      </c>
      <c r="BL6" s="206">
        <f t="shared" si="1"/>
        <v>0</v>
      </c>
      <c r="BM6" s="206">
        <f t="shared" si="1"/>
        <v>0</v>
      </c>
      <c r="BN6" s="206">
        <f t="shared" si="1"/>
        <v>0</v>
      </c>
      <c r="BO6" s="206">
        <f t="shared" si="1"/>
        <v>0</v>
      </c>
      <c r="BP6" s="206">
        <f t="shared" si="1"/>
        <v>0</v>
      </c>
      <c r="BQ6" s="206">
        <f t="shared" si="1"/>
        <v>0</v>
      </c>
      <c r="BR6" s="206">
        <f t="shared" si="1"/>
        <v>0</v>
      </c>
      <c r="BS6" s="206">
        <f t="shared" si="1"/>
        <v>0</v>
      </c>
      <c r="BT6" s="206">
        <f t="shared" si="1"/>
        <v>0</v>
      </c>
      <c r="BU6" s="206">
        <f t="shared" si="1"/>
        <v>0</v>
      </c>
      <c r="BV6" s="206">
        <f t="shared" si="1"/>
        <v>0</v>
      </c>
      <c r="BW6" s="206">
        <f t="shared" si="1"/>
        <v>0</v>
      </c>
      <c r="BX6" s="206">
        <f t="shared" si="1"/>
        <v>0</v>
      </c>
      <c r="BY6" s="206">
        <f t="shared" si="1"/>
        <v>0</v>
      </c>
      <c r="BZ6" s="206">
        <f t="shared" si="1"/>
        <v>0</v>
      </c>
      <c r="CA6" s="206">
        <f t="shared" si="2"/>
        <v>0</v>
      </c>
      <c r="CB6" s="206">
        <f t="shared" si="2"/>
        <v>0</v>
      </c>
      <c r="CC6" s="206">
        <f t="shared" si="2"/>
        <v>0</v>
      </c>
      <c r="CD6" s="206">
        <f t="shared" si="2"/>
        <v>0</v>
      </c>
      <c r="CE6" s="206">
        <f t="shared" si="2"/>
        <v>0</v>
      </c>
      <c r="CF6" s="206">
        <f t="shared" si="2"/>
        <v>0</v>
      </c>
      <c r="CG6" s="206">
        <f t="shared" si="2"/>
        <v>0</v>
      </c>
      <c r="CH6" s="206">
        <f t="shared" si="2"/>
        <v>0</v>
      </c>
      <c r="CI6" s="206">
        <f t="shared" si="2"/>
        <v>0</v>
      </c>
      <c r="CJ6" s="206">
        <f t="shared" si="2"/>
        <v>0</v>
      </c>
      <c r="CK6" s="206">
        <f t="shared" si="2"/>
        <v>0</v>
      </c>
      <c r="CL6" s="206">
        <f t="shared" si="2"/>
        <v>0</v>
      </c>
      <c r="CM6" s="206">
        <f t="shared" si="2"/>
        <v>0</v>
      </c>
      <c r="CN6" s="206">
        <f t="shared" si="2"/>
        <v>0</v>
      </c>
      <c r="CO6" s="206">
        <f t="shared" si="2"/>
        <v>0</v>
      </c>
      <c r="CP6" s="206">
        <f t="shared" si="2"/>
        <v>0</v>
      </c>
      <c r="CQ6" s="206">
        <f t="shared" si="2"/>
        <v>0</v>
      </c>
      <c r="CR6" s="206">
        <f t="shared" si="2"/>
        <v>0</v>
      </c>
      <c r="CS6" s="206">
        <f t="shared" si="3"/>
        <v>0</v>
      </c>
      <c r="CT6" s="206">
        <f t="shared" si="3"/>
        <v>0</v>
      </c>
      <c r="CU6" s="206">
        <f t="shared" si="3"/>
        <v>0</v>
      </c>
      <c r="CV6" s="206">
        <f t="shared" si="3"/>
        <v>0</v>
      </c>
      <c r="CW6" s="206">
        <f t="shared" si="3"/>
        <v>0</v>
      </c>
      <c r="CX6" s="206">
        <f t="shared" si="3"/>
        <v>0</v>
      </c>
      <c r="CY6" s="206">
        <f t="shared" si="3"/>
        <v>0</v>
      </c>
      <c r="CZ6" s="206">
        <f t="shared" si="3"/>
        <v>0</v>
      </c>
      <c r="DA6" s="206">
        <f t="shared" si="3"/>
        <v>0</v>
      </c>
      <c r="DB6" s="206"/>
    </row>
    <row r="7" spans="1:106">
      <c r="A7" s="203" t="str">
        <f>Income!A76</f>
        <v>Animals sold</v>
      </c>
      <c r="B7" s="205">
        <f>Income!B76</f>
        <v>0</v>
      </c>
      <c r="C7" s="205">
        <f>Income!C76</f>
        <v>4175.92</v>
      </c>
      <c r="D7" s="205">
        <f>Income!D76</f>
        <v>11558.4</v>
      </c>
      <c r="E7" s="205">
        <f>Income!E76</f>
        <v>13171.199999999997</v>
      </c>
      <c r="F7" s="206">
        <f t="shared" si="4"/>
        <v>0</v>
      </c>
      <c r="G7" s="206">
        <f t="shared" si="0"/>
        <v>0</v>
      </c>
      <c r="H7" s="206">
        <f t="shared" si="0"/>
        <v>0</v>
      </c>
      <c r="I7" s="206">
        <f t="shared" si="0"/>
        <v>0</v>
      </c>
      <c r="J7" s="206">
        <f t="shared" si="0"/>
        <v>0</v>
      </c>
      <c r="K7" s="206">
        <f t="shared" si="0"/>
        <v>0</v>
      </c>
      <c r="L7" s="206">
        <f t="shared" si="0"/>
        <v>0</v>
      </c>
      <c r="M7" s="206">
        <f t="shared" si="0"/>
        <v>0</v>
      </c>
      <c r="N7" s="206">
        <f t="shared" si="0"/>
        <v>0</v>
      </c>
      <c r="O7" s="206">
        <f t="shared" si="0"/>
        <v>0</v>
      </c>
      <c r="P7" s="206">
        <f t="shared" si="0"/>
        <v>0</v>
      </c>
      <c r="Q7" s="206">
        <f t="shared" si="0"/>
        <v>0</v>
      </c>
      <c r="R7" s="206">
        <f t="shared" si="0"/>
        <v>0</v>
      </c>
      <c r="S7" s="206">
        <f t="shared" si="0"/>
        <v>0</v>
      </c>
      <c r="T7" s="206">
        <f t="shared" si="0"/>
        <v>0</v>
      </c>
      <c r="U7" s="206">
        <f t="shared" si="0"/>
        <v>0</v>
      </c>
      <c r="V7" s="206">
        <f t="shared" si="0"/>
        <v>0</v>
      </c>
      <c r="W7" s="206">
        <f t="shared" si="0"/>
        <v>0</v>
      </c>
      <c r="X7" s="206">
        <f t="shared" si="0"/>
        <v>0</v>
      </c>
      <c r="Y7" s="206">
        <f t="shared" si="0"/>
        <v>0</v>
      </c>
      <c r="Z7" s="206">
        <f t="shared" si="0"/>
        <v>0</v>
      </c>
      <c r="AA7" s="206">
        <f t="shared" si="0"/>
        <v>0</v>
      </c>
      <c r="AB7" s="206">
        <f t="shared" si="0"/>
        <v>0</v>
      </c>
      <c r="AC7" s="206">
        <f t="shared" si="0"/>
        <v>0</v>
      </c>
      <c r="AD7" s="206">
        <f t="shared" si="0"/>
        <v>0</v>
      </c>
      <c r="AE7" s="206">
        <f t="shared" si="0"/>
        <v>4175.92</v>
      </c>
      <c r="AF7" s="206">
        <f t="shared" si="0"/>
        <v>4175.92</v>
      </c>
      <c r="AG7" s="206">
        <f t="shared" si="0"/>
        <v>4175.92</v>
      </c>
      <c r="AH7" s="206">
        <f t="shared" si="0"/>
        <v>4175.92</v>
      </c>
      <c r="AI7" s="206">
        <f t="shared" si="0"/>
        <v>4175.92</v>
      </c>
      <c r="AJ7" s="206">
        <f t="shared" si="0"/>
        <v>4175.92</v>
      </c>
      <c r="AK7" s="206">
        <f t="shared" si="0"/>
        <v>4175.92</v>
      </c>
      <c r="AL7" s="206">
        <f t="shared" si="0"/>
        <v>4175.92</v>
      </c>
      <c r="AM7" s="206">
        <f t="shared" si="0"/>
        <v>4175.92</v>
      </c>
      <c r="AN7" s="206">
        <f t="shared" si="0"/>
        <v>4175.92</v>
      </c>
      <c r="AO7" s="206">
        <f t="shared" si="0"/>
        <v>4175.92</v>
      </c>
      <c r="AP7" s="206">
        <f t="shared" si="0"/>
        <v>4175.92</v>
      </c>
      <c r="AQ7" s="206">
        <f t="shared" si="0"/>
        <v>4175.92</v>
      </c>
      <c r="AR7" s="206">
        <f t="shared" si="0"/>
        <v>4175.92</v>
      </c>
      <c r="AS7" s="206">
        <f t="shared" si="0"/>
        <v>4175.92</v>
      </c>
      <c r="AT7" s="206">
        <f t="shared" si="0"/>
        <v>4175.92</v>
      </c>
      <c r="AU7" s="206">
        <f t="shared" ref="AU7:BJ8" si="5">IF(AU$2&lt;=($B$2+$C$2+$D$2),IF(AU$2&lt;=($B$2+$C$2),IF(AU$2&lt;=$B$2,$B7,$C7),$D7),$E7)</f>
        <v>4175.92</v>
      </c>
      <c r="AV7" s="206">
        <f t="shared" si="5"/>
        <v>4175.92</v>
      </c>
      <c r="AW7" s="206">
        <f t="shared" si="5"/>
        <v>4175.92</v>
      </c>
      <c r="AX7" s="206">
        <f t="shared" si="5"/>
        <v>4175.92</v>
      </c>
      <c r="AY7" s="206">
        <f t="shared" si="5"/>
        <v>4175.92</v>
      </c>
      <c r="AZ7" s="206">
        <f t="shared" si="5"/>
        <v>4175.92</v>
      </c>
      <c r="BA7" s="206">
        <f t="shared" si="5"/>
        <v>4175.92</v>
      </c>
      <c r="BB7" s="206">
        <f t="shared" si="5"/>
        <v>4175.92</v>
      </c>
      <c r="BC7" s="206">
        <f t="shared" si="5"/>
        <v>4175.92</v>
      </c>
      <c r="BD7" s="206">
        <f t="shared" si="5"/>
        <v>4175.92</v>
      </c>
      <c r="BE7" s="206">
        <f t="shared" si="5"/>
        <v>4175.92</v>
      </c>
      <c r="BF7" s="206">
        <f t="shared" si="5"/>
        <v>4175.92</v>
      </c>
      <c r="BG7" s="206">
        <f t="shared" si="5"/>
        <v>4175.92</v>
      </c>
      <c r="BH7" s="206">
        <f t="shared" si="5"/>
        <v>4175.92</v>
      </c>
      <c r="BI7" s="206">
        <f t="shared" si="5"/>
        <v>4175.92</v>
      </c>
      <c r="BJ7" s="206">
        <f t="shared" si="5"/>
        <v>4175.92</v>
      </c>
      <c r="BK7" s="206">
        <f t="shared" si="1"/>
        <v>4175.92</v>
      </c>
      <c r="BL7" s="206">
        <f t="shared" si="1"/>
        <v>4175.92</v>
      </c>
      <c r="BM7" s="206">
        <f t="shared" si="1"/>
        <v>4175.92</v>
      </c>
      <c r="BN7" s="206">
        <f t="shared" si="1"/>
        <v>4175.92</v>
      </c>
      <c r="BO7" s="206">
        <f t="shared" si="1"/>
        <v>4175.92</v>
      </c>
      <c r="BP7" s="206">
        <f t="shared" si="1"/>
        <v>4175.92</v>
      </c>
      <c r="BQ7" s="206">
        <f t="shared" si="1"/>
        <v>4175.92</v>
      </c>
      <c r="BR7" s="206">
        <f t="shared" si="1"/>
        <v>4175.92</v>
      </c>
      <c r="BS7" s="206">
        <f t="shared" si="1"/>
        <v>4175.92</v>
      </c>
      <c r="BT7" s="206">
        <f t="shared" si="1"/>
        <v>4175.92</v>
      </c>
      <c r="BU7" s="206">
        <f t="shared" si="1"/>
        <v>4175.92</v>
      </c>
      <c r="BV7" s="206">
        <f t="shared" si="1"/>
        <v>11558.4</v>
      </c>
      <c r="BW7" s="206">
        <f t="shared" si="1"/>
        <v>11558.4</v>
      </c>
      <c r="BX7" s="206">
        <f t="shared" si="1"/>
        <v>11558.4</v>
      </c>
      <c r="BY7" s="206">
        <f t="shared" si="1"/>
        <v>11558.4</v>
      </c>
      <c r="BZ7" s="206">
        <f t="shared" si="1"/>
        <v>11558.4</v>
      </c>
      <c r="CA7" s="206">
        <f t="shared" si="2"/>
        <v>11558.4</v>
      </c>
      <c r="CB7" s="206">
        <f t="shared" si="2"/>
        <v>11558.4</v>
      </c>
      <c r="CC7" s="206">
        <f t="shared" si="2"/>
        <v>11558.4</v>
      </c>
      <c r="CD7" s="206">
        <f t="shared" si="2"/>
        <v>11558.4</v>
      </c>
      <c r="CE7" s="206">
        <f t="shared" si="2"/>
        <v>11558.4</v>
      </c>
      <c r="CF7" s="206">
        <f t="shared" si="2"/>
        <v>11558.4</v>
      </c>
      <c r="CG7" s="206">
        <f t="shared" si="2"/>
        <v>11558.4</v>
      </c>
      <c r="CH7" s="206">
        <f t="shared" si="2"/>
        <v>11558.4</v>
      </c>
      <c r="CI7" s="206">
        <f t="shared" si="2"/>
        <v>11558.4</v>
      </c>
      <c r="CJ7" s="206">
        <f t="shared" si="2"/>
        <v>11558.4</v>
      </c>
      <c r="CK7" s="206">
        <f t="shared" si="2"/>
        <v>11558.4</v>
      </c>
      <c r="CL7" s="206">
        <f t="shared" si="2"/>
        <v>11558.4</v>
      </c>
      <c r="CM7" s="206">
        <f t="shared" si="2"/>
        <v>11558.4</v>
      </c>
      <c r="CN7" s="206">
        <f t="shared" si="2"/>
        <v>11558.4</v>
      </c>
      <c r="CO7" s="206">
        <f t="shared" si="2"/>
        <v>11558.4</v>
      </c>
      <c r="CP7" s="206">
        <f t="shared" si="2"/>
        <v>11558.4</v>
      </c>
      <c r="CQ7" s="206">
        <f t="shared" si="2"/>
        <v>11558.4</v>
      </c>
      <c r="CR7" s="206">
        <f t="shared" si="2"/>
        <v>11558.4</v>
      </c>
      <c r="CS7" s="206">
        <f t="shared" si="3"/>
        <v>13171.199999999997</v>
      </c>
      <c r="CT7" s="206">
        <f t="shared" si="3"/>
        <v>13171.199999999997</v>
      </c>
      <c r="CU7" s="206">
        <f t="shared" si="3"/>
        <v>13171.199999999997</v>
      </c>
      <c r="CV7" s="206">
        <f t="shared" si="3"/>
        <v>13171.199999999997</v>
      </c>
      <c r="CW7" s="206">
        <f t="shared" si="3"/>
        <v>13171.199999999997</v>
      </c>
      <c r="CX7" s="206">
        <f t="shared" si="3"/>
        <v>13171.199999999997</v>
      </c>
      <c r="CY7" s="206">
        <f t="shared" si="3"/>
        <v>13171.199999999997</v>
      </c>
      <c r="CZ7" s="206">
        <f t="shared" si="3"/>
        <v>13171.199999999997</v>
      </c>
      <c r="DA7" s="206">
        <f t="shared" si="3"/>
        <v>13171.199999999997</v>
      </c>
      <c r="DB7" s="206"/>
    </row>
    <row r="8" spans="1:106">
      <c r="A8" s="203" t="str">
        <f>Income!A77</f>
        <v>Wild foods consumed and sold</v>
      </c>
      <c r="B8" s="205">
        <f>Income!B77</f>
        <v>0</v>
      </c>
      <c r="C8" s="205">
        <f>Income!C77</f>
        <v>0</v>
      </c>
      <c r="D8" s="205">
        <f>Income!D77</f>
        <v>0</v>
      </c>
      <c r="E8" s="205">
        <f>Income!E77</f>
        <v>0</v>
      </c>
      <c r="F8" s="206">
        <f t="shared" si="4"/>
        <v>0</v>
      </c>
      <c r="G8" s="206">
        <f t="shared" si="4"/>
        <v>0</v>
      </c>
      <c r="H8" s="206">
        <f t="shared" si="4"/>
        <v>0</v>
      </c>
      <c r="I8" s="206">
        <f t="shared" si="4"/>
        <v>0</v>
      </c>
      <c r="J8" s="206">
        <f t="shared" si="4"/>
        <v>0</v>
      </c>
      <c r="K8" s="206">
        <f t="shared" si="4"/>
        <v>0</v>
      </c>
      <c r="L8" s="206">
        <f t="shared" si="4"/>
        <v>0</v>
      </c>
      <c r="M8" s="206">
        <f t="shared" si="4"/>
        <v>0</v>
      </c>
      <c r="N8" s="206">
        <f t="shared" si="4"/>
        <v>0</v>
      </c>
      <c r="O8" s="206">
        <f t="shared" si="4"/>
        <v>0</v>
      </c>
      <c r="P8" s="206">
        <f t="shared" si="4"/>
        <v>0</v>
      </c>
      <c r="Q8" s="206">
        <f t="shared" si="4"/>
        <v>0</v>
      </c>
      <c r="R8" s="206">
        <f t="shared" si="4"/>
        <v>0</v>
      </c>
      <c r="S8" s="206">
        <f t="shared" si="4"/>
        <v>0</v>
      </c>
      <c r="T8" s="206">
        <f t="shared" si="4"/>
        <v>0</v>
      </c>
      <c r="U8" s="206">
        <f t="shared" si="4"/>
        <v>0</v>
      </c>
      <c r="V8" s="206">
        <f t="shared" ref="V8:AK18" si="6">IF(V$2&lt;=($B$2+$C$2+$D$2),IF(V$2&lt;=($B$2+$C$2),IF(V$2&lt;=$B$2,$B8,$C8),$D8),$E8)</f>
        <v>0</v>
      </c>
      <c r="W8" s="206">
        <f t="shared" si="6"/>
        <v>0</v>
      </c>
      <c r="X8" s="206">
        <f t="shared" si="6"/>
        <v>0</v>
      </c>
      <c r="Y8" s="206">
        <f t="shared" si="6"/>
        <v>0</v>
      </c>
      <c r="Z8" s="206">
        <f t="shared" si="6"/>
        <v>0</v>
      </c>
      <c r="AA8" s="206">
        <f t="shared" si="6"/>
        <v>0</v>
      </c>
      <c r="AB8" s="206">
        <f t="shared" si="6"/>
        <v>0</v>
      </c>
      <c r="AC8" s="206">
        <f t="shared" si="6"/>
        <v>0</v>
      </c>
      <c r="AD8" s="206">
        <f t="shared" si="6"/>
        <v>0</v>
      </c>
      <c r="AE8" s="206">
        <f t="shared" si="6"/>
        <v>0</v>
      </c>
      <c r="AF8" s="206">
        <f t="shared" si="6"/>
        <v>0</v>
      </c>
      <c r="AG8" s="206">
        <f t="shared" si="6"/>
        <v>0</v>
      </c>
      <c r="AH8" s="206">
        <f t="shared" si="6"/>
        <v>0</v>
      </c>
      <c r="AI8" s="206">
        <f t="shared" si="6"/>
        <v>0</v>
      </c>
      <c r="AJ8" s="206">
        <f t="shared" si="6"/>
        <v>0</v>
      </c>
      <c r="AK8" s="206">
        <f t="shared" si="6"/>
        <v>0</v>
      </c>
      <c r="AL8" s="206">
        <f t="shared" ref="AL8:BA18" si="7">IF(AL$2&lt;=($B$2+$C$2+$D$2),IF(AL$2&lt;=($B$2+$C$2),IF(AL$2&lt;=$B$2,$B8,$C8),$D8),$E8)</f>
        <v>0</v>
      </c>
      <c r="AM8" s="206">
        <f t="shared" si="7"/>
        <v>0</v>
      </c>
      <c r="AN8" s="206">
        <f t="shared" si="7"/>
        <v>0</v>
      </c>
      <c r="AO8" s="206">
        <f t="shared" si="7"/>
        <v>0</v>
      </c>
      <c r="AP8" s="206">
        <f t="shared" si="7"/>
        <v>0</v>
      </c>
      <c r="AQ8" s="206">
        <f t="shared" si="7"/>
        <v>0</v>
      </c>
      <c r="AR8" s="206">
        <f t="shared" si="7"/>
        <v>0</v>
      </c>
      <c r="AS8" s="206">
        <f t="shared" si="7"/>
        <v>0</v>
      </c>
      <c r="AT8" s="206">
        <f t="shared" si="7"/>
        <v>0</v>
      </c>
      <c r="AU8" s="206">
        <f t="shared" si="7"/>
        <v>0</v>
      </c>
      <c r="AV8" s="206">
        <f t="shared" si="7"/>
        <v>0</v>
      </c>
      <c r="AW8" s="206">
        <f t="shared" si="7"/>
        <v>0</v>
      </c>
      <c r="AX8" s="206">
        <f t="shared" si="7"/>
        <v>0</v>
      </c>
      <c r="AY8" s="206">
        <f t="shared" si="7"/>
        <v>0</v>
      </c>
      <c r="AZ8" s="206">
        <f t="shared" si="7"/>
        <v>0</v>
      </c>
      <c r="BA8" s="206">
        <f t="shared" si="7"/>
        <v>0</v>
      </c>
      <c r="BB8" s="206">
        <f t="shared" si="5"/>
        <v>0</v>
      </c>
      <c r="BC8" s="206">
        <f t="shared" si="5"/>
        <v>0</v>
      </c>
      <c r="BD8" s="206">
        <f t="shared" si="5"/>
        <v>0</v>
      </c>
      <c r="BE8" s="206">
        <f t="shared" si="5"/>
        <v>0</v>
      </c>
      <c r="BF8" s="206">
        <f t="shared" si="5"/>
        <v>0</v>
      </c>
      <c r="BG8" s="206">
        <f t="shared" si="5"/>
        <v>0</v>
      </c>
      <c r="BH8" s="206">
        <f t="shared" si="5"/>
        <v>0</v>
      </c>
      <c r="BI8" s="206">
        <f t="shared" si="5"/>
        <v>0</v>
      </c>
      <c r="BJ8" s="206">
        <f t="shared" si="5"/>
        <v>0</v>
      </c>
      <c r="BK8" s="206">
        <f t="shared" si="1"/>
        <v>0</v>
      </c>
      <c r="BL8" s="206">
        <f t="shared" si="1"/>
        <v>0</v>
      </c>
      <c r="BM8" s="206">
        <f t="shared" si="1"/>
        <v>0</v>
      </c>
      <c r="BN8" s="206">
        <f t="shared" si="1"/>
        <v>0</v>
      </c>
      <c r="BO8" s="206">
        <f t="shared" si="1"/>
        <v>0</v>
      </c>
      <c r="BP8" s="206">
        <f t="shared" si="1"/>
        <v>0</v>
      </c>
      <c r="BQ8" s="206">
        <f t="shared" si="1"/>
        <v>0</v>
      </c>
      <c r="BR8" s="206">
        <f t="shared" si="1"/>
        <v>0</v>
      </c>
      <c r="BS8" s="206">
        <f t="shared" si="1"/>
        <v>0</v>
      </c>
      <c r="BT8" s="206">
        <f t="shared" si="1"/>
        <v>0</v>
      </c>
      <c r="BU8" s="206">
        <f t="shared" si="1"/>
        <v>0</v>
      </c>
      <c r="BV8" s="206">
        <f t="shared" si="1"/>
        <v>0</v>
      </c>
      <c r="BW8" s="206">
        <f t="shared" si="1"/>
        <v>0</v>
      </c>
      <c r="BX8" s="206">
        <f t="shared" si="1"/>
        <v>0</v>
      </c>
      <c r="BY8" s="206">
        <f t="shared" si="1"/>
        <v>0</v>
      </c>
      <c r="BZ8" s="206">
        <f t="shared" si="1"/>
        <v>0</v>
      </c>
      <c r="CA8" s="206">
        <f t="shared" si="2"/>
        <v>0</v>
      </c>
      <c r="CB8" s="206">
        <f t="shared" si="2"/>
        <v>0</v>
      </c>
      <c r="CC8" s="206">
        <f t="shared" si="2"/>
        <v>0</v>
      </c>
      <c r="CD8" s="206">
        <f t="shared" si="2"/>
        <v>0</v>
      </c>
      <c r="CE8" s="206">
        <f t="shared" si="2"/>
        <v>0</v>
      </c>
      <c r="CF8" s="206">
        <f t="shared" si="2"/>
        <v>0</v>
      </c>
      <c r="CG8" s="206">
        <f t="shared" si="2"/>
        <v>0</v>
      </c>
      <c r="CH8" s="206">
        <f t="shared" si="2"/>
        <v>0</v>
      </c>
      <c r="CI8" s="206">
        <f t="shared" si="2"/>
        <v>0</v>
      </c>
      <c r="CJ8" s="206">
        <f t="shared" si="2"/>
        <v>0</v>
      </c>
      <c r="CK8" s="206">
        <f t="shared" si="2"/>
        <v>0</v>
      </c>
      <c r="CL8" s="206">
        <f t="shared" si="2"/>
        <v>0</v>
      </c>
      <c r="CM8" s="206">
        <f t="shared" si="2"/>
        <v>0</v>
      </c>
      <c r="CN8" s="206">
        <f t="shared" si="2"/>
        <v>0</v>
      </c>
      <c r="CO8" s="206">
        <f t="shared" si="2"/>
        <v>0</v>
      </c>
      <c r="CP8" s="206">
        <f t="shared" si="2"/>
        <v>0</v>
      </c>
      <c r="CQ8" s="206">
        <f t="shared" si="2"/>
        <v>0</v>
      </c>
      <c r="CR8" s="206">
        <f t="shared" si="2"/>
        <v>0</v>
      </c>
      <c r="CS8" s="206">
        <f t="shared" si="3"/>
        <v>0</v>
      </c>
      <c r="CT8" s="206">
        <f t="shared" si="3"/>
        <v>0</v>
      </c>
      <c r="CU8" s="206">
        <f t="shared" si="3"/>
        <v>0</v>
      </c>
      <c r="CV8" s="206">
        <f t="shared" si="3"/>
        <v>0</v>
      </c>
      <c r="CW8" s="206">
        <f t="shared" si="3"/>
        <v>0</v>
      </c>
      <c r="CX8" s="206">
        <f t="shared" si="3"/>
        <v>0</v>
      </c>
      <c r="CY8" s="206">
        <f t="shared" si="3"/>
        <v>0</v>
      </c>
      <c r="CZ8" s="206">
        <f t="shared" si="3"/>
        <v>0</v>
      </c>
      <c r="DA8" s="206">
        <f t="shared" si="3"/>
        <v>0</v>
      </c>
      <c r="DB8" s="206"/>
    </row>
    <row r="9" spans="1:106">
      <c r="A9" s="203" t="str">
        <f>Income!A78</f>
        <v>Labour - casual</v>
      </c>
      <c r="B9" s="205">
        <f>Income!B78</f>
        <v>8489.5999999999985</v>
      </c>
      <c r="C9" s="205">
        <f>Income!C78</f>
        <v>14808.875138121546</v>
      </c>
      <c r="D9" s="205">
        <f>Income!D78</f>
        <v>0</v>
      </c>
      <c r="E9" s="205">
        <f>Income!E78</f>
        <v>0</v>
      </c>
      <c r="F9" s="206">
        <f t="shared" si="4"/>
        <v>8489.5999999999985</v>
      </c>
      <c r="G9" s="206">
        <f t="shared" si="4"/>
        <v>8489.5999999999985</v>
      </c>
      <c r="H9" s="206">
        <f t="shared" si="4"/>
        <v>8489.5999999999985</v>
      </c>
      <c r="I9" s="206">
        <f t="shared" si="4"/>
        <v>8489.5999999999985</v>
      </c>
      <c r="J9" s="206">
        <f t="shared" si="4"/>
        <v>8489.5999999999985</v>
      </c>
      <c r="K9" s="206">
        <f t="shared" si="4"/>
        <v>8489.5999999999985</v>
      </c>
      <c r="L9" s="206">
        <f t="shared" si="4"/>
        <v>8489.5999999999985</v>
      </c>
      <c r="M9" s="206">
        <f t="shared" si="4"/>
        <v>8489.5999999999985</v>
      </c>
      <c r="N9" s="206">
        <f t="shared" si="4"/>
        <v>8489.5999999999985</v>
      </c>
      <c r="O9" s="206">
        <f t="shared" si="4"/>
        <v>8489.5999999999985</v>
      </c>
      <c r="P9" s="206">
        <f t="shared" si="4"/>
        <v>8489.5999999999985</v>
      </c>
      <c r="Q9" s="206">
        <f t="shared" si="4"/>
        <v>8489.5999999999985</v>
      </c>
      <c r="R9" s="206">
        <f t="shared" si="4"/>
        <v>8489.5999999999985</v>
      </c>
      <c r="S9" s="206">
        <f t="shared" si="4"/>
        <v>8489.5999999999985</v>
      </c>
      <c r="T9" s="206">
        <f t="shared" si="4"/>
        <v>8489.5999999999985</v>
      </c>
      <c r="U9" s="206">
        <f t="shared" si="4"/>
        <v>8489.5999999999985</v>
      </c>
      <c r="V9" s="206">
        <f t="shared" si="6"/>
        <v>8489.5999999999985</v>
      </c>
      <c r="W9" s="206">
        <f t="shared" si="6"/>
        <v>8489.5999999999985</v>
      </c>
      <c r="X9" s="206">
        <f t="shared" si="6"/>
        <v>8489.5999999999985</v>
      </c>
      <c r="Y9" s="206">
        <f t="shared" si="6"/>
        <v>8489.5999999999985</v>
      </c>
      <c r="Z9" s="206">
        <f t="shared" si="6"/>
        <v>8489.5999999999985</v>
      </c>
      <c r="AA9" s="206">
        <f t="shared" si="6"/>
        <v>8489.5999999999985</v>
      </c>
      <c r="AB9" s="206">
        <f t="shared" si="6"/>
        <v>8489.5999999999985</v>
      </c>
      <c r="AC9" s="206">
        <f t="shared" si="6"/>
        <v>8489.5999999999985</v>
      </c>
      <c r="AD9" s="206">
        <f t="shared" si="6"/>
        <v>8489.5999999999985</v>
      </c>
      <c r="AE9" s="206">
        <f t="shared" si="6"/>
        <v>14808.875138121546</v>
      </c>
      <c r="AF9" s="206">
        <f t="shared" si="6"/>
        <v>14808.875138121546</v>
      </c>
      <c r="AG9" s="206">
        <f t="shared" si="6"/>
        <v>14808.875138121546</v>
      </c>
      <c r="AH9" s="206">
        <f t="shared" si="6"/>
        <v>14808.875138121546</v>
      </c>
      <c r="AI9" s="206">
        <f t="shared" si="6"/>
        <v>14808.875138121546</v>
      </c>
      <c r="AJ9" s="206">
        <f t="shared" si="6"/>
        <v>14808.875138121546</v>
      </c>
      <c r="AK9" s="206">
        <f t="shared" si="6"/>
        <v>14808.875138121546</v>
      </c>
      <c r="AL9" s="206">
        <f t="shared" si="7"/>
        <v>14808.875138121546</v>
      </c>
      <c r="AM9" s="206">
        <f t="shared" si="7"/>
        <v>14808.875138121546</v>
      </c>
      <c r="AN9" s="206">
        <f t="shared" si="7"/>
        <v>14808.875138121546</v>
      </c>
      <c r="AO9" s="206">
        <f t="shared" si="7"/>
        <v>14808.875138121546</v>
      </c>
      <c r="AP9" s="206">
        <f t="shared" si="7"/>
        <v>14808.875138121546</v>
      </c>
      <c r="AQ9" s="206">
        <f t="shared" si="7"/>
        <v>14808.875138121546</v>
      </c>
      <c r="AR9" s="206">
        <f t="shared" si="7"/>
        <v>14808.875138121546</v>
      </c>
      <c r="AS9" s="206">
        <f t="shared" si="7"/>
        <v>14808.875138121546</v>
      </c>
      <c r="AT9" s="206">
        <f t="shared" si="7"/>
        <v>14808.875138121546</v>
      </c>
      <c r="AU9" s="206">
        <f t="shared" si="7"/>
        <v>14808.875138121546</v>
      </c>
      <c r="AV9" s="206">
        <f t="shared" si="7"/>
        <v>14808.875138121546</v>
      </c>
      <c r="AW9" s="206">
        <f t="shared" si="7"/>
        <v>14808.875138121546</v>
      </c>
      <c r="AX9" s="206">
        <f t="shared" si="1"/>
        <v>14808.875138121546</v>
      </c>
      <c r="AY9" s="206">
        <f t="shared" si="1"/>
        <v>14808.875138121546</v>
      </c>
      <c r="AZ9" s="206">
        <f t="shared" si="1"/>
        <v>14808.875138121546</v>
      </c>
      <c r="BA9" s="206">
        <f t="shared" si="1"/>
        <v>14808.875138121546</v>
      </c>
      <c r="BB9" s="206">
        <f t="shared" si="1"/>
        <v>14808.875138121546</v>
      </c>
      <c r="BC9" s="206">
        <f t="shared" si="1"/>
        <v>14808.875138121546</v>
      </c>
      <c r="BD9" s="206">
        <f t="shared" si="1"/>
        <v>14808.875138121546</v>
      </c>
      <c r="BE9" s="206">
        <f t="shared" si="1"/>
        <v>14808.875138121546</v>
      </c>
      <c r="BF9" s="206">
        <f t="shared" si="1"/>
        <v>14808.875138121546</v>
      </c>
      <c r="BG9" s="206">
        <f t="shared" si="1"/>
        <v>14808.875138121546</v>
      </c>
      <c r="BH9" s="206">
        <f t="shared" si="1"/>
        <v>14808.875138121546</v>
      </c>
      <c r="BI9" s="206">
        <f t="shared" si="1"/>
        <v>14808.875138121546</v>
      </c>
      <c r="BJ9" s="206">
        <f t="shared" si="1"/>
        <v>14808.875138121546</v>
      </c>
      <c r="BK9" s="206">
        <f t="shared" si="1"/>
        <v>14808.875138121546</v>
      </c>
      <c r="BL9" s="206">
        <f t="shared" si="1"/>
        <v>14808.875138121546</v>
      </c>
      <c r="BM9" s="206">
        <f t="shared" si="1"/>
        <v>14808.875138121546</v>
      </c>
      <c r="BN9" s="206">
        <f t="shared" si="1"/>
        <v>14808.875138121546</v>
      </c>
      <c r="BO9" s="206">
        <f t="shared" si="1"/>
        <v>14808.875138121546</v>
      </c>
      <c r="BP9" s="206">
        <f t="shared" si="1"/>
        <v>14808.875138121546</v>
      </c>
      <c r="BQ9" s="206">
        <f t="shared" si="1"/>
        <v>14808.875138121546</v>
      </c>
      <c r="BR9" s="206">
        <f t="shared" si="1"/>
        <v>14808.875138121546</v>
      </c>
      <c r="BS9" s="206">
        <f t="shared" si="1"/>
        <v>14808.875138121546</v>
      </c>
      <c r="BT9" s="206">
        <f t="shared" si="1"/>
        <v>14808.875138121546</v>
      </c>
      <c r="BU9" s="206">
        <f t="shared" si="1"/>
        <v>14808.875138121546</v>
      </c>
      <c r="BV9" s="206">
        <f t="shared" si="1"/>
        <v>0</v>
      </c>
      <c r="BW9" s="206">
        <f t="shared" si="1"/>
        <v>0</v>
      </c>
      <c r="BX9" s="206">
        <f t="shared" si="1"/>
        <v>0</v>
      </c>
      <c r="BY9" s="206">
        <f t="shared" si="1"/>
        <v>0</v>
      </c>
      <c r="BZ9" s="206">
        <f t="shared" si="1"/>
        <v>0</v>
      </c>
      <c r="CA9" s="206">
        <f t="shared" si="2"/>
        <v>0</v>
      </c>
      <c r="CB9" s="206">
        <f t="shared" si="2"/>
        <v>0</v>
      </c>
      <c r="CC9" s="206">
        <f t="shared" si="2"/>
        <v>0</v>
      </c>
      <c r="CD9" s="206">
        <f t="shared" si="2"/>
        <v>0</v>
      </c>
      <c r="CE9" s="206">
        <f t="shared" si="2"/>
        <v>0</v>
      </c>
      <c r="CF9" s="206">
        <f t="shared" si="2"/>
        <v>0</v>
      </c>
      <c r="CG9" s="206">
        <f t="shared" si="2"/>
        <v>0</v>
      </c>
      <c r="CH9" s="206">
        <f t="shared" si="2"/>
        <v>0</v>
      </c>
      <c r="CI9" s="206">
        <f t="shared" si="2"/>
        <v>0</v>
      </c>
      <c r="CJ9" s="206">
        <f t="shared" si="2"/>
        <v>0</v>
      </c>
      <c r="CK9" s="206">
        <f t="shared" si="2"/>
        <v>0</v>
      </c>
      <c r="CL9" s="206">
        <f t="shared" si="2"/>
        <v>0</v>
      </c>
      <c r="CM9" s="206">
        <f t="shared" si="2"/>
        <v>0</v>
      </c>
      <c r="CN9" s="206">
        <f t="shared" si="2"/>
        <v>0</v>
      </c>
      <c r="CO9" s="206">
        <f t="shared" si="2"/>
        <v>0</v>
      </c>
      <c r="CP9" s="206">
        <f t="shared" si="2"/>
        <v>0</v>
      </c>
      <c r="CQ9" s="206">
        <f t="shared" si="2"/>
        <v>0</v>
      </c>
      <c r="CR9" s="206">
        <f t="shared" si="2"/>
        <v>0</v>
      </c>
      <c r="CS9" s="206">
        <f t="shared" si="3"/>
        <v>0</v>
      </c>
      <c r="CT9" s="206">
        <f t="shared" si="3"/>
        <v>0</v>
      </c>
      <c r="CU9" s="206">
        <f t="shared" si="3"/>
        <v>0</v>
      </c>
      <c r="CV9" s="206">
        <f t="shared" si="3"/>
        <v>0</v>
      </c>
      <c r="CW9" s="206">
        <f t="shared" si="3"/>
        <v>0</v>
      </c>
      <c r="CX9" s="206">
        <f t="shared" si="3"/>
        <v>0</v>
      </c>
      <c r="CY9" s="206">
        <f t="shared" si="3"/>
        <v>0</v>
      </c>
      <c r="CZ9" s="206">
        <f t="shared" si="3"/>
        <v>0</v>
      </c>
      <c r="DA9" s="206">
        <f t="shared" si="3"/>
        <v>0</v>
      </c>
      <c r="DB9" s="206"/>
    </row>
    <row r="10" spans="1:106">
      <c r="A10" s="203" t="str">
        <f>Income!A79</f>
        <v>Labour - formal emp</v>
      </c>
      <c r="B10" s="205">
        <f>Income!B79</f>
        <v>0</v>
      </c>
      <c r="C10" s="205">
        <f>Income!C79</f>
        <v>13439.999999999998</v>
      </c>
      <c r="D10" s="205">
        <f>Income!D79</f>
        <v>169343.99999999994</v>
      </c>
      <c r="E10" s="205">
        <f>Income!E79</f>
        <v>225792</v>
      </c>
      <c r="F10" s="206">
        <f t="shared" si="4"/>
        <v>0</v>
      </c>
      <c r="G10" s="206">
        <f t="shared" si="4"/>
        <v>0</v>
      </c>
      <c r="H10" s="206">
        <f t="shared" si="4"/>
        <v>0</v>
      </c>
      <c r="I10" s="206">
        <f t="shared" si="4"/>
        <v>0</v>
      </c>
      <c r="J10" s="206">
        <f t="shared" si="4"/>
        <v>0</v>
      </c>
      <c r="K10" s="206">
        <f t="shared" si="4"/>
        <v>0</v>
      </c>
      <c r="L10" s="206">
        <f t="shared" si="4"/>
        <v>0</v>
      </c>
      <c r="M10" s="206">
        <f t="shared" si="4"/>
        <v>0</v>
      </c>
      <c r="N10" s="206">
        <f t="shared" si="4"/>
        <v>0</v>
      </c>
      <c r="O10" s="206">
        <f t="shared" si="4"/>
        <v>0</v>
      </c>
      <c r="P10" s="206">
        <f t="shared" si="4"/>
        <v>0</v>
      </c>
      <c r="Q10" s="206">
        <f t="shared" si="4"/>
        <v>0</v>
      </c>
      <c r="R10" s="206">
        <f t="shared" si="4"/>
        <v>0</v>
      </c>
      <c r="S10" s="206">
        <f t="shared" si="4"/>
        <v>0</v>
      </c>
      <c r="T10" s="206">
        <f t="shared" si="4"/>
        <v>0</v>
      </c>
      <c r="U10" s="206">
        <f t="shared" si="4"/>
        <v>0</v>
      </c>
      <c r="V10" s="206">
        <f t="shared" si="6"/>
        <v>0</v>
      </c>
      <c r="W10" s="206">
        <f t="shared" si="6"/>
        <v>0</v>
      </c>
      <c r="X10" s="206">
        <f t="shared" si="6"/>
        <v>0</v>
      </c>
      <c r="Y10" s="206">
        <f t="shared" si="6"/>
        <v>0</v>
      </c>
      <c r="Z10" s="206">
        <f t="shared" si="6"/>
        <v>0</v>
      </c>
      <c r="AA10" s="206">
        <f t="shared" si="6"/>
        <v>0</v>
      </c>
      <c r="AB10" s="206">
        <f t="shared" si="6"/>
        <v>0</v>
      </c>
      <c r="AC10" s="206">
        <f t="shared" si="6"/>
        <v>0</v>
      </c>
      <c r="AD10" s="206">
        <f t="shared" si="6"/>
        <v>0</v>
      </c>
      <c r="AE10" s="206">
        <f t="shared" si="6"/>
        <v>13439.999999999998</v>
      </c>
      <c r="AF10" s="206">
        <f t="shared" si="6"/>
        <v>13439.999999999998</v>
      </c>
      <c r="AG10" s="206">
        <f t="shared" si="6"/>
        <v>13439.999999999998</v>
      </c>
      <c r="AH10" s="206">
        <f t="shared" si="6"/>
        <v>13439.999999999998</v>
      </c>
      <c r="AI10" s="206">
        <f t="shared" si="6"/>
        <v>13439.999999999998</v>
      </c>
      <c r="AJ10" s="206">
        <f t="shared" si="6"/>
        <v>13439.999999999998</v>
      </c>
      <c r="AK10" s="206">
        <f t="shared" si="6"/>
        <v>13439.999999999998</v>
      </c>
      <c r="AL10" s="206">
        <f t="shared" si="7"/>
        <v>13439.999999999998</v>
      </c>
      <c r="AM10" s="206">
        <f t="shared" si="7"/>
        <v>13439.999999999998</v>
      </c>
      <c r="AN10" s="206">
        <f t="shared" si="7"/>
        <v>13439.999999999998</v>
      </c>
      <c r="AO10" s="206">
        <f t="shared" si="7"/>
        <v>13439.999999999998</v>
      </c>
      <c r="AP10" s="206">
        <f t="shared" si="7"/>
        <v>13439.999999999998</v>
      </c>
      <c r="AQ10" s="206">
        <f t="shared" si="7"/>
        <v>13439.999999999998</v>
      </c>
      <c r="AR10" s="206">
        <f t="shared" si="7"/>
        <v>13439.999999999998</v>
      </c>
      <c r="AS10" s="206">
        <f t="shared" si="7"/>
        <v>13439.999999999998</v>
      </c>
      <c r="AT10" s="206">
        <f t="shared" si="7"/>
        <v>13439.999999999998</v>
      </c>
      <c r="AU10" s="206">
        <f t="shared" si="7"/>
        <v>13439.999999999998</v>
      </c>
      <c r="AV10" s="206">
        <f t="shared" si="7"/>
        <v>13439.999999999998</v>
      </c>
      <c r="AW10" s="206">
        <f t="shared" si="7"/>
        <v>13439.999999999998</v>
      </c>
      <c r="AX10" s="206">
        <f t="shared" si="1"/>
        <v>13439.999999999998</v>
      </c>
      <c r="AY10" s="206">
        <f t="shared" si="1"/>
        <v>13439.999999999998</v>
      </c>
      <c r="AZ10" s="206">
        <f t="shared" si="1"/>
        <v>13439.999999999998</v>
      </c>
      <c r="BA10" s="206">
        <f t="shared" si="1"/>
        <v>13439.999999999998</v>
      </c>
      <c r="BB10" s="206">
        <f t="shared" si="1"/>
        <v>13439.999999999998</v>
      </c>
      <c r="BC10" s="206">
        <f t="shared" si="1"/>
        <v>13439.999999999998</v>
      </c>
      <c r="BD10" s="206">
        <f t="shared" si="1"/>
        <v>13439.999999999998</v>
      </c>
      <c r="BE10" s="206">
        <f t="shared" si="1"/>
        <v>13439.999999999998</v>
      </c>
      <c r="BF10" s="206">
        <f t="shared" si="1"/>
        <v>13439.999999999998</v>
      </c>
      <c r="BG10" s="206">
        <f t="shared" si="1"/>
        <v>13439.999999999998</v>
      </c>
      <c r="BH10" s="206">
        <f t="shared" si="1"/>
        <v>13439.999999999998</v>
      </c>
      <c r="BI10" s="206">
        <f t="shared" si="1"/>
        <v>13439.999999999998</v>
      </c>
      <c r="BJ10" s="206">
        <f t="shared" si="1"/>
        <v>13439.999999999998</v>
      </c>
      <c r="BK10" s="206">
        <f t="shared" si="1"/>
        <v>13439.999999999998</v>
      </c>
      <c r="BL10" s="206">
        <f t="shared" si="1"/>
        <v>13439.999999999998</v>
      </c>
      <c r="BM10" s="206">
        <f t="shared" si="1"/>
        <v>13439.999999999998</v>
      </c>
      <c r="BN10" s="206">
        <f t="shared" si="1"/>
        <v>13439.999999999998</v>
      </c>
      <c r="BO10" s="206">
        <f t="shared" si="1"/>
        <v>13439.999999999998</v>
      </c>
      <c r="BP10" s="206">
        <f t="shared" si="1"/>
        <v>13439.999999999998</v>
      </c>
      <c r="BQ10" s="206">
        <f t="shared" si="1"/>
        <v>13439.999999999998</v>
      </c>
      <c r="BR10" s="206">
        <f t="shared" ref="AX10:BZ18" si="8">IF(BR$2&lt;=($B$2+$C$2+$D$2),IF(BR$2&lt;=($B$2+$C$2),IF(BR$2&lt;=$B$2,$B10,$C10),$D10),$E10)</f>
        <v>13439.999999999998</v>
      </c>
      <c r="BS10" s="206">
        <f t="shared" si="8"/>
        <v>13439.999999999998</v>
      </c>
      <c r="BT10" s="206">
        <f t="shared" si="8"/>
        <v>13439.999999999998</v>
      </c>
      <c r="BU10" s="206">
        <f t="shared" si="8"/>
        <v>13439.999999999998</v>
      </c>
      <c r="BV10" s="206">
        <f t="shared" si="8"/>
        <v>169343.99999999994</v>
      </c>
      <c r="BW10" s="206">
        <f t="shared" si="8"/>
        <v>169343.99999999994</v>
      </c>
      <c r="BX10" s="206">
        <f t="shared" si="8"/>
        <v>169343.99999999994</v>
      </c>
      <c r="BY10" s="206">
        <f t="shared" si="8"/>
        <v>169343.99999999994</v>
      </c>
      <c r="BZ10" s="206">
        <f t="shared" si="8"/>
        <v>169343.99999999994</v>
      </c>
      <c r="CA10" s="206">
        <f t="shared" si="2"/>
        <v>169343.99999999994</v>
      </c>
      <c r="CB10" s="206">
        <f t="shared" si="2"/>
        <v>169343.99999999994</v>
      </c>
      <c r="CC10" s="206">
        <f t="shared" si="2"/>
        <v>169343.99999999994</v>
      </c>
      <c r="CD10" s="206">
        <f t="shared" si="2"/>
        <v>169343.99999999994</v>
      </c>
      <c r="CE10" s="206">
        <f t="shared" si="2"/>
        <v>169343.99999999994</v>
      </c>
      <c r="CF10" s="206">
        <f t="shared" si="2"/>
        <v>169343.99999999994</v>
      </c>
      <c r="CG10" s="206">
        <f t="shared" si="2"/>
        <v>169343.99999999994</v>
      </c>
      <c r="CH10" s="206">
        <f t="shared" si="2"/>
        <v>169343.99999999994</v>
      </c>
      <c r="CI10" s="206">
        <f t="shared" si="2"/>
        <v>169343.99999999994</v>
      </c>
      <c r="CJ10" s="206">
        <f t="shared" si="2"/>
        <v>169343.99999999994</v>
      </c>
      <c r="CK10" s="206">
        <f t="shared" si="2"/>
        <v>169343.99999999994</v>
      </c>
      <c r="CL10" s="206">
        <f t="shared" si="2"/>
        <v>169343.99999999994</v>
      </c>
      <c r="CM10" s="206">
        <f t="shared" si="2"/>
        <v>169343.99999999994</v>
      </c>
      <c r="CN10" s="206">
        <f t="shared" si="2"/>
        <v>169343.99999999994</v>
      </c>
      <c r="CO10" s="206">
        <f t="shared" si="2"/>
        <v>169343.99999999994</v>
      </c>
      <c r="CP10" s="206">
        <f t="shared" si="2"/>
        <v>169343.99999999994</v>
      </c>
      <c r="CQ10" s="206">
        <f t="shared" si="2"/>
        <v>169343.99999999994</v>
      </c>
      <c r="CR10" s="206">
        <f t="shared" si="2"/>
        <v>169343.99999999994</v>
      </c>
      <c r="CS10" s="206">
        <f t="shared" si="3"/>
        <v>225792</v>
      </c>
      <c r="CT10" s="206">
        <f t="shared" si="3"/>
        <v>225792</v>
      </c>
      <c r="CU10" s="206">
        <f t="shared" si="3"/>
        <v>225792</v>
      </c>
      <c r="CV10" s="206">
        <f t="shared" si="3"/>
        <v>225792</v>
      </c>
      <c r="CW10" s="206">
        <f t="shared" si="3"/>
        <v>225792</v>
      </c>
      <c r="CX10" s="206">
        <f t="shared" si="3"/>
        <v>225792</v>
      </c>
      <c r="CY10" s="206">
        <f t="shared" si="3"/>
        <v>225792</v>
      </c>
      <c r="CZ10" s="206">
        <f t="shared" si="3"/>
        <v>225792</v>
      </c>
      <c r="DA10" s="206">
        <f t="shared" si="3"/>
        <v>225792</v>
      </c>
      <c r="DB10" s="206"/>
    </row>
    <row r="11" spans="1:106">
      <c r="A11" s="203" t="str">
        <f>Income!A81</f>
        <v>Self - employment</v>
      </c>
      <c r="B11" s="205">
        <f>Income!B81</f>
        <v>2567.0399999999995</v>
      </c>
      <c r="C11" s="205">
        <f>Income!C81</f>
        <v>7044.7999999999993</v>
      </c>
      <c r="D11" s="205">
        <f>Income!D81</f>
        <v>0</v>
      </c>
      <c r="E11" s="205">
        <f>Income!E81</f>
        <v>0</v>
      </c>
      <c r="F11" s="206">
        <f t="shared" si="4"/>
        <v>2567.0399999999995</v>
      </c>
      <c r="G11" s="206">
        <f t="shared" si="4"/>
        <v>2567.0399999999995</v>
      </c>
      <c r="H11" s="206">
        <f t="shared" si="4"/>
        <v>2567.0399999999995</v>
      </c>
      <c r="I11" s="206">
        <f t="shared" si="4"/>
        <v>2567.0399999999995</v>
      </c>
      <c r="J11" s="206">
        <f t="shared" si="4"/>
        <v>2567.0399999999995</v>
      </c>
      <c r="K11" s="206">
        <f t="shared" si="4"/>
        <v>2567.0399999999995</v>
      </c>
      <c r="L11" s="206">
        <f t="shared" si="4"/>
        <v>2567.0399999999995</v>
      </c>
      <c r="M11" s="206">
        <f t="shared" si="4"/>
        <v>2567.0399999999995</v>
      </c>
      <c r="N11" s="206">
        <f t="shared" si="4"/>
        <v>2567.0399999999995</v>
      </c>
      <c r="O11" s="206">
        <f t="shared" si="4"/>
        <v>2567.0399999999995</v>
      </c>
      <c r="P11" s="206">
        <f t="shared" si="4"/>
        <v>2567.0399999999995</v>
      </c>
      <c r="Q11" s="206">
        <f t="shared" si="4"/>
        <v>2567.0399999999995</v>
      </c>
      <c r="R11" s="206">
        <f t="shared" si="4"/>
        <v>2567.0399999999995</v>
      </c>
      <c r="S11" s="206">
        <f t="shared" si="4"/>
        <v>2567.0399999999995</v>
      </c>
      <c r="T11" s="206">
        <f t="shared" si="4"/>
        <v>2567.0399999999995</v>
      </c>
      <c r="U11" s="206">
        <f t="shared" si="4"/>
        <v>2567.0399999999995</v>
      </c>
      <c r="V11" s="206">
        <f t="shared" si="6"/>
        <v>2567.0399999999995</v>
      </c>
      <c r="W11" s="206">
        <f t="shared" si="6"/>
        <v>2567.0399999999995</v>
      </c>
      <c r="X11" s="206">
        <f t="shared" si="6"/>
        <v>2567.0399999999995</v>
      </c>
      <c r="Y11" s="206">
        <f t="shared" si="6"/>
        <v>2567.0399999999995</v>
      </c>
      <c r="Z11" s="206">
        <f t="shared" si="6"/>
        <v>2567.0399999999995</v>
      </c>
      <c r="AA11" s="206">
        <f t="shared" si="6"/>
        <v>2567.0399999999995</v>
      </c>
      <c r="AB11" s="206">
        <f t="shared" si="6"/>
        <v>2567.0399999999995</v>
      </c>
      <c r="AC11" s="206">
        <f t="shared" si="6"/>
        <v>2567.0399999999995</v>
      </c>
      <c r="AD11" s="206">
        <f t="shared" si="6"/>
        <v>2567.0399999999995</v>
      </c>
      <c r="AE11" s="206">
        <f t="shared" si="6"/>
        <v>7044.7999999999993</v>
      </c>
      <c r="AF11" s="206">
        <f t="shared" si="6"/>
        <v>7044.7999999999993</v>
      </c>
      <c r="AG11" s="206">
        <f t="shared" si="6"/>
        <v>7044.7999999999993</v>
      </c>
      <c r="AH11" s="206">
        <f t="shared" si="6"/>
        <v>7044.7999999999993</v>
      </c>
      <c r="AI11" s="206">
        <f t="shared" si="6"/>
        <v>7044.7999999999993</v>
      </c>
      <c r="AJ11" s="206">
        <f t="shared" si="6"/>
        <v>7044.7999999999993</v>
      </c>
      <c r="AK11" s="206">
        <f t="shared" si="6"/>
        <v>7044.7999999999993</v>
      </c>
      <c r="AL11" s="206">
        <f t="shared" si="7"/>
        <v>7044.7999999999993</v>
      </c>
      <c r="AM11" s="206">
        <f t="shared" si="7"/>
        <v>7044.7999999999993</v>
      </c>
      <c r="AN11" s="206">
        <f t="shared" si="7"/>
        <v>7044.7999999999993</v>
      </c>
      <c r="AO11" s="206">
        <f t="shared" si="7"/>
        <v>7044.7999999999993</v>
      </c>
      <c r="AP11" s="206">
        <f t="shared" si="7"/>
        <v>7044.7999999999993</v>
      </c>
      <c r="AQ11" s="206">
        <f t="shared" si="7"/>
        <v>7044.7999999999993</v>
      </c>
      <c r="AR11" s="206">
        <f t="shared" si="7"/>
        <v>7044.7999999999993</v>
      </c>
      <c r="AS11" s="206">
        <f t="shared" si="7"/>
        <v>7044.7999999999993</v>
      </c>
      <c r="AT11" s="206">
        <f t="shared" si="7"/>
        <v>7044.7999999999993</v>
      </c>
      <c r="AU11" s="206">
        <f t="shared" si="7"/>
        <v>7044.7999999999993</v>
      </c>
      <c r="AV11" s="206">
        <f t="shared" si="7"/>
        <v>7044.7999999999993</v>
      </c>
      <c r="AW11" s="206">
        <f t="shared" si="7"/>
        <v>7044.7999999999993</v>
      </c>
      <c r="AX11" s="206">
        <f t="shared" si="8"/>
        <v>7044.7999999999993</v>
      </c>
      <c r="AY11" s="206">
        <f t="shared" si="8"/>
        <v>7044.7999999999993</v>
      </c>
      <c r="AZ11" s="206">
        <f t="shared" si="8"/>
        <v>7044.7999999999993</v>
      </c>
      <c r="BA11" s="206">
        <f t="shared" si="8"/>
        <v>7044.7999999999993</v>
      </c>
      <c r="BB11" s="206">
        <f t="shared" si="8"/>
        <v>7044.7999999999993</v>
      </c>
      <c r="BC11" s="206">
        <f t="shared" si="8"/>
        <v>7044.7999999999993</v>
      </c>
      <c r="BD11" s="206">
        <f t="shared" si="8"/>
        <v>7044.7999999999993</v>
      </c>
      <c r="BE11" s="206">
        <f t="shared" si="8"/>
        <v>7044.7999999999993</v>
      </c>
      <c r="BF11" s="206">
        <f t="shared" si="8"/>
        <v>7044.7999999999993</v>
      </c>
      <c r="BG11" s="206">
        <f t="shared" si="8"/>
        <v>7044.7999999999993</v>
      </c>
      <c r="BH11" s="206">
        <f t="shared" si="8"/>
        <v>7044.7999999999993</v>
      </c>
      <c r="BI11" s="206">
        <f t="shared" si="8"/>
        <v>7044.7999999999993</v>
      </c>
      <c r="BJ11" s="206">
        <f t="shared" si="8"/>
        <v>7044.7999999999993</v>
      </c>
      <c r="BK11" s="206">
        <f t="shared" si="8"/>
        <v>7044.7999999999993</v>
      </c>
      <c r="BL11" s="206">
        <f t="shared" si="8"/>
        <v>7044.7999999999993</v>
      </c>
      <c r="BM11" s="206">
        <f t="shared" si="8"/>
        <v>7044.7999999999993</v>
      </c>
      <c r="BN11" s="206">
        <f t="shared" si="8"/>
        <v>7044.7999999999993</v>
      </c>
      <c r="BO11" s="206">
        <f t="shared" si="8"/>
        <v>7044.7999999999993</v>
      </c>
      <c r="BP11" s="206">
        <f t="shared" si="8"/>
        <v>7044.7999999999993</v>
      </c>
      <c r="BQ11" s="206">
        <f t="shared" si="8"/>
        <v>7044.7999999999993</v>
      </c>
      <c r="BR11" s="206">
        <f t="shared" si="8"/>
        <v>7044.7999999999993</v>
      </c>
      <c r="BS11" s="206">
        <f t="shared" si="8"/>
        <v>7044.7999999999993</v>
      </c>
      <c r="BT11" s="206">
        <f t="shared" si="8"/>
        <v>7044.7999999999993</v>
      </c>
      <c r="BU11" s="206">
        <f t="shared" si="8"/>
        <v>7044.7999999999993</v>
      </c>
      <c r="BV11" s="206">
        <f t="shared" si="8"/>
        <v>0</v>
      </c>
      <c r="BW11" s="206">
        <f t="shared" si="8"/>
        <v>0</v>
      </c>
      <c r="BX11" s="206">
        <f t="shared" si="8"/>
        <v>0</v>
      </c>
      <c r="BY11" s="206">
        <f t="shared" si="8"/>
        <v>0</v>
      </c>
      <c r="BZ11" s="206">
        <f t="shared" si="8"/>
        <v>0</v>
      </c>
      <c r="CA11" s="206">
        <f t="shared" si="2"/>
        <v>0</v>
      </c>
      <c r="CB11" s="206">
        <f t="shared" si="2"/>
        <v>0</v>
      </c>
      <c r="CC11" s="206">
        <f t="shared" si="2"/>
        <v>0</v>
      </c>
      <c r="CD11" s="206">
        <f t="shared" si="2"/>
        <v>0</v>
      </c>
      <c r="CE11" s="206">
        <f t="shared" si="2"/>
        <v>0</v>
      </c>
      <c r="CF11" s="206">
        <f t="shared" si="2"/>
        <v>0</v>
      </c>
      <c r="CG11" s="206">
        <f t="shared" si="2"/>
        <v>0</v>
      </c>
      <c r="CH11" s="206">
        <f t="shared" si="2"/>
        <v>0</v>
      </c>
      <c r="CI11" s="206">
        <f t="shared" si="2"/>
        <v>0</v>
      </c>
      <c r="CJ11" s="206">
        <f t="shared" si="2"/>
        <v>0</v>
      </c>
      <c r="CK11" s="206">
        <f t="shared" si="2"/>
        <v>0</v>
      </c>
      <c r="CL11" s="206">
        <f t="shared" si="2"/>
        <v>0</v>
      </c>
      <c r="CM11" s="206">
        <f t="shared" si="2"/>
        <v>0</v>
      </c>
      <c r="CN11" s="206">
        <f t="shared" si="2"/>
        <v>0</v>
      </c>
      <c r="CO11" s="206">
        <f t="shared" si="2"/>
        <v>0</v>
      </c>
      <c r="CP11" s="206">
        <f t="shared" si="2"/>
        <v>0</v>
      </c>
      <c r="CQ11" s="206">
        <f t="shared" si="2"/>
        <v>0</v>
      </c>
      <c r="CR11" s="206">
        <f t="shared" si="2"/>
        <v>0</v>
      </c>
      <c r="CS11" s="206">
        <f t="shared" si="3"/>
        <v>0</v>
      </c>
      <c r="CT11" s="206">
        <f t="shared" si="3"/>
        <v>0</v>
      </c>
      <c r="CU11" s="206">
        <f t="shared" si="3"/>
        <v>0</v>
      </c>
      <c r="CV11" s="206">
        <f t="shared" si="3"/>
        <v>0</v>
      </c>
      <c r="CW11" s="206">
        <f t="shared" si="3"/>
        <v>0</v>
      </c>
      <c r="CX11" s="206">
        <f t="shared" si="3"/>
        <v>0</v>
      </c>
      <c r="CY11" s="206">
        <f t="shared" si="3"/>
        <v>0</v>
      </c>
      <c r="CZ11" s="206">
        <f t="shared" si="3"/>
        <v>0</v>
      </c>
      <c r="DA11" s="206">
        <f t="shared" si="3"/>
        <v>0</v>
      </c>
      <c r="DB11" s="206"/>
    </row>
    <row r="12" spans="1:106">
      <c r="A12" s="203" t="str">
        <f>Income!A82</f>
        <v>Small business/petty trading</v>
      </c>
      <c r="B12" s="205">
        <f>Income!B82</f>
        <v>0</v>
      </c>
      <c r="C12" s="205">
        <f>Income!C82</f>
        <v>2150.3999999999996</v>
      </c>
      <c r="D12" s="205">
        <f>Income!D82</f>
        <v>41932.799999999988</v>
      </c>
      <c r="E12" s="205">
        <f>Income!E82</f>
        <v>106444.79999999997</v>
      </c>
      <c r="F12" s="206">
        <f t="shared" si="4"/>
        <v>0</v>
      </c>
      <c r="G12" s="206">
        <f t="shared" si="4"/>
        <v>0</v>
      </c>
      <c r="H12" s="206">
        <f t="shared" si="4"/>
        <v>0</v>
      </c>
      <c r="I12" s="206">
        <f t="shared" si="4"/>
        <v>0</v>
      </c>
      <c r="J12" s="206">
        <f t="shared" si="4"/>
        <v>0</v>
      </c>
      <c r="K12" s="206">
        <f t="shared" si="4"/>
        <v>0</v>
      </c>
      <c r="L12" s="206">
        <f t="shared" si="4"/>
        <v>0</v>
      </c>
      <c r="M12" s="206">
        <f t="shared" si="4"/>
        <v>0</v>
      </c>
      <c r="N12" s="206">
        <f t="shared" si="4"/>
        <v>0</v>
      </c>
      <c r="O12" s="206">
        <f t="shared" si="4"/>
        <v>0</v>
      </c>
      <c r="P12" s="206">
        <f t="shared" si="4"/>
        <v>0</v>
      </c>
      <c r="Q12" s="206">
        <f t="shared" si="4"/>
        <v>0</v>
      </c>
      <c r="R12" s="206">
        <f t="shared" si="4"/>
        <v>0</v>
      </c>
      <c r="S12" s="206">
        <f t="shared" si="4"/>
        <v>0</v>
      </c>
      <c r="T12" s="206">
        <f t="shared" si="4"/>
        <v>0</v>
      </c>
      <c r="U12" s="206">
        <f t="shared" si="4"/>
        <v>0</v>
      </c>
      <c r="V12" s="206">
        <f t="shared" si="6"/>
        <v>0</v>
      </c>
      <c r="W12" s="206">
        <f t="shared" si="6"/>
        <v>0</v>
      </c>
      <c r="X12" s="206">
        <f t="shared" si="6"/>
        <v>0</v>
      </c>
      <c r="Y12" s="206">
        <f t="shared" si="6"/>
        <v>0</v>
      </c>
      <c r="Z12" s="206">
        <f t="shared" si="6"/>
        <v>0</v>
      </c>
      <c r="AA12" s="206">
        <f t="shared" si="6"/>
        <v>0</v>
      </c>
      <c r="AB12" s="206">
        <f t="shared" si="6"/>
        <v>0</v>
      </c>
      <c r="AC12" s="206">
        <f t="shared" si="6"/>
        <v>0</v>
      </c>
      <c r="AD12" s="206">
        <f t="shared" si="6"/>
        <v>0</v>
      </c>
      <c r="AE12" s="206">
        <f t="shared" si="6"/>
        <v>2150.3999999999996</v>
      </c>
      <c r="AF12" s="206">
        <f t="shared" si="6"/>
        <v>2150.3999999999996</v>
      </c>
      <c r="AG12" s="206">
        <f t="shared" si="6"/>
        <v>2150.3999999999996</v>
      </c>
      <c r="AH12" s="206">
        <f t="shared" si="6"/>
        <v>2150.3999999999996</v>
      </c>
      <c r="AI12" s="206">
        <f t="shared" si="6"/>
        <v>2150.3999999999996</v>
      </c>
      <c r="AJ12" s="206">
        <f t="shared" si="6"/>
        <v>2150.3999999999996</v>
      </c>
      <c r="AK12" s="206">
        <f t="shared" si="6"/>
        <v>2150.3999999999996</v>
      </c>
      <c r="AL12" s="206">
        <f t="shared" si="7"/>
        <v>2150.3999999999996</v>
      </c>
      <c r="AM12" s="206">
        <f t="shared" si="7"/>
        <v>2150.3999999999996</v>
      </c>
      <c r="AN12" s="206">
        <f t="shared" si="7"/>
        <v>2150.3999999999996</v>
      </c>
      <c r="AO12" s="206">
        <f t="shared" si="7"/>
        <v>2150.3999999999996</v>
      </c>
      <c r="AP12" s="206">
        <f t="shared" si="7"/>
        <v>2150.3999999999996</v>
      </c>
      <c r="AQ12" s="206">
        <f t="shared" si="7"/>
        <v>2150.3999999999996</v>
      </c>
      <c r="AR12" s="206">
        <f t="shared" si="7"/>
        <v>2150.3999999999996</v>
      </c>
      <c r="AS12" s="206">
        <f t="shared" si="7"/>
        <v>2150.3999999999996</v>
      </c>
      <c r="AT12" s="206">
        <f t="shared" si="7"/>
        <v>2150.3999999999996</v>
      </c>
      <c r="AU12" s="206">
        <f t="shared" si="7"/>
        <v>2150.3999999999996</v>
      </c>
      <c r="AV12" s="206">
        <f t="shared" si="7"/>
        <v>2150.3999999999996</v>
      </c>
      <c r="AW12" s="206">
        <f t="shared" si="7"/>
        <v>2150.3999999999996</v>
      </c>
      <c r="AX12" s="206">
        <f t="shared" si="8"/>
        <v>2150.3999999999996</v>
      </c>
      <c r="AY12" s="206">
        <f t="shared" si="8"/>
        <v>2150.3999999999996</v>
      </c>
      <c r="AZ12" s="206">
        <f t="shared" si="8"/>
        <v>2150.3999999999996</v>
      </c>
      <c r="BA12" s="206">
        <f t="shared" si="8"/>
        <v>2150.3999999999996</v>
      </c>
      <c r="BB12" s="206">
        <f t="shared" si="8"/>
        <v>2150.3999999999996</v>
      </c>
      <c r="BC12" s="206">
        <f t="shared" si="8"/>
        <v>2150.3999999999996</v>
      </c>
      <c r="BD12" s="206">
        <f t="shared" si="8"/>
        <v>2150.3999999999996</v>
      </c>
      <c r="BE12" s="206">
        <f t="shared" si="8"/>
        <v>2150.3999999999996</v>
      </c>
      <c r="BF12" s="206">
        <f t="shared" si="8"/>
        <v>2150.3999999999996</v>
      </c>
      <c r="BG12" s="206">
        <f t="shared" si="8"/>
        <v>2150.3999999999996</v>
      </c>
      <c r="BH12" s="206">
        <f t="shared" si="8"/>
        <v>2150.3999999999996</v>
      </c>
      <c r="BI12" s="206">
        <f t="shared" si="8"/>
        <v>2150.3999999999996</v>
      </c>
      <c r="BJ12" s="206">
        <f t="shared" si="8"/>
        <v>2150.3999999999996</v>
      </c>
      <c r="BK12" s="206">
        <f t="shared" si="8"/>
        <v>2150.3999999999996</v>
      </c>
      <c r="BL12" s="206">
        <f t="shared" si="8"/>
        <v>2150.3999999999996</v>
      </c>
      <c r="BM12" s="206">
        <f t="shared" si="8"/>
        <v>2150.3999999999996</v>
      </c>
      <c r="BN12" s="206">
        <f t="shared" si="8"/>
        <v>2150.3999999999996</v>
      </c>
      <c r="BO12" s="206">
        <f t="shared" si="8"/>
        <v>2150.3999999999996</v>
      </c>
      <c r="BP12" s="206">
        <f t="shared" si="8"/>
        <v>2150.3999999999996</v>
      </c>
      <c r="BQ12" s="206">
        <f t="shared" si="8"/>
        <v>2150.3999999999996</v>
      </c>
      <c r="BR12" s="206">
        <f t="shared" si="8"/>
        <v>2150.3999999999996</v>
      </c>
      <c r="BS12" s="206">
        <f t="shared" si="8"/>
        <v>2150.3999999999996</v>
      </c>
      <c r="BT12" s="206">
        <f t="shared" si="8"/>
        <v>2150.3999999999996</v>
      </c>
      <c r="BU12" s="206">
        <f t="shared" si="8"/>
        <v>2150.3999999999996</v>
      </c>
      <c r="BV12" s="206">
        <f t="shared" si="8"/>
        <v>41932.799999999988</v>
      </c>
      <c r="BW12" s="206">
        <f t="shared" si="8"/>
        <v>41932.799999999988</v>
      </c>
      <c r="BX12" s="206">
        <f t="shared" si="8"/>
        <v>41932.799999999988</v>
      </c>
      <c r="BY12" s="206">
        <f t="shared" si="8"/>
        <v>41932.799999999988</v>
      </c>
      <c r="BZ12" s="206">
        <f t="shared" si="8"/>
        <v>41932.799999999988</v>
      </c>
      <c r="CA12" s="206">
        <f t="shared" si="2"/>
        <v>41932.799999999988</v>
      </c>
      <c r="CB12" s="206">
        <f t="shared" si="2"/>
        <v>41932.799999999988</v>
      </c>
      <c r="CC12" s="206">
        <f t="shared" si="2"/>
        <v>41932.799999999988</v>
      </c>
      <c r="CD12" s="206">
        <f t="shared" si="2"/>
        <v>41932.799999999988</v>
      </c>
      <c r="CE12" s="206">
        <f t="shared" si="2"/>
        <v>41932.799999999988</v>
      </c>
      <c r="CF12" s="206">
        <f t="shared" si="2"/>
        <v>41932.799999999988</v>
      </c>
      <c r="CG12" s="206">
        <f t="shared" si="2"/>
        <v>41932.799999999988</v>
      </c>
      <c r="CH12" s="206">
        <f t="shared" si="2"/>
        <v>41932.799999999988</v>
      </c>
      <c r="CI12" s="206">
        <f t="shared" si="2"/>
        <v>41932.799999999988</v>
      </c>
      <c r="CJ12" s="206">
        <f t="shared" si="2"/>
        <v>41932.799999999988</v>
      </c>
      <c r="CK12" s="206">
        <f t="shared" si="2"/>
        <v>41932.799999999988</v>
      </c>
      <c r="CL12" s="206">
        <f t="shared" si="2"/>
        <v>41932.799999999988</v>
      </c>
      <c r="CM12" s="206">
        <f t="shared" si="2"/>
        <v>41932.799999999988</v>
      </c>
      <c r="CN12" s="206">
        <f t="shared" si="2"/>
        <v>41932.799999999988</v>
      </c>
      <c r="CO12" s="206">
        <f t="shared" si="2"/>
        <v>41932.799999999988</v>
      </c>
      <c r="CP12" s="206">
        <f t="shared" si="2"/>
        <v>41932.799999999988</v>
      </c>
      <c r="CQ12" s="206">
        <f t="shared" si="2"/>
        <v>41932.799999999988</v>
      </c>
      <c r="CR12" s="206">
        <f t="shared" si="2"/>
        <v>41932.799999999988</v>
      </c>
      <c r="CS12" s="206">
        <f t="shared" si="3"/>
        <v>106444.79999999997</v>
      </c>
      <c r="CT12" s="206">
        <f t="shared" si="3"/>
        <v>106444.79999999997</v>
      </c>
      <c r="CU12" s="206">
        <f t="shared" si="3"/>
        <v>106444.79999999997</v>
      </c>
      <c r="CV12" s="206">
        <f t="shared" si="3"/>
        <v>106444.79999999997</v>
      </c>
      <c r="CW12" s="206">
        <f t="shared" si="3"/>
        <v>106444.79999999997</v>
      </c>
      <c r="CX12" s="206">
        <f t="shared" si="3"/>
        <v>106444.79999999997</v>
      </c>
      <c r="CY12" s="206">
        <f t="shared" si="3"/>
        <v>106444.79999999997</v>
      </c>
      <c r="CZ12" s="206">
        <f t="shared" si="3"/>
        <v>106444.79999999997</v>
      </c>
      <c r="DA12" s="206">
        <f t="shared" si="3"/>
        <v>106444.79999999997</v>
      </c>
      <c r="DB12" s="206"/>
    </row>
    <row r="13" spans="1:106">
      <c r="A13" s="203" t="str">
        <f>Income!A83</f>
        <v>Food transfer - official</v>
      </c>
      <c r="B13" s="205">
        <f>Income!B83</f>
        <v>0</v>
      </c>
      <c r="C13" s="205">
        <f>Income!C83</f>
        <v>61.259668508287291</v>
      </c>
      <c r="D13" s="205">
        <f>Income!D83</f>
        <v>73.511602209944741</v>
      </c>
      <c r="E13" s="205">
        <f>Income!E83</f>
        <v>0</v>
      </c>
      <c r="F13" s="206">
        <f t="shared" si="4"/>
        <v>0</v>
      </c>
      <c r="G13" s="206">
        <f t="shared" si="4"/>
        <v>0</v>
      </c>
      <c r="H13" s="206">
        <f t="shared" si="4"/>
        <v>0</v>
      </c>
      <c r="I13" s="206">
        <f t="shared" si="4"/>
        <v>0</v>
      </c>
      <c r="J13" s="206">
        <f t="shared" si="4"/>
        <v>0</v>
      </c>
      <c r="K13" s="206">
        <f t="shared" si="4"/>
        <v>0</v>
      </c>
      <c r="L13" s="206">
        <f t="shared" si="4"/>
        <v>0</v>
      </c>
      <c r="M13" s="206">
        <f t="shared" si="4"/>
        <v>0</v>
      </c>
      <c r="N13" s="206">
        <f t="shared" si="4"/>
        <v>0</v>
      </c>
      <c r="O13" s="206">
        <f t="shared" si="4"/>
        <v>0</v>
      </c>
      <c r="P13" s="206">
        <f t="shared" si="4"/>
        <v>0</v>
      </c>
      <c r="Q13" s="206">
        <f t="shared" si="4"/>
        <v>0</v>
      </c>
      <c r="R13" s="206">
        <f t="shared" si="4"/>
        <v>0</v>
      </c>
      <c r="S13" s="206">
        <f t="shared" si="4"/>
        <v>0</v>
      </c>
      <c r="T13" s="206">
        <f t="shared" si="4"/>
        <v>0</v>
      </c>
      <c r="U13" s="206">
        <f t="shared" si="4"/>
        <v>0</v>
      </c>
      <c r="V13" s="206">
        <f t="shared" si="6"/>
        <v>0</v>
      </c>
      <c r="W13" s="206">
        <f t="shared" si="6"/>
        <v>0</v>
      </c>
      <c r="X13" s="206">
        <f t="shared" si="6"/>
        <v>0</v>
      </c>
      <c r="Y13" s="206">
        <f t="shared" si="6"/>
        <v>0</v>
      </c>
      <c r="Z13" s="206">
        <f t="shared" si="6"/>
        <v>0</v>
      </c>
      <c r="AA13" s="206">
        <f t="shared" si="6"/>
        <v>0</v>
      </c>
      <c r="AB13" s="206">
        <f t="shared" si="6"/>
        <v>0</v>
      </c>
      <c r="AC13" s="206">
        <f t="shared" si="6"/>
        <v>0</v>
      </c>
      <c r="AD13" s="206">
        <f t="shared" si="6"/>
        <v>0</v>
      </c>
      <c r="AE13" s="206">
        <f t="shared" si="6"/>
        <v>61.259668508287291</v>
      </c>
      <c r="AF13" s="206">
        <f t="shared" si="6"/>
        <v>61.259668508287291</v>
      </c>
      <c r="AG13" s="206">
        <f t="shared" si="6"/>
        <v>61.259668508287291</v>
      </c>
      <c r="AH13" s="206">
        <f t="shared" si="6"/>
        <v>61.259668508287291</v>
      </c>
      <c r="AI13" s="206">
        <f t="shared" si="6"/>
        <v>61.259668508287291</v>
      </c>
      <c r="AJ13" s="206">
        <f t="shared" si="6"/>
        <v>61.259668508287291</v>
      </c>
      <c r="AK13" s="206">
        <f t="shared" si="6"/>
        <v>61.259668508287291</v>
      </c>
      <c r="AL13" s="206">
        <f t="shared" si="7"/>
        <v>61.259668508287291</v>
      </c>
      <c r="AM13" s="206">
        <f t="shared" si="7"/>
        <v>61.259668508287291</v>
      </c>
      <c r="AN13" s="206">
        <f t="shared" si="7"/>
        <v>61.259668508287291</v>
      </c>
      <c r="AO13" s="206">
        <f t="shared" si="7"/>
        <v>61.259668508287291</v>
      </c>
      <c r="AP13" s="206">
        <f t="shared" si="7"/>
        <v>61.259668508287291</v>
      </c>
      <c r="AQ13" s="206">
        <f t="shared" si="7"/>
        <v>61.259668508287291</v>
      </c>
      <c r="AR13" s="206">
        <f t="shared" si="7"/>
        <v>61.259668508287291</v>
      </c>
      <c r="AS13" s="206">
        <f t="shared" si="7"/>
        <v>61.259668508287291</v>
      </c>
      <c r="AT13" s="206">
        <f t="shared" si="7"/>
        <v>61.259668508287291</v>
      </c>
      <c r="AU13" s="206">
        <f t="shared" si="7"/>
        <v>61.259668508287291</v>
      </c>
      <c r="AV13" s="206">
        <f t="shared" si="7"/>
        <v>61.259668508287291</v>
      </c>
      <c r="AW13" s="206">
        <f t="shared" si="7"/>
        <v>61.259668508287291</v>
      </c>
      <c r="AX13" s="206">
        <f t="shared" si="8"/>
        <v>61.259668508287291</v>
      </c>
      <c r="AY13" s="206">
        <f t="shared" si="8"/>
        <v>61.259668508287291</v>
      </c>
      <c r="AZ13" s="206">
        <f t="shared" si="8"/>
        <v>61.259668508287291</v>
      </c>
      <c r="BA13" s="206">
        <f t="shared" si="8"/>
        <v>61.259668508287291</v>
      </c>
      <c r="BB13" s="206">
        <f t="shared" si="8"/>
        <v>61.259668508287291</v>
      </c>
      <c r="BC13" s="206">
        <f t="shared" si="8"/>
        <v>61.259668508287291</v>
      </c>
      <c r="BD13" s="206">
        <f t="shared" si="8"/>
        <v>61.259668508287291</v>
      </c>
      <c r="BE13" s="206">
        <f t="shared" si="8"/>
        <v>61.259668508287291</v>
      </c>
      <c r="BF13" s="206">
        <f t="shared" si="8"/>
        <v>61.259668508287291</v>
      </c>
      <c r="BG13" s="206">
        <f t="shared" si="8"/>
        <v>61.259668508287291</v>
      </c>
      <c r="BH13" s="206">
        <f t="shared" si="8"/>
        <v>61.259668508287291</v>
      </c>
      <c r="BI13" s="206">
        <f t="shared" si="8"/>
        <v>61.259668508287291</v>
      </c>
      <c r="BJ13" s="206">
        <f t="shared" si="8"/>
        <v>61.259668508287291</v>
      </c>
      <c r="BK13" s="206">
        <f t="shared" si="8"/>
        <v>61.259668508287291</v>
      </c>
      <c r="BL13" s="206">
        <f t="shared" si="8"/>
        <v>61.259668508287291</v>
      </c>
      <c r="BM13" s="206">
        <f t="shared" si="8"/>
        <v>61.259668508287291</v>
      </c>
      <c r="BN13" s="206">
        <f t="shared" si="8"/>
        <v>61.259668508287291</v>
      </c>
      <c r="BO13" s="206">
        <f t="shared" si="8"/>
        <v>61.259668508287291</v>
      </c>
      <c r="BP13" s="206">
        <f t="shared" si="8"/>
        <v>61.259668508287291</v>
      </c>
      <c r="BQ13" s="206">
        <f t="shared" si="8"/>
        <v>61.259668508287291</v>
      </c>
      <c r="BR13" s="206">
        <f t="shared" si="8"/>
        <v>61.259668508287291</v>
      </c>
      <c r="BS13" s="206">
        <f t="shared" si="8"/>
        <v>61.259668508287291</v>
      </c>
      <c r="BT13" s="206">
        <f t="shared" si="8"/>
        <v>61.259668508287291</v>
      </c>
      <c r="BU13" s="206">
        <f t="shared" si="8"/>
        <v>61.259668508287291</v>
      </c>
      <c r="BV13" s="206">
        <f t="shared" si="8"/>
        <v>73.511602209944741</v>
      </c>
      <c r="BW13" s="206">
        <f t="shared" si="8"/>
        <v>73.511602209944741</v>
      </c>
      <c r="BX13" s="206">
        <f t="shared" si="8"/>
        <v>73.511602209944741</v>
      </c>
      <c r="BY13" s="206">
        <f t="shared" si="8"/>
        <v>73.511602209944741</v>
      </c>
      <c r="BZ13" s="206">
        <f t="shared" si="8"/>
        <v>73.511602209944741</v>
      </c>
      <c r="CA13" s="206">
        <f t="shared" si="2"/>
        <v>73.511602209944741</v>
      </c>
      <c r="CB13" s="206">
        <f t="shared" si="2"/>
        <v>73.511602209944741</v>
      </c>
      <c r="CC13" s="206">
        <f t="shared" si="2"/>
        <v>73.511602209944741</v>
      </c>
      <c r="CD13" s="206">
        <f t="shared" si="2"/>
        <v>73.511602209944741</v>
      </c>
      <c r="CE13" s="206">
        <f t="shared" si="2"/>
        <v>73.511602209944741</v>
      </c>
      <c r="CF13" s="206">
        <f t="shared" si="2"/>
        <v>73.511602209944741</v>
      </c>
      <c r="CG13" s="206">
        <f t="shared" si="2"/>
        <v>73.511602209944741</v>
      </c>
      <c r="CH13" s="206">
        <f t="shared" si="2"/>
        <v>73.511602209944741</v>
      </c>
      <c r="CI13" s="206">
        <f t="shared" si="2"/>
        <v>73.511602209944741</v>
      </c>
      <c r="CJ13" s="206">
        <f t="shared" si="2"/>
        <v>73.511602209944741</v>
      </c>
      <c r="CK13" s="206">
        <f t="shared" si="2"/>
        <v>73.511602209944741</v>
      </c>
      <c r="CL13" s="206">
        <f t="shared" si="2"/>
        <v>73.511602209944741</v>
      </c>
      <c r="CM13" s="206">
        <f t="shared" si="2"/>
        <v>73.511602209944741</v>
      </c>
      <c r="CN13" s="206">
        <f t="shared" si="2"/>
        <v>73.511602209944741</v>
      </c>
      <c r="CO13" s="206">
        <f t="shared" si="2"/>
        <v>73.511602209944741</v>
      </c>
      <c r="CP13" s="206">
        <f t="shared" si="2"/>
        <v>73.511602209944741</v>
      </c>
      <c r="CQ13" s="206">
        <f t="shared" si="2"/>
        <v>73.511602209944741</v>
      </c>
      <c r="CR13" s="206">
        <f t="shared" si="2"/>
        <v>73.511602209944741</v>
      </c>
      <c r="CS13" s="206">
        <f t="shared" si="3"/>
        <v>0</v>
      </c>
      <c r="CT13" s="206">
        <f t="shared" si="3"/>
        <v>0</v>
      </c>
      <c r="CU13" s="206">
        <f t="shared" si="3"/>
        <v>0</v>
      </c>
      <c r="CV13" s="206">
        <f t="shared" si="3"/>
        <v>0</v>
      </c>
      <c r="CW13" s="206">
        <f t="shared" si="3"/>
        <v>0</v>
      </c>
      <c r="CX13" s="206">
        <f t="shared" si="3"/>
        <v>0</v>
      </c>
      <c r="CY13" s="206">
        <f t="shared" si="3"/>
        <v>0</v>
      </c>
      <c r="CZ13" s="206">
        <f t="shared" si="3"/>
        <v>0</v>
      </c>
      <c r="DA13" s="206">
        <f t="shared" si="3"/>
        <v>0</v>
      </c>
      <c r="DB13" s="206"/>
    </row>
    <row r="14" spans="1:106">
      <c r="A14" s="203" t="str">
        <f>Income!A85</f>
        <v>Cash transfer - official</v>
      </c>
      <c r="B14" s="205">
        <f>Income!B85</f>
        <v>18197.817647058822</v>
      </c>
      <c r="C14" s="205">
        <f>Income!C85</f>
        <v>18197.817647058822</v>
      </c>
      <c r="D14" s="205">
        <f>Income!D85</f>
        <v>8854.44</v>
      </c>
      <c r="E14" s="205">
        <f>Income!E85</f>
        <v>8854.44</v>
      </c>
      <c r="F14" s="206">
        <f t="shared" si="4"/>
        <v>18197.817647058822</v>
      </c>
      <c r="G14" s="206">
        <f t="shared" si="4"/>
        <v>18197.817647058822</v>
      </c>
      <c r="H14" s="206">
        <f t="shared" si="4"/>
        <v>18197.817647058822</v>
      </c>
      <c r="I14" s="206">
        <f t="shared" si="4"/>
        <v>18197.817647058822</v>
      </c>
      <c r="J14" s="206">
        <f t="shared" si="4"/>
        <v>18197.817647058822</v>
      </c>
      <c r="K14" s="206">
        <f t="shared" si="4"/>
        <v>18197.817647058822</v>
      </c>
      <c r="L14" s="206">
        <f t="shared" si="4"/>
        <v>18197.817647058822</v>
      </c>
      <c r="M14" s="206">
        <f t="shared" si="4"/>
        <v>18197.817647058822</v>
      </c>
      <c r="N14" s="206">
        <f t="shared" si="4"/>
        <v>18197.817647058822</v>
      </c>
      <c r="O14" s="206">
        <f t="shared" si="4"/>
        <v>18197.817647058822</v>
      </c>
      <c r="P14" s="206">
        <f t="shared" si="4"/>
        <v>18197.817647058822</v>
      </c>
      <c r="Q14" s="206">
        <f t="shared" si="4"/>
        <v>18197.817647058822</v>
      </c>
      <c r="R14" s="206">
        <f t="shared" si="4"/>
        <v>18197.817647058822</v>
      </c>
      <c r="S14" s="206">
        <f t="shared" si="4"/>
        <v>18197.817647058822</v>
      </c>
      <c r="T14" s="206">
        <f t="shared" si="4"/>
        <v>18197.817647058822</v>
      </c>
      <c r="U14" s="206">
        <f t="shared" si="4"/>
        <v>18197.817647058822</v>
      </c>
      <c r="V14" s="206">
        <f t="shared" si="6"/>
        <v>18197.817647058822</v>
      </c>
      <c r="W14" s="206">
        <f t="shared" si="6"/>
        <v>18197.817647058822</v>
      </c>
      <c r="X14" s="206">
        <f t="shared" si="6"/>
        <v>18197.817647058822</v>
      </c>
      <c r="Y14" s="206">
        <f t="shared" si="6"/>
        <v>18197.817647058822</v>
      </c>
      <c r="Z14" s="206">
        <f t="shared" si="6"/>
        <v>18197.817647058822</v>
      </c>
      <c r="AA14" s="206">
        <f t="shared" si="6"/>
        <v>18197.817647058822</v>
      </c>
      <c r="AB14" s="206">
        <f t="shared" si="6"/>
        <v>18197.817647058822</v>
      </c>
      <c r="AC14" s="206">
        <f t="shared" si="6"/>
        <v>18197.817647058822</v>
      </c>
      <c r="AD14" s="206">
        <f t="shared" si="6"/>
        <v>18197.817647058822</v>
      </c>
      <c r="AE14" s="206">
        <f t="shared" si="6"/>
        <v>18197.817647058822</v>
      </c>
      <c r="AF14" s="206">
        <f t="shared" si="6"/>
        <v>18197.817647058822</v>
      </c>
      <c r="AG14" s="206">
        <f t="shared" si="6"/>
        <v>18197.817647058822</v>
      </c>
      <c r="AH14" s="206">
        <f t="shared" si="6"/>
        <v>18197.817647058822</v>
      </c>
      <c r="AI14" s="206">
        <f t="shared" si="6"/>
        <v>18197.817647058822</v>
      </c>
      <c r="AJ14" s="206">
        <f t="shared" si="6"/>
        <v>18197.817647058822</v>
      </c>
      <c r="AK14" s="206">
        <f t="shared" si="6"/>
        <v>18197.817647058822</v>
      </c>
      <c r="AL14" s="206">
        <f t="shared" si="7"/>
        <v>18197.817647058822</v>
      </c>
      <c r="AM14" s="206">
        <f t="shared" si="7"/>
        <v>18197.817647058822</v>
      </c>
      <c r="AN14" s="206">
        <f t="shared" si="7"/>
        <v>18197.817647058822</v>
      </c>
      <c r="AO14" s="206">
        <f t="shared" si="7"/>
        <v>18197.817647058822</v>
      </c>
      <c r="AP14" s="206">
        <f t="shared" si="7"/>
        <v>18197.817647058822</v>
      </c>
      <c r="AQ14" s="206">
        <f t="shared" si="7"/>
        <v>18197.817647058822</v>
      </c>
      <c r="AR14" s="206">
        <f t="shared" si="7"/>
        <v>18197.817647058822</v>
      </c>
      <c r="AS14" s="206">
        <f t="shared" si="7"/>
        <v>18197.817647058822</v>
      </c>
      <c r="AT14" s="206">
        <f t="shared" si="7"/>
        <v>18197.817647058822</v>
      </c>
      <c r="AU14" s="206">
        <f t="shared" si="7"/>
        <v>18197.817647058822</v>
      </c>
      <c r="AV14" s="206">
        <f t="shared" si="7"/>
        <v>18197.817647058822</v>
      </c>
      <c r="AW14" s="206">
        <f t="shared" si="7"/>
        <v>18197.817647058822</v>
      </c>
      <c r="AX14" s="206">
        <f t="shared" si="7"/>
        <v>18197.817647058822</v>
      </c>
      <c r="AY14" s="206">
        <f t="shared" si="7"/>
        <v>18197.817647058822</v>
      </c>
      <c r="AZ14" s="206">
        <f t="shared" si="7"/>
        <v>18197.817647058822</v>
      </c>
      <c r="BA14" s="206">
        <f t="shared" si="7"/>
        <v>18197.817647058822</v>
      </c>
      <c r="BB14" s="206">
        <f t="shared" si="8"/>
        <v>18197.817647058822</v>
      </c>
      <c r="BC14" s="206">
        <f t="shared" si="8"/>
        <v>18197.817647058822</v>
      </c>
      <c r="BD14" s="206">
        <f t="shared" si="8"/>
        <v>18197.817647058822</v>
      </c>
      <c r="BE14" s="206">
        <f t="shared" si="8"/>
        <v>18197.817647058822</v>
      </c>
      <c r="BF14" s="206">
        <f t="shared" si="8"/>
        <v>18197.817647058822</v>
      </c>
      <c r="BG14" s="206">
        <f t="shared" si="8"/>
        <v>18197.817647058822</v>
      </c>
      <c r="BH14" s="206">
        <f t="shared" si="8"/>
        <v>18197.817647058822</v>
      </c>
      <c r="BI14" s="206">
        <f t="shared" si="8"/>
        <v>18197.817647058822</v>
      </c>
      <c r="BJ14" s="206">
        <f t="shared" si="8"/>
        <v>18197.817647058822</v>
      </c>
      <c r="BK14" s="206">
        <f t="shared" si="8"/>
        <v>18197.817647058822</v>
      </c>
      <c r="BL14" s="206">
        <f t="shared" si="8"/>
        <v>18197.817647058822</v>
      </c>
      <c r="BM14" s="206">
        <f t="shared" si="8"/>
        <v>18197.817647058822</v>
      </c>
      <c r="BN14" s="206">
        <f t="shared" si="8"/>
        <v>18197.817647058822</v>
      </c>
      <c r="BO14" s="206">
        <f t="shared" si="8"/>
        <v>18197.817647058822</v>
      </c>
      <c r="BP14" s="206">
        <f t="shared" si="8"/>
        <v>18197.817647058822</v>
      </c>
      <c r="BQ14" s="206">
        <f t="shared" si="8"/>
        <v>18197.817647058822</v>
      </c>
      <c r="BR14" s="206">
        <f t="shared" si="8"/>
        <v>18197.817647058822</v>
      </c>
      <c r="BS14" s="206">
        <f t="shared" si="8"/>
        <v>18197.817647058822</v>
      </c>
      <c r="BT14" s="206">
        <f t="shared" si="8"/>
        <v>18197.817647058822</v>
      </c>
      <c r="BU14" s="206">
        <f t="shared" si="8"/>
        <v>18197.817647058822</v>
      </c>
      <c r="BV14" s="206">
        <f t="shared" si="8"/>
        <v>8854.44</v>
      </c>
      <c r="BW14" s="206">
        <f t="shared" si="8"/>
        <v>8854.44</v>
      </c>
      <c r="BX14" s="206">
        <f t="shared" si="8"/>
        <v>8854.44</v>
      </c>
      <c r="BY14" s="206">
        <f t="shared" si="8"/>
        <v>8854.44</v>
      </c>
      <c r="BZ14" s="206">
        <f t="shared" si="8"/>
        <v>8854.44</v>
      </c>
      <c r="CA14" s="206">
        <f t="shared" si="2"/>
        <v>8854.44</v>
      </c>
      <c r="CB14" s="206">
        <f t="shared" si="2"/>
        <v>8854.44</v>
      </c>
      <c r="CC14" s="206">
        <f t="shared" si="2"/>
        <v>8854.44</v>
      </c>
      <c r="CD14" s="206">
        <f t="shared" si="2"/>
        <v>8854.44</v>
      </c>
      <c r="CE14" s="206">
        <f t="shared" si="2"/>
        <v>8854.44</v>
      </c>
      <c r="CF14" s="206">
        <f t="shared" si="2"/>
        <v>8854.44</v>
      </c>
      <c r="CG14" s="206">
        <f t="shared" si="2"/>
        <v>8854.44</v>
      </c>
      <c r="CH14" s="206">
        <f t="shared" si="2"/>
        <v>8854.44</v>
      </c>
      <c r="CI14" s="206">
        <f t="shared" si="2"/>
        <v>8854.44</v>
      </c>
      <c r="CJ14" s="206">
        <f t="shared" si="2"/>
        <v>8854.44</v>
      </c>
      <c r="CK14" s="206">
        <f t="shared" si="2"/>
        <v>8854.44</v>
      </c>
      <c r="CL14" s="206">
        <f t="shared" si="2"/>
        <v>8854.44</v>
      </c>
      <c r="CM14" s="206">
        <f t="shared" si="2"/>
        <v>8854.44</v>
      </c>
      <c r="CN14" s="206">
        <f t="shared" si="2"/>
        <v>8854.44</v>
      </c>
      <c r="CO14" s="206">
        <f t="shared" si="2"/>
        <v>8854.44</v>
      </c>
      <c r="CP14" s="206">
        <f t="shared" si="2"/>
        <v>8854.44</v>
      </c>
      <c r="CQ14" s="206">
        <f t="shared" si="2"/>
        <v>8854.44</v>
      </c>
      <c r="CR14" s="206">
        <f t="shared" si="2"/>
        <v>8854.44</v>
      </c>
      <c r="CS14" s="206">
        <f t="shared" si="3"/>
        <v>8854.44</v>
      </c>
      <c r="CT14" s="206">
        <f t="shared" si="3"/>
        <v>8854.44</v>
      </c>
      <c r="CU14" s="206">
        <f t="shared" si="3"/>
        <v>8854.44</v>
      </c>
      <c r="CV14" s="206">
        <f t="shared" si="3"/>
        <v>8854.44</v>
      </c>
      <c r="CW14" s="206">
        <f t="shared" si="3"/>
        <v>8854.44</v>
      </c>
      <c r="CX14" s="206">
        <f t="shared" si="3"/>
        <v>8854.44</v>
      </c>
      <c r="CY14" s="206">
        <f t="shared" si="3"/>
        <v>8854.44</v>
      </c>
      <c r="CZ14" s="206">
        <f t="shared" si="3"/>
        <v>8854.44</v>
      </c>
      <c r="DA14" s="206">
        <f t="shared" si="3"/>
        <v>8854.44</v>
      </c>
      <c r="DB14" s="206"/>
    </row>
    <row r="15" spans="1:106">
      <c r="A15" s="203" t="str">
        <f>Income!A86</f>
        <v>Cash transfer - gifts</v>
      </c>
      <c r="B15" s="205">
        <f>Income!B86</f>
        <v>0</v>
      </c>
      <c r="C15" s="205">
        <f>Income!C86</f>
        <v>1679.9999999999998</v>
      </c>
      <c r="D15" s="205">
        <f>Income!D86</f>
        <v>0</v>
      </c>
      <c r="E15" s="205">
        <f>Income!E86</f>
        <v>0</v>
      </c>
      <c r="F15" s="206">
        <f t="shared" si="4"/>
        <v>0</v>
      </c>
      <c r="G15" s="206">
        <f t="shared" si="4"/>
        <v>0</v>
      </c>
      <c r="H15" s="206">
        <f t="shared" si="4"/>
        <v>0</v>
      </c>
      <c r="I15" s="206">
        <f t="shared" si="4"/>
        <v>0</v>
      </c>
      <c r="J15" s="206">
        <f t="shared" si="4"/>
        <v>0</v>
      </c>
      <c r="K15" s="206">
        <f t="shared" si="4"/>
        <v>0</v>
      </c>
      <c r="L15" s="206">
        <f t="shared" si="4"/>
        <v>0</v>
      </c>
      <c r="M15" s="206">
        <f t="shared" si="4"/>
        <v>0</v>
      </c>
      <c r="N15" s="206">
        <f t="shared" si="4"/>
        <v>0</v>
      </c>
      <c r="O15" s="206">
        <f t="shared" si="4"/>
        <v>0</v>
      </c>
      <c r="P15" s="206">
        <f t="shared" si="4"/>
        <v>0</v>
      </c>
      <c r="Q15" s="206">
        <f t="shared" si="4"/>
        <v>0</v>
      </c>
      <c r="R15" s="206">
        <f t="shared" si="4"/>
        <v>0</v>
      </c>
      <c r="S15" s="206">
        <f t="shared" si="4"/>
        <v>0</v>
      </c>
      <c r="T15" s="206">
        <f t="shared" si="4"/>
        <v>0</v>
      </c>
      <c r="U15" s="206">
        <f t="shared" si="4"/>
        <v>0</v>
      </c>
      <c r="V15" s="206">
        <f t="shared" si="6"/>
        <v>0</v>
      </c>
      <c r="W15" s="206">
        <f t="shared" si="6"/>
        <v>0</v>
      </c>
      <c r="X15" s="206">
        <f t="shared" si="6"/>
        <v>0</v>
      </c>
      <c r="Y15" s="206">
        <f t="shared" si="6"/>
        <v>0</v>
      </c>
      <c r="Z15" s="206">
        <f t="shared" si="6"/>
        <v>0</v>
      </c>
      <c r="AA15" s="206">
        <f t="shared" si="6"/>
        <v>0</v>
      </c>
      <c r="AB15" s="206">
        <f t="shared" si="6"/>
        <v>0</v>
      </c>
      <c r="AC15" s="206">
        <f t="shared" si="6"/>
        <v>0</v>
      </c>
      <c r="AD15" s="206">
        <f t="shared" si="6"/>
        <v>0</v>
      </c>
      <c r="AE15" s="206">
        <f t="shared" si="6"/>
        <v>1679.9999999999998</v>
      </c>
      <c r="AF15" s="206">
        <f t="shared" si="6"/>
        <v>1679.9999999999998</v>
      </c>
      <c r="AG15" s="206">
        <f t="shared" si="6"/>
        <v>1679.9999999999998</v>
      </c>
      <c r="AH15" s="206">
        <f t="shared" si="6"/>
        <v>1679.9999999999998</v>
      </c>
      <c r="AI15" s="206">
        <f t="shared" si="6"/>
        <v>1679.9999999999998</v>
      </c>
      <c r="AJ15" s="206">
        <f t="shared" si="6"/>
        <v>1679.9999999999998</v>
      </c>
      <c r="AK15" s="206">
        <f t="shared" si="6"/>
        <v>1679.9999999999998</v>
      </c>
      <c r="AL15" s="206">
        <f t="shared" si="7"/>
        <v>1679.9999999999998</v>
      </c>
      <c r="AM15" s="206">
        <f t="shared" si="7"/>
        <v>1679.9999999999998</v>
      </c>
      <c r="AN15" s="206">
        <f t="shared" si="7"/>
        <v>1679.9999999999998</v>
      </c>
      <c r="AO15" s="206">
        <f t="shared" si="7"/>
        <v>1679.9999999999998</v>
      </c>
      <c r="AP15" s="206">
        <f t="shared" si="7"/>
        <v>1679.9999999999998</v>
      </c>
      <c r="AQ15" s="206">
        <f t="shared" si="7"/>
        <v>1679.9999999999998</v>
      </c>
      <c r="AR15" s="206">
        <f t="shared" si="7"/>
        <v>1679.9999999999998</v>
      </c>
      <c r="AS15" s="206">
        <f t="shared" si="7"/>
        <v>1679.9999999999998</v>
      </c>
      <c r="AT15" s="206">
        <f t="shared" si="7"/>
        <v>1679.9999999999998</v>
      </c>
      <c r="AU15" s="206">
        <f t="shared" si="7"/>
        <v>1679.9999999999998</v>
      </c>
      <c r="AV15" s="206">
        <f t="shared" si="7"/>
        <v>1679.9999999999998</v>
      </c>
      <c r="AW15" s="206">
        <f t="shared" si="7"/>
        <v>1679.9999999999998</v>
      </c>
      <c r="AX15" s="206">
        <f t="shared" si="8"/>
        <v>1679.9999999999998</v>
      </c>
      <c r="AY15" s="206">
        <f t="shared" si="8"/>
        <v>1679.9999999999998</v>
      </c>
      <c r="AZ15" s="206">
        <f t="shared" si="8"/>
        <v>1679.9999999999998</v>
      </c>
      <c r="BA15" s="206">
        <f t="shared" si="8"/>
        <v>1679.9999999999998</v>
      </c>
      <c r="BB15" s="206">
        <f t="shared" si="8"/>
        <v>1679.9999999999998</v>
      </c>
      <c r="BC15" s="206">
        <f t="shared" si="8"/>
        <v>1679.9999999999998</v>
      </c>
      <c r="BD15" s="206">
        <f t="shared" si="8"/>
        <v>1679.9999999999998</v>
      </c>
      <c r="BE15" s="206">
        <f t="shared" si="8"/>
        <v>1679.9999999999998</v>
      </c>
      <c r="BF15" s="206">
        <f t="shared" si="8"/>
        <v>1679.9999999999998</v>
      </c>
      <c r="BG15" s="206">
        <f t="shared" si="8"/>
        <v>1679.9999999999998</v>
      </c>
      <c r="BH15" s="206">
        <f t="shared" si="8"/>
        <v>1679.9999999999998</v>
      </c>
      <c r="BI15" s="206">
        <f t="shared" si="8"/>
        <v>1679.9999999999998</v>
      </c>
      <c r="BJ15" s="206">
        <f t="shared" si="8"/>
        <v>1679.9999999999998</v>
      </c>
      <c r="BK15" s="206">
        <f t="shared" si="8"/>
        <v>1679.9999999999998</v>
      </c>
      <c r="BL15" s="206">
        <f t="shared" si="8"/>
        <v>1679.9999999999998</v>
      </c>
      <c r="BM15" s="206">
        <f t="shared" si="8"/>
        <v>1679.9999999999998</v>
      </c>
      <c r="BN15" s="206">
        <f t="shared" si="8"/>
        <v>1679.9999999999998</v>
      </c>
      <c r="BO15" s="206">
        <f t="shared" si="8"/>
        <v>1679.9999999999998</v>
      </c>
      <c r="BP15" s="206">
        <f t="shared" si="8"/>
        <v>1679.9999999999998</v>
      </c>
      <c r="BQ15" s="206">
        <f t="shared" si="8"/>
        <v>1679.9999999999998</v>
      </c>
      <c r="BR15" s="206">
        <f t="shared" si="8"/>
        <v>1679.9999999999998</v>
      </c>
      <c r="BS15" s="206">
        <f t="shared" si="8"/>
        <v>1679.9999999999998</v>
      </c>
      <c r="BT15" s="206">
        <f t="shared" si="8"/>
        <v>1679.9999999999998</v>
      </c>
      <c r="BU15" s="206">
        <f t="shared" si="8"/>
        <v>1679.9999999999998</v>
      </c>
      <c r="BV15" s="206">
        <f t="shared" si="8"/>
        <v>0</v>
      </c>
      <c r="BW15" s="206">
        <f t="shared" si="8"/>
        <v>0</v>
      </c>
      <c r="BX15" s="206">
        <f t="shared" si="8"/>
        <v>0</v>
      </c>
      <c r="BY15" s="206">
        <f t="shared" si="8"/>
        <v>0</v>
      </c>
      <c r="BZ15" s="206">
        <f t="shared" si="8"/>
        <v>0</v>
      </c>
      <c r="CA15" s="206">
        <f t="shared" si="2"/>
        <v>0</v>
      </c>
      <c r="CB15" s="206">
        <f t="shared" si="2"/>
        <v>0</v>
      </c>
      <c r="CC15" s="206">
        <f t="shared" si="2"/>
        <v>0</v>
      </c>
      <c r="CD15" s="206">
        <f t="shared" ref="CC15:CR18" si="9">IF(CD$2&lt;=($B$2+$C$2+$D$2),IF(CD$2&lt;=($B$2+$C$2),IF(CD$2&lt;=$B$2,$B15,$C15),$D15),$E15)</f>
        <v>0</v>
      </c>
      <c r="CE15" s="206">
        <f t="shared" si="9"/>
        <v>0</v>
      </c>
      <c r="CF15" s="206">
        <f t="shared" si="9"/>
        <v>0</v>
      </c>
      <c r="CG15" s="206">
        <f t="shared" si="9"/>
        <v>0</v>
      </c>
      <c r="CH15" s="206">
        <f t="shared" si="9"/>
        <v>0</v>
      </c>
      <c r="CI15" s="206">
        <f t="shared" si="9"/>
        <v>0</v>
      </c>
      <c r="CJ15" s="206">
        <f t="shared" si="9"/>
        <v>0</v>
      </c>
      <c r="CK15" s="206">
        <f t="shared" si="9"/>
        <v>0</v>
      </c>
      <c r="CL15" s="206">
        <f t="shared" si="9"/>
        <v>0</v>
      </c>
      <c r="CM15" s="206">
        <f t="shared" si="9"/>
        <v>0</v>
      </c>
      <c r="CN15" s="206">
        <f t="shared" si="9"/>
        <v>0</v>
      </c>
      <c r="CO15" s="206">
        <f t="shared" si="9"/>
        <v>0</v>
      </c>
      <c r="CP15" s="206">
        <f t="shared" si="9"/>
        <v>0</v>
      </c>
      <c r="CQ15" s="206">
        <f t="shared" si="9"/>
        <v>0</v>
      </c>
      <c r="CR15" s="206">
        <f t="shared" si="9"/>
        <v>0</v>
      </c>
      <c r="CS15" s="206">
        <f t="shared" si="3"/>
        <v>0</v>
      </c>
      <c r="CT15" s="206">
        <f t="shared" si="3"/>
        <v>0</v>
      </c>
      <c r="CU15" s="206">
        <f t="shared" si="3"/>
        <v>0</v>
      </c>
      <c r="CV15" s="206">
        <f t="shared" si="3"/>
        <v>0</v>
      </c>
      <c r="CW15" s="206">
        <f t="shared" si="3"/>
        <v>0</v>
      </c>
      <c r="CX15" s="206">
        <f t="shared" si="3"/>
        <v>0</v>
      </c>
      <c r="CY15" s="206">
        <f t="shared" si="3"/>
        <v>0</v>
      </c>
      <c r="CZ15" s="206">
        <f t="shared" si="3"/>
        <v>0</v>
      </c>
      <c r="DA15" s="206">
        <f t="shared" si="3"/>
        <v>0</v>
      </c>
      <c r="DB15" s="206"/>
    </row>
    <row r="16" spans="1:106">
      <c r="A16" s="203" t="s">
        <v>115</v>
      </c>
      <c r="B16" s="205">
        <f>Income!B88</f>
        <v>30626.512227436931</v>
      </c>
      <c r="C16" s="205">
        <f>Income!C88</f>
        <v>65553.875879894767</v>
      </c>
      <c r="D16" s="205">
        <f>Income!D88</f>
        <v>238988.67693214817</v>
      </c>
      <c r="E16" s="205">
        <f>Income!E88</f>
        <v>369878.50552939071</v>
      </c>
      <c r="F16" s="206">
        <f t="shared" si="4"/>
        <v>30626.512227436931</v>
      </c>
      <c r="G16" s="206">
        <f t="shared" si="4"/>
        <v>30626.512227436931</v>
      </c>
      <c r="H16" s="206">
        <f t="shared" si="4"/>
        <v>30626.512227436931</v>
      </c>
      <c r="I16" s="206">
        <f t="shared" si="4"/>
        <v>30626.512227436931</v>
      </c>
      <c r="J16" s="206">
        <f t="shared" si="4"/>
        <v>30626.512227436931</v>
      </c>
      <c r="K16" s="206">
        <f t="shared" si="4"/>
        <v>30626.512227436931</v>
      </c>
      <c r="L16" s="206">
        <f t="shared" si="4"/>
        <v>30626.512227436931</v>
      </c>
      <c r="M16" s="206">
        <f t="shared" si="4"/>
        <v>30626.512227436931</v>
      </c>
      <c r="N16" s="206">
        <f t="shared" si="4"/>
        <v>30626.512227436931</v>
      </c>
      <c r="O16" s="206">
        <f t="shared" si="4"/>
        <v>30626.512227436931</v>
      </c>
      <c r="P16" s="206">
        <f t="shared" si="4"/>
        <v>30626.512227436931</v>
      </c>
      <c r="Q16" s="206">
        <f t="shared" si="4"/>
        <v>30626.512227436931</v>
      </c>
      <c r="R16" s="206">
        <f t="shared" si="4"/>
        <v>30626.512227436931</v>
      </c>
      <c r="S16" s="206">
        <f t="shared" si="4"/>
        <v>30626.512227436931</v>
      </c>
      <c r="T16" s="206">
        <f t="shared" si="4"/>
        <v>30626.512227436931</v>
      </c>
      <c r="U16" s="206">
        <f t="shared" si="4"/>
        <v>30626.512227436931</v>
      </c>
      <c r="V16" s="206">
        <f t="shared" si="6"/>
        <v>30626.512227436931</v>
      </c>
      <c r="W16" s="206">
        <f t="shared" si="6"/>
        <v>30626.512227436931</v>
      </c>
      <c r="X16" s="206">
        <f t="shared" si="6"/>
        <v>30626.512227436931</v>
      </c>
      <c r="Y16" s="206">
        <f t="shared" si="6"/>
        <v>30626.512227436931</v>
      </c>
      <c r="Z16" s="206">
        <f t="shared" si="6"/>
        <v>30626.512227436931</v>
      </c>
      <c r="AA16" s="206">
        <f t="shared" si="6"/>
        <v>30626.512227436931</v>
      </c>
      <c r="AB16" s="206">
        <f t="shared" si="6"/>
        <v>30626.512227436931</v>
      </c>
      <c r="AC16" s="206">
        <f t="shared" si="6"/>
        <v>30626.512227436931</v>
      </c>
      <c r="AD16" s="206">
        <f t="shared" si="6"/>
        <v>30626.512227436931</v>
      </c>
      <c r="AE16" s="206">
        <f>IF(AE$2&lt;=($B$2+$C$2+$D$2),IF(AE$2&lt;=($B$2+$C$2),IF(AE$2&lt;=$B$2,$B16,$C16),$D16),$E16)</f>
        <v>65553.875879894767</v>
      </c>
      <c r="AF16" s="206">
        <f t="shared" si="6"/>
        <v>65553.875879894767</v>
      </c>
      <c r="AG16" s="206">
        <f t="shared" si="6"/>
        <v>65553.875879894767</v>
      </c>
      <c r="AH16" s="206">
        <f t="shared" si="6"/>
        <v>65553.875879894767</v>
      </c>
      <c r="AI16" s="206">
        <f t="shared" si="6"/>
        <v>65553.875879894767</v>
      </c>
      <c r="AJ16" s="206">
        <f t="shared" si="6"/>
        <v>65553.875879894767</v>
      </c>
      <c r="AK16" s="206">
        <f t="shared" si="6"/>
        <v>65553.875879894767</v>
      </c>
      <c r="AL16" s="206">
        <f t="shared" si="7"/>
        <v>65553.875879894767</v>
      </c>
      <c r="AM16" s="206">
        <f t="shared" si="7"/>
        <v>65553.875879894767</v>
      </c>
      <c r="AN16" s="206">
        <f t="shared" si="7"/>
        <v>65553.875879894767</v>
      </c>
      <c r="AO16" s="206">
        <f t="shared" si="7"/>
        <v>65553.875879894767</v>
      </c>
      <c r="AP16" s="206">
        <f t="shared" si="7"/>
        <v>65553.875879894767</v>
      </c>
      <c r="AQ16" s="206">
        <f t="shared" si="7"/>
        <v>65553.875879894767</v>
      </c>
      <c r="AR16" s="206">
        <f t="shared" si="7"/>
        <v>65553.875879894767</v>
      </c>
      <c r="AS16" s="206">
        <f t="shared" si="7"/>
        <v>65553.875879894767</v>
      </c>
      <c r="AT16" s="206">
        <f t="shared" si="7"/>
        <v>65553.875879894767</v>
      </c>
      <c r="AU16" s="206">
        <f t="shared" si="7"/>
        <v>65553.875879894767</v>
      </c>
      <c r="AV16" s="206">
        <f t="shared" si="7"/>
        <v>65553.875879894767</v>
      </c>
      <c r="AW16" s="206">
        <f t="shared" si="7"/>
        <v>65553.875879894767</v>
      </c>
      <c r="AX16" s="206">
        <f t="shared" si="8"/>
        <v>65553.875879894767</v>
      </c>
      <c r="AY16" s="206">
        <f t="shared" si="8"/>
        <v>65553.875879894767</v>
      </c>
      <c r="AZ16" s="206">
        <f t="shared" si="8"/>
        <v>65553.875879894767</v>
      </c>
      <c r="BA16" s="206">
        <f t="shared" si="8"/>
        <v>65553.875879894767</v>
      </c>
      <c r="BB16" s="206">
        <f t="shared" si="8"/>
        <v>65553.875879894767</v>
      </c>
      <c r="BC16" s="206">
        <f t="shared" si="8"/>
        <v>65553.875879894767</v>
      </c>
      <c r="BD16" s="206">
        <f t="shared" si="8"/>
        <v>65553.875879894767</v>
      </c>
      <c r="BE16" s="206">
        <f t="shared" si="8"/>
        <v>65553.875879894767</v>
      </c>
      <c r="BF16" s="206">
        <f t="shared" si="8"/>
        <v>65553.875879894767</v>
      </c>
      <c r="BG16" s="206">
        <f t="shared" si="8"/>
        <v>65553.875879894767</v>
      </c>
      <c r="BH16" s="206">
        <f t="shared" si="8"/>
        <v>65553.875879894767</v>
      </c>
      <c r="BI16" s="206">
        <f t="shared" si="8"/>
        <v>65553.875879894767</v>
      </c>
      <c r="BJ16" s="206">
        <f t="shared" si="8"/>
        <v>65553.875879894767</v>
      </c>
      <c r="BK16" s="206">
        <f t="shared" si="8"/>
        <v>65553.875879894767</v>
      </c>
      <c r="BL16" s="206">
        <f t="shared" si="8"/>
        <v>65553.875879894767</v>
      </c>
      <c r="BM16" s="206">
        <f t="shared" si="8"/>
        <v>65553.875879894767</v>
      </c>
      <c r="BN16" s="206">
        <f t="shared" si="8"/>
        <v>65553.875879894767</v>
      </c>
      <c r="BO16" s="206">
        <f t="shared" si="8"/>
        <v>65553.875879894767</v>
      </c>
      <c r="BP16" s="206">
        <f t="shared" si="8"/>
        <v>65553.875879894767</v>
      </c>
      <c r="BQ16" s="206">
        <f t="shared" si="8"/>
        <v>65553.875879894767</v>
      </c>
      <c r="BR16" s="206">
        <f t="shared" si="8"/>
        <v>65553.875879894767</v>
      </c>
      <c r="BS16" s="206">
        <f t="shared" si="8"/>
        <v>65553.875879894767</v>
      </c>
      <c r="BT16" s="206">
        <f t="shared" si="8"/>
        <v>65553.875879894767</v>
      </c>
      <c r="BU16" s="206">
        <f t="shared" si="8"/>
        <v>65553.875879894767</v>
      </c>
      <c r="BV16" s="206">
        <f t="shared" si="8"/>
        <v>238988.67693214817</v>
      </c>
      <c r="BW16" s="206">
        <f t="shared" si="8"/>
        <v>238988.67693214817</v>
      </c>
      <c r="BX16" s="206">
        <f t="shared" si="8"/>
        <v>238988.67693214817</v>
      </c>
      <c r="BY16" s="206">
        <f t="shared" si="8"/>
        <v>238988.67693214817</v>
      </c>
      <c r="BZ16" s="206">
        <f t="shared" si="8"/>
        <v>238988.67693214817</v>
      </c>
      <c r="CA16" s="206">
        <f t="shared" ref="CA16:CB18" si="10">IF(CA$2&lt;=($B$2+$C$2+$D$2),IF(CA$2&lt;=($B$2+$C$2),IF(CA$2&lt;=$B$2,$B16,$C16),$D16),$E16)</f>
        <v>238988.67693214817</v>
      </c>
      <c r="CB16" s="206">
        <f t="shared" si="10"/>
        <v>238988.67693214817</v>
      </c>
      <c r="CC16" s="206">
        <f t="shared" si="9"/>
        <v>238988.67693214817</v>
      </c>
      <c r="CD16" s="206">
        <f t="shared" si="9"/>
        <v>238988.67693214817</v>
      </c>
      <c r="CE16" s="206">
        <f t="shared" si="9"/>
        <v>238988.67693214817</v>
      </c>
      <c r="CF16" s="206">
        <f t="shared" si="9"/>
        <v>238988.67693214817</v>
      </c>
      <c r="CG16" s="206">
        <f t="shared" si="9"/>
        <v>238988.67693214817</v>
      </c>
      <c r="CH16" s="206">
        <f t="shared" si="9"/>
        <v>238988.67693214817</v>
      </c>
      <c r="CI16" s="206">
        <f t="shared" si="9"/>
        <v>238988.67693214817</v>
      </c>
      <c r="CJ16" s="206">
        <f t="shared" si="9"/>
        <v>238988.67693214817</v>
      </c>
      <c r="CK16" s="206">
        <f t="shared" si="9"/>
        <v>238988.67693214817</v>
      </c>
      <c r="CL16" s="206">
        <f t="shared" si="9"/>
        <v>238988.67693214817</v>
      </c>
      <c r="CM16" s="206">
        <f t="shared" si="9"/>
        <v>238988.67693214817</v>
      </c>
      <c r="CN16" s="206">
        <f t="shared" si="9"/>
        <v>238988.67693214817</v>
      </c>
      <c r="CO16" s="206">
        <f t="shared" si="9"/>
        <v>238988.67693214817</v>
      </c>
      <c r="CP16" s="206">
        <f t="shared" si="9"/>
        <v>238988.67693214817</v>
      </c>
      <c r="CQ16" s="206">
        <f t="shared" si="9"/>
        <v>238988.67693214817</v>
      </c>
      <c r="CR16" s="206">
        <f t="shared" si="9"/>
        <v>238988.67693214817</v>
      </c>
      <c r="CS16" s="206">
        <f t="shared" ref="CS16:DA18" si="11">IF(CS$2&lt;=($B$2+$C$2+$D$2),IF(CS$2&lt;=($B$2+$C$2),IF(CS$2&lt;=$B$2,$B16,$C16),$D16),$E16)</f>
        <v>369878.50552939071</v>
      </c>
      <c r="CT16" s="206">
        <f t="shared" si="11"/>
        <v>369878.50552939071</v>
      </c>
      <c r="CU16" s="206">
        <f t="shared" si="11"/>
        <v>369878.50552939071</v>
      </c>
      <c r="CV16" s="206">
        <f t="shared" si="11"/>
        <v>369878.50552939071</v>
      </c>
      <c r="CW16" s="206">
        <f t="shared" si="11"/>
        <v>369878.50552939071</v>
      </c>
      <c r="CX16" s="206">
        <f t="shared" si="11"/>
        <v>369878.50552939071</v>
      </c>
      <c r="CY16" s="206">
        <f t="shared" si="11"/>
        <v>369878.50552939071</v>
      </c>
      <c r="CZ16" s="206">
        <f t="shared" si="11"/>
        <v>369878.50552939071</v>
      </c>
      <c r="DA16" s="206">
        <f t="shared" si="11"/>
        <v>369878.50552939071</v>
      </c>
      <c r="DB16" s="206"/>
    </row>
    <row r="17" spans="1:105">
      <c r="A17" s="203" t="s">
        <v>101</v>
      </c>
      <c r="B17" s="205">
        <f>Income!B89</f>
        <v>21925.553364673353</v>
      </c>
      <c r="C17" s="205">
        <f>Income!C89</f>
        <v>21925.553364673353</v>
      </c>
      <c r="D17" s="205">
        <f>Income!D89</f>
        <v>21925.553364673349</v>
      </c>
      <c r="E17" s="205">
        <f>Income!E89</f>
        <v>21925.553364673349</v>
      </c>
      <c r="F17" s="206">
        <f t="shared" si="4"/>
        <v>21925.553364673353</v>
      </c>
      <c r="G17" s="206">
        <f t="shared" si="4"/>
        <v>21925.553364673353</v>
      </c>
      <c r="H17" s="206">
        <f t="shared" si="4"/>
        <v>21925.553364673353</v>
      </c>
      <c r="I17" s="206">
        <f t="shared" si="4"/>
        <v>21925.553364673353</v>
      </c>
      <c r="J17" s="206">
        <f t="shared" si="4"/>
        <v>21925.553364673353</v>
      </c>
      <c r="K17" s="206">
        <f t="shared" si="4"/>
        <v>21925.553364673353</v>
      </c>
      <c r="L17" s="206">
        <f t="shared" si="4"/>
        <v>21925.553364673353</v>
      </c>
      <c r="M17" s="206">
        <f t="shared" si="4"/>
        <v>21925.553364673353</v>
      </c>
      <c r="N17" s="206">
        <f t="shared" si="4"/>
        <v>21925.553364673353</v>
      </c>
      <c r="O17" s="206">
        <f t="shared" si="4"/>
        <v>21925.553364673353</v>
      </c>
      <c r="P17" s="206">
        <f t="shared" si="4"/>
        <v>21925.553364673353</v>
      </c>
      <c r="Q17" s="206">
        <f t="shared" si="4"/>
        <v>21925.553364673353</v>
      </c>
      <c r="R17" s="206">
        <f t="shared" si="4"/>
        <v>21925.553364673353</v>
      </c>
      <c r="S17" s="206">
        <f t="shared" si="4"/>
        <v>21925.553364673353</v>
      </c>
      <c r="T17" s="206">
        <f t="shared" si="4"/>
        <v>21925.553364673353</v>
      </c>
      <c r="U17" s="206">
        <f t="shared" si="4"/>
        <v>21925.553364673353</v>
      </c>
      <c r="V17" s="206">
        <f t="shared" si="6"/>
        <v>21925.553364673353</v>
      </c>
      <c r="W17" s="206">
        <f t="shared" si="6"/>
        <v>21925.553364673353</v>
      </c>
      <c r="X17" s="206">
        <f t="shared" si="6"/>
        <v>21925.553364673353</v>
      </c>
      <c r="Y17" s="206">
        <f t="shared" si="6"/>
        <v>21925.553364673353</v>
      </c>
      <c r="Z17" s="206">
        <f t="shared" si="6"/>
        <v>21925.553364673353</v>
      </c>
      <c r="AA17" s="206">
        <f t="shared" si="6"/>
        <v>21925.553364673353</v>
      </c>
      <c r="AB17" s="206">
        <f t="shared" si="6"/>
        <v>21925.553364673353</v>
      </c>
      <c r="AC17" s="206">
        <f t="shared" si="6"/>
        <v>21925.553364673353</v>
      </c>
      <c r="AD17" s="206">
        <f t="shared" si="6"/>
        <v>21925.553364673353</v>
      </c>
      <c r="AE17" s="206">
        <f t="shared" si="6"/>
        <v>21925.553364673353</v>
      </c>
      <c r="AF17" s="206">
        <f t="shared" si="6"/>
        <v>21925.553364673353</v>
      </c>
      <c r="AG17" s="206">
        <f t="shared" si="6"/>
        <v>21925.553364673353</v>
      </c>
      <c r="AH17" s="206">
        <f t="shared" si="6"/>
        <v>21925.553364673353</v>
      </c>
      <c r="AI17" s="206">
        <f t="shared" si="6"/>
        <v>21925.553364673353</v>
      </c>
      <c r="AJ17" s="206">
        <f t="shared" si="6"/>
        <v>21925.553364673353</v>
      </c>
      <c r="AK17" s="206">
        <f t="shared" si="6"/>
        <v>21925.553364673353</v>
      </c>
      <c r="AL17" s="206">
        <f t="shared" si="7"/>
        <v>21925.553364673353</v>
      </c>
      <c r="AM17" s="206">
        <f t="shared" si="7"/>
        <v>21925.553364673353</v>
      </c>
      <c r="AN17" s="206">
        <f t="shared" si="7"/>
        <v>21925.553364673353</v>
      </c>
      <c r="AO17" s="206">
        <f t="shared" si="7"/>
        <v>21925.553364673353</v>
      </c>
      <c r="AP17" s="206">
        <f t="shared" si="7"/>
        <v>21925.553364673353</v>
      </c>
      <c r="AQ17" s="206">
        <f t="shared" si="7"/>
        <v>21925.553364673353</v>
      </c>
      <c r="AR17" s="206">
        <f t="shared" si="7"/>
        <v>21925.553364673353</v>
      </c>
      <c r="AS17" s="206">
        <f t="shared" si="7"/>
        <v>21925.553364673353</v>
      </c>
      <c r="AT17" s="206">
        <f t="shared" si="7"/>
        <v>21925.553364673353</v>
      </c>
      <c r="AU17" s="206">
        <f t="shared" si="7"/>
        <v>21925.553364673353</v>
      </c>
      <c r="AV17" s="206">
        <f t="shared" si="7"/>
        <v>21925.553364673353</v>
      </c>
      <c r="AW17" s="206">
        <f t="shared" si="7"/>
        <v>21925.553364673353</v>
      </c>
      <c r="AX17" s="206">
        <f t="shared" si="8"/>
        <v>21925.553364673353</v>
      </c>
      <c r="AY17" s="206">
        <f t="shared" si="8"/>
        <v>21925.553364673353</v>
      </c>
      <c r="AZ17" s="206">
        <f t="shared" si="8"/>
        <v>21925.553364673353</v>
      </c>
      <c r="BA17" s="206">
        <f t="shared" si="8"/>
        <v>21925.553364673353</v>
      </c>
      <c r="BB17" s="206">
        <f t="shared" si="8"/>
        <v>21925.553364673353</v>
      </c>
      <c r="BC17" s="206">
        <f t="shared" si="8"/>
        <v>21925.553364673353</v>
      </c>
      <c r="BD17" s="206">
        <f t="shared" si="8"/>
        <v>21925.553364673353</v>
      </c>
      <c r="BE17" s="206">
        <f t="shared" si="8"/>
        <v>21925.553364673353</v>
      </c>
      <c r="BF17" s="206">
        <f t="shared" si="8"/>
        <v>21925.553364673353</v>
      </c>
      <c r="BG17" s="206">
        <f t="shared" si="8"/>
        <v>21925.553364673353</v>
      </c>
      <c r="BH17" s="206">
        <f t="shared" si="8"/>
        <v>21925.553364673353</v>
      </c>
      <c r="BI17" s="206">
        <f t="shared" si="8"/>
        <v>21925.553364673353</v>
      </c>
      <c r="BJ17" s="206">
        <f t="shared" si="8"/>
        <v>21925.553364673353</v>
      </c>
      <c r="BK17" s="206">
        <f t="shared" si="8"/>
        <v>21925.553364673353</v>
      </c>
      <c r="BL17" s="206">
        <f t="shared" si="8"/>
        <v>21925.553364673353</v>
      </c>
      <c r="BM17" s="206">
        <f t="shared" si="8"/>
        <v>21925.553364673353</v>
      </c>
      <c r="BN17" s="206">
        <f t="shared" si="8"/>
        <v>21925.553364673353</v>
      </c>
      <c r="BO17" s="206">
        <f t="shared" si="8"/>
        <v>21925.553364673353</v>
      </c>
      <c r="BP17" s="206">
        <f t="shared" si="8"/>
        <v>21925.553364673353</v>
      </c>
      <c r="BQ17" s="206">
        <f t="shared" si="8"/>
        <v>21925.553364673353</v>
      </c>
      <c r="BR17" s="206">
        <f t="shared" si="8"/>
        <v>21925.553364673353</v>
      </c>
      <c r="BS17" s="206">
        <f t="shared" si="8"/>
        <v>21925.553364673353</v>
      </c>
      <c r="BT17" s="206">
        <f t="shared" si="8"/>
        <v>21925.553364673353</v>
      </c>
      <c r="BU17" s="206">
        <f t="shared" si="8"/>
        <v>21925.553364673353</v>
      </c>
      <c r="BV17" s="206">
        <f t="shared" si="8"/>
        <v>21925.553364673349</v>
      </c>
      <c r="BW17" s="206">
        <f t="shared" si="8"/>
        <v>21925.553364673349</v>
      </c>
      <c r="BX17" s="206">
        <f t="shared" si="8"/>
        <v>21925.553364673349</v>
      </c>
      <c r="BY17" s="206">
        <f t="shared" si="8"/>
        <v>21925.553364673349</v>
      </c>
      <c r="BZ17" s="206">
        <f t="shared" si="8"/>
        <v>21925.553364673349</v>
      </c>
      <c r="CA17" s="206">
        <f t="shared" si="10"/>
        <v>21925.553364673349</v>
      </c>
      <c r="CB17" s="206">
        <f t="shared" si="10"/>
        <v>21925.553364673349</v>
      </c>
      <c r="CC17" s="206">
        <f t="shared" si="9"/>
        <v>21925.553364673349</v>
      </c>
      <c r="CD17" s="206">
        <f t="shared" si="9"/>
        <v>21925.553364673349</v>
      </c>
      <c r="CE17" s="206">
        <f t="shared" si="9"/>
        <v>21925.553364673349</v>
      </c>
      <c r="CF17" s="206">
        <f t="shared" si="9"/>
        <v>21925.553364673349</v>
      </c>
      <c r="CG17" s="206">
        <f t="shared" si="9"/>
        <v>21925.553364673349</v>
      </c>
      <c r="CH17" s="206">
        <f t="shared" si="9"/>
        <v>21925.553364673349</v>
      </c>
      <c r="CI17" s="206">
        <f t="shared" si="9"/>
        <v>21925.553364673349</v>
      </c>
      <c r="CJ17" s="206">
        <f t="shared" si="9"/>
        <v>21925.553364673349</v>
      </c>
      <c r="CK17" s="206">
        <f t="shared" si="9"/>
        <v>21925.553364673349</v>
      </c>
      <c r="CL17" s="206">
        <f t="shared" si="9"/>
        <v>21925.553364673349</v>
      </c>
      <c r="CM17" s="206">
        <f t="shared" si="9"/>
        <v>21925.553364673349</v>
      </c>
      <c r="CN17" s="206">
        <f t="shared" si="9"/>
        <v>21925.553364673349</v>
      </c>
      <c r="CO17" s="206">
        <f t="shared" si="9"/>
        <v>21925.553364673349</v>
      </c>
      <c r="CP17" s="206">
        <f t="shared" si="9"/>
        <v>21925.553364673349</v>
      </c>
      <c r="CQ17" s="206">
        <f t="shared" si="9"/>
        <v>21925.553364673349</v>
      </c>
      <c r="CR17" s="206">
        <f t="shared" si="9"/>
        <v>21925.553364673349</v>
      </c>
      <c r="CS17" s="206">
        <f t="shared" si="11"/>
        <v>21925.553364673349</v>
      </c>
      <c r="CT17" s="206">
        <f t="shared" si="11"/>
        <v>21925.553364673349</v>
      </c>
      <c r="CU17" s="206">
        <f t="shared" si="11"/>
        <v>21925.553364673349</v>
      </c>
      <c r="CV17" s="206">
        <f t="shared" si="11"/>
        <v>21925.553364673349</v>
      </c>
      <c r="CW17" s="206">
        <f t="shared" si="11"/>
        <v>21925.553364673349</v>
      </c>
      <c r="CX17" s="206">
        <f t="shared" si="11"/>
        <v>21925.553364673349</v>
      </c>
      <c r="CY17" s="206">
        <f t="shared" si="11"/>
        <v>21925.553364673349</v>
      </c>
      <c r="CZ17" s="206">
        <f t="shared" si="11"/>
        <v>21925.553364673349</v>
      </c>
      <c r="DA17" s="206">
        <f t="shared" si="11"/>
        <v>21925.553364673349</v>
      </c>
    </row>
    <row r="18" spans="1:105">
      <c r="A18" s="203" t="s">
        <v>85</v>
      </c>
      <c r="B18" s="205">
        <f>Income!B90</f>
        <v>35197.146827147968</v>
      </c>
      <c r="C18" s="205">
        <f>Income!C90</f>
        <v>35197.146827147968</v>
      </c>
      <c r="D18" s="205">
        <f>Income!D90</f>
        <v>35197.146827147968</v>
      </c>
      <c r="E18" s="205">
        <f>Income!E90</f>
        <v>35197.146827147968</v>
      </c>
      <c r="F18" s="206">
        <f t="shared" ref="F18:U18" si="12">IF(F$2&lt;=($B$2+$C$2+$D$2),IF(F$2&lt;=($B$2+$C$2),IF(F$2&lt;=$B$2,$B18,$C18),$D18),$E18)</f>
        <v>35197.146827147968</v>
      </c>
      <c r="G18" s="206">
        <f t="shared" si="12"/>
        <v>35197.146827147968</v>
      </c>
      <c r="H18" s="206">
        <f t="shared" si="12"/>
        <v>35197.146827147968</v>
      </c>
      <c r="I18" s="206">
        <f t="shared" si="12"/>
        <v>35197.146827147968</v>
      </c>
      <c r="J18" s="206">
        <f t="shared" si="12"/>
        <v>35197.146827147968</v>
      </c>
      <c r="K18" s="206">
        <f t="shared" si="12"/>
        <v>35197.146827147968</v>
      </c>
      <c r="L18" s="206">
        <f t="shared" si="12"/>
        <v>35197.146827147968</v>
      </c>
      <c r="M18" s="206">
        <f t="shared" si="12"/>
        <v>35197.146827147968</v>
      </c>
      <c r="N18" s="206">
        <f t="shared" si="12"/>
        <v>35197.146827147968</v>
      </c>
      <c r="O18" s="206">
        <f t="shared" si="12"/>
        <v>35197.146827147968</v>
      </c>
      <c r="P18" s="206">
        <f t="shared" si="12"/>
        <v>35197.146827147968</v>
      </c>
      <c r="Q18" s="206">
        <f t="shared" si="12"/>
        <v>35197.146827147968</v>
      </c>
      <c r="R18" s="206">
        <f t="shared" si="12"/>
        <v>35197.146827147968</v>
      </c>
      <c r="S18" s="206">
        <f t="shared" si="12"/>
        <v>35197.146827147968</v>
      </c>
      <c r="T18" s="206">
        <f t="shared" si="12"/>
        <v>35197.146827147968</v>
      </c>
      <c r="U18" s="206">
        <f t="shared" si="12"/>
        <v>35197.146827147968</v>
      </c>
      <c r="V18" s="206">
        <f t="shared" si="6"/>
        <v>35197.146827147968</v>
      </c>
      <c r="W18" s="206">
        <f t="shared" si="6"/>
        <v>35197.146827147968</v>
      </c>
      <c r="X18" s="206">
        <f t="shared" si="6"/>
        <v>35197.146827147968</v>
      </c>
      <c r="Y18" s="206">
        <f t="shared" si="6"/>
        <v>35197.146827147968</v>
      </c>
      <c r="Z18" s="206">
        <f t="shared" si="6"/>
        <v>35197.146827147968</v>
      </c>
      <c r="AA18" s="206">
        <f t="shared" si="6"/>
        <v>35197.146827147968</v>
      </c>
      <c r="AB18" s="206">
        <f t="shared" si="6"/>
        <v>35197.146827147968</v>
      </c>
      <c r="AC18" s="206">
        <f t="shared" si="6"/>
        <v>35197.146827147968</v>
      </c>
      <c r="AD18" s="206">
        <f t="shared" si="6"/>
        <v>35197.146827147968</v>
      </c>
      <c r="AE18" s="206">
        <f t="shared" si="6"/>
        <v>35197.146827147968</v>
      </c>
      <c r="AF18" s="206">
        <f t="shared" si="6"/>
        <v>35197.146827147968</v>
      </c>
      <c r="AG18" s="206">
        <f t="shared" si="6"/>
        <v>35197.146827147968</v>
      </c>
      <c r="AH18" s="206">
        <f t="shared" si="6"/>
        <v>35197.146827147968</v>
      </c>
      <c r="AI18" s="206">
        <f t="shared" si="6"/>
        <v>35197.146827147968</v>
      </c>
      <c r="AJ18" s="206">
        <f t="shared" si="6"/>
        <v>35197.146827147968</v>
      </c>
      <c r="AK18" s="206">
        <f t="shared" si="6"/>
        <v>35197.146827147968</v>
      </c>
      <c r="AL18" s="206">
        <f t="shared" si="7"/>
        <v>35197.146827147968</v>
      </c>
      <c r="AM18" s="206">
        <f t="shared" si="7"/>
        <v>35197.146827147968</v>
      </c>
      <c r="AN18" s="206">
        <f t="shared" si="7"/>
        <v>35197.146827147968</v>
      </c>
      <c r="AO18" s="206">
        <f t="shared" si="7"/>
        <v>35197.146827147968</v>
      </c>
      <c r="AP18" s="206">
        <f t="shared" si="7"/>
        <v>35197.146827147968</v>
      </c>
      <c r="AQ18" s="206">
        <f t="shared" si="7"/>
        <v>35197.146827147968</v>
      </c>
      <c r="AR18" s="206">
        <f t="shared" si="7"/>
        <v>35197.146827147968</v>
      </c>
      <c r="AS18" s="206">
        <f t="shared" si="7"/>
        <v>35197.146827147968</v>
      </c>
      <c r="AT18" s="206">
        <f t="shared" si="7"/>
        <v>35197.146827147968</v>
      </c>
      <c r="AU18" s="206">
        <f t="shared" si="7"/>
        <v>35197.146827147968</v>
      </c>
      <c r="AV18" s="206">
        <f t="shared" si="7"/>
        <v>35197.146827147968</v>
      </c>
      <c r="AW18" s="206">
        <f t="shared" si="7"/>
        <v>35197.146827147968</v>
      </c>
      <c r="AX18" s="206">
        <f t="shared" si="8"/>
        <v>35197.146827147968</v>
      </c>
      <c r="AY18" s="206">
        <f t="shared" si="8"/>
        <v>35197.146827147968</v>
      </c>
      <c r="AZ18" s="206">
        <f t="shared" si="8"/>
        <v>35197.146827147968</v>
      </c>
      <c r="BA18" s="206">
        <f t="shared" si="8"/>
        <v>35197.146827147968</v>
      </c>
      <c r="BB18" s="206">
        <f t="shared" si="8"/>
        <v>35197.146827147968</v>
      </c>
      <c r="BC18" s="206">
        <f t="shared" si="8"/>
        <v>35197.146827147968</v>
      </c>
      <c r="BD18" s="206">
        <f t="shared" si="8"/>
        <v>35197.146827147968</v>
      </c>
      <c r="BE18" s="206">
        <f t="shared" si="8"/>
        <v>35197.146827147968</v>
      </c>
      <c r="BF18" s="206">
        <f t="shared" si="8"/>
        <v>35197.146827147968</v>
      </c>
      <c r="BG18" s="206">
        <f t="shared" si="8"/>
        <v>35197.146827147968</v>
      </c>
      <c r="BH18" s="206">
        <f t="shared" si="8"/>
        <v>35197.146827147968</v>
      </c>
      <c r="BI18" s="206">
        <f t="shared" si="8"/>
        <v>35197.146827147968</v>
      </c>
      <c r="BJ18" s="206">
        <f t="shared" si="8"/>
        <v>35197.146827147968</v>
      </c>
      <c r="BK18" s="206">
        <f t="shared" si="8"/>
        <v>35197.146827147968</v>
      </c>
      <c r="BL18" s="206">
        <f t="shared" ref="BL18:BZ18" si="13">IF(BL$2&lt;=($B$2+$C$2+$D$2),IF(BL$2&lt;=($B$2+$C$2),IF(BL$2&lt;=$B$2,$B18,$C18),$D18),$E18)</f>
        <v>35197.146827147968</v>
      </c>
      <c r="BM18" s="206">
        <f t="shared" si="13"/>
        <v>35197.146827147968</v>
      </c>
      <c r="BN18" s="206">
        <f t="shared" si="13"/>
        <v>35197.146827147968</v>
      </c>
      <c r="BO18" s="206">
        <f t="shared" si="13"/>
        <v>35197.146827147968</v>
      </c>
      <c r="BP18" s="206">
        <f t="shared" si="13"/>
        <v>35197.146827147968</v>
      </c>
      <c r="BQ18" s="206">
        <f t="shared" si="13"/>
        <v>35197.146827147968</v>
      </c>
      <c r="BR18" s="206">
        <f t="shared" si="13"/>
        <v>35197.146827147968</v>
      </c>
      <c r="BS18" s="206">
        <f t="shared" si="13"/>
        <v>35197.146827147968</v>
      </c>
      <c r="BT18" s="206">
        <f t="shared" si="13"/>
        <v>35197.146827147968</v>
      </c>
      <c r="BU18" s="206">
        <f t="shared" si="13"/>
        <v>35197.146827147968</v>
      </c>
      <c r="BV18" s="206">
        <f t="shared" si="13"/>
        <v>35197.146827147968</v>
      </c>
      <c r="BW18" s="206">
        <f t="shared" si="13"/>
        <v>35197.146827147968</v>
      </c>
      <c r="BX18" s="206">
        <f t="shared" si="13"/>
        <v>35197.146827147968</v>
      </c>
      <c r="BY18" s="206">
        <f t="shared" si="13"/>
        <v>35197.146827147968</v>
      </c>
      <c r="BZ18" s="206">
        <f t="shared" si="13"/>
        <v>35197.146827147968</v>
      </c>
      <c r="CA18" s="206">
        <f t="shared" si="10"/>
        <v>35197.146827147968</v>
      </c>
      <c r="CB18" s="206">
        <f t="shared" si="10"/>
        <v>35197.146827147968</v>
      </c>
      <c r="CC18" s="206">
        <f t="shared" si="9"/>
        <v>35197.146827147968</v>
      </c>
      <c r="CD18" s="206">
        <f t="shared" si="9"/>
        <v>35197.146827147968</v>
      </c>
      <c r="CE18" s="206">
        <f t="shared" si="9"/>
        <v>35197.146827147968</v>
      </c>
      <c r="CF18" s="206">
        <f t="shared" si="9"/>
        <v>35197.146827147968</v>
      </c>
      <c r="CG18" s="206">
        <f t="shared" si="9"/>
        <v>35197.146827147968</v>
      </c>
      <c r="CH18" s="206">
        <f t="shared" si="9"/>
        <v>35197.146827147968</v>
      </c>
      <c r="CI18" s="206">
        <f t="shared" si="9"/>
        <v>35197.146827147968</v>
      </c>
      <c r="CJ18" s="206">
        <f t="shared" si="9"/>
        <v>35197.146827147968</v>
      </c>
      <c r="CK18" s="206">
        <f t="shared" si="9"/>
        <v>35197.146827147968</v>
      </c>
      <c r="CL18" s="206">
        <f t="shared" si="9"/>
        <v>35197.146827147968</v>
      </c>
      <c r="CM18" s="206">
        <f t="shared" si="9"/>
        <v>35197.146827147968</v>
      </c>
      <c r="CN18" s="206">
        <f t="shared" si="9"/>
        <v>35197.146827147968</v>
      </c>
      <c r="CO18" s="206">
        <f t="shared" si="9"/>
        <v>35197.146827147968</v>
      </c>
      <c r="CP18" s="206">
        <f t="shared" si="9"/>
        <v>35197.146827147968</v>
      </c>
      <c r="CQ18" s="206">
        <f t="shared" si="9"/>
        <v>35197.146827147968</v>
      </c>
      <c r="CR18" s="206">
        <f t="shared" si="9"/>
        <v>35197.146827147968</v>
      </c>
      <c r="CS18" s="206">
        <f t="shared" si="11"/>
        <v>35197.146827147968</v>
      </c>
      <c r="CT18" s="206">
        <f t="shared" si="11"/>
        <v>35197.146827147968</v>
      </c>
      <c r="CU18" s="206">
        <f t="shared" si="11"/>
        <v>35197.146827147968</v>
      </c>
      <c r="CV18" s="206">
        <f t="shared" si="11"/>
        <v>35197.146827147968</v>
      </c>
      <c r="CW18" s="206">
        <f t="shared" si="11"/>
        <v>35197.146827147968</v>
      </c>
      <c r="CX18" s="206">
        <f t="shared" si="11"/>
        <v>35197.146827147968</v>
      </c>
      <c r="CY18" s="206">
        <f t="shared" si="11"/>
        <v>35197.146827147968</v>
      </c>
      <c r="CZ18" s="206">
        <f t="shared" si="11"/>
        <v>35197.146827147968</v>
      </c>
      <c r="DA18" s="206">
        <f t="shared" si="11"/>
        <v>35197.146827147968</v>
      </c>
    </row>
    <row r="19" spans="1:105">
      <c r="A19" s="203" t="s">
        <v>116</v>
      </c>
      <c r="F19" s="203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3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3" t="str">
        <f t="shared" si="14"/>
        <v/>
      </c>
      <c r="I19" s="203" t="str">
        <f t="shared" si="14"/>
        <v/>
      </c>
      <c r="J19" s="203" t="str">
        <f t="shared" si="14"/>
        <v/>
      </c>
      <c r="K19" s="203" t="str">
        <f t="shared" si="14"/>
        <v/>
      </c>
      <c r="L19" s="203" t="str">
        <f t="shared" si="14"/>
        <v/>
      </c>
      <c r="M19" s="203" t="str">
        <f t="shared" si="14"/>
        <v/>
      </c>
      <c r="N19" s="203" t="str">
        <f t="shared" si="14"/>
        <v/>
      </c>
      <c r="O19" s="203" t="str">
        <f t="shared" si="14"/>
        <v/>
      </c>
      <c r="P19" s="203" t="str">
        <f t="shared" si="14"/>
        <v/>
      </c>
      <c r="Q19" s="203" t="str">
        <f t="shared" si="14"/>
        <v/>
      </c>
      <c r="R19" s="203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3">
        <f>IF(S$22&lt;$E$24,IF(S$22&lt;$D$24,IF(S$22&lt;$C$24,IF(S$22&lt;$B$24,"",$B$16+(S$22-$B$24)*(($C$16-$B$16)/($C$24-$B$24))),$C$16+(S$22-$C$24)*(($D$16-$C$16)/($D$24-$C$24))),$D$16+(S$22-$D$24)*(($E$16-$D$16)/($E$24-$D$24))),"")</f>
        <v>31140.149928208371</v>
      </c>
      <c r="T19" s="203">
        <f t="shared" si="14"/>
        <v>32167.425329751248</v>
      </c>
      <c r="U19" s="203">
        <f t="shared" si="14"/>
        <v>33194.700731294128</v>
      </c>
      <c r="V19" s="203">
        <f t="shared" si="14"/>
        <v>34221.976132837</v>
      </c>
      <c r="W19" s="203">
        <f t="shared" si="14"/>
        <v>35249.25153437988</v>
      </c>
      <c r="X19" s="203">
        <f t="shared" si="14"/>
        <v>36276.52693592276</v>
      </c>
      <c r="Y19" s="203">
        <f t="shared" si="14"/>
        <v>37303.802337465633</v>
      </c>
      <c r="Z19" s="203">
        <f t="shared" si="14"/>
        <v>38331.077739008513</v>
      </c>
      <c r="AA19" s="203">
        <f t="shared" si="14"/>
        <v>39358.353140551393</v>
      </c>
      <c r="AB19" s="203">
        <f t="shared" si="14"/>
        <v>40385.628542094266</v>
      </c>
      <c r="AC19" s="203">
        <f t="shared" si="14"/>
        <v>41412.903943637146</v>
      </c>
      <c r="AD19" s="203">
        <f t="shared" si="14"/>
        <v>42440.179345180019</v>
      </c>
      <c r="AE19" s="203">
        <f t="shared" si="14"/>
        <v>43467.454746722899</v>
      </c>
      <c r="AF19" s="203">
        <f t="shared" si="14"/>
        <v>44494.730148265779</v>
      </c>
      <c r="AG19" s="203">
        <f t="shared" si="14"/>
        <v>45522.005549808659</v>
      </c>
      <c r="AH19" s="203">
        <f t="shared" si="14"/>
        <v>46549.280951351531</v>
      </c>
      <c r="AI19" s="203">
        <f t="shared" si="14"/>
        <v>47576.556352894411</v>
      </c>
      <c r="AJ19" s="203">
        <f t="shared" si="14"/>
        <v>48603.831754437284</v>
      </c>
      <c r="AK19" s="203">
        <f t="shared" si="14"/>
        <v>49631.107155980164</v>
      </c>
      <c r="AL19" s="203">
        <f t="shared" si="14"/>
        <v>50658.382557523044</v>
      </c>
      <c r="AM19" s="203">
        <f t="shared" si="14"/>
        <v>51685.657959065924</v>
      </c>
      <c r="AN19" s="203">
        <f t="shared" si="14"/>
        <v>52712.933360608797</v>
      </c>
      <c r="AO19" s="203">
        <f t="shared" si="14"/>
        <v>53740.208762151677</v>
      </c>
      <c r="AP19" s="203">
        <f t="shared" si="14"/>
        <v>54767.484163694549</v>
      </c>
      <c r="AQ19" s="203">
        <f t="shared" si="14"/>
        <v>55794.759565237429</v>
      </c>
      <c r="AR19" s="203">
        <f t="shared" si="14"/>
        <v>56822.034966780309</v>
      </c>
      <c r="AS19" s="203">
        <f t="shared" si="14"/>
        <v>57849.310368323189</v>
      </c>
      <c r="AT19" s="203">
        <f t="shared" si="14"/>
        <v>58876.585769866062</v>
      </c>
      <c r="AU19" s="203">
        <f t="shared" si="14"/>
        <v>59903.861171408935</v>
      </c>
      <c r="AV19" s="203">
        <f t="shared" si="14"/>
        <v>60931.136572951815</v>
      </c>
      <c r="AW19" s="203">
        <f t="shared" si="14"/>
        <v>61958.411974494695</v>
      </c>
      <c r="AX19" s="203">
        <f t="shared" si="14"/>
        <v>62985.687376037575</v>
      </c>
      <c r="AY19" s="203">
        <f t="shared" si="14"/>
        <v>64012.962777580455</v>
      </c>
      <c r="AZ19" s="203">
        <f t="shared" si="14"/>
        <v>65040.23817912332</v>
      </c>
      <c r="BA19" s="203">
        <f t="shared" si="14"/>
        <v>68181.675895837994</v>
      </c>
      <c r="BB19" s="203">
        <f t="shared" si="14"/>
        <v>73437.275927724462</v>
      </c>
      <c r="BC19" s="203">
        <f t="shared" si="14"/>
        <v>78692.87595961093</v>
      </c>
      <c r="BD19" s="203">
        <f t="shared" si="14"/>
        <v>83948.475991497398</v>
      </c>
      <c r="BE19" s="203">
        <f t="shared" si="14"/>
        <v>89204.076023383866</v>
      </c>
      <c r="BF19" s="203">
        <f t="shared" si="14"/>
        <v>94459.676055270334</v>
      </c>
      <c r="BG19" s="203">
        <f t="shared" si="14"/>
        <v>99715.276087156803</v>
      </c>
      <c r="BH19" s="203">
        <f t="shared" si="14"/>
        <v>104970.87611904327</v>
      </c>
      <c r="BI19" s="203">
        <f t="shared" si="14"/>
        <v>110226.47615092974</v>
      </c>
      <c r="BJ19" s="203">
        <f t="shared" si="14"/>
        <v>115482.07618281621</v>
      </c>
      <c r="BK19" s="203">
        <f t="shared" si="14"/>
        <v>120737.67621470267</v>
      </c>
      <c r="BL19" s="203">
        <f t="shared" si="14"/>
        <v>125993.27624658914</v>
      </c>
      <c r="BM19" s="203">
        <f t="shared" si="14"/>
        <v>131248.87627847563</v>
      </c>
      <c r="BN19" s="203">
        <f t="shared" si="14"/>
        <v>136504.47631036208</v>
      </c>
      <c r="BO19" s="203">
        <f t="shared" si="14"/>
        <v>141760.07634224853</v>
      </c>
      <c r="BP19" s="203">
        <f t="shared" si="14"/>
        <v>147015.67637413502</v>
      </c>
      <c r="BQ19" s="203">
        <f t="shared" si="14"/>
        <v>152271.27640602147</v>
      </c>
      <c r="BR19" s="203">
        <f t="shared" si="14"/>
        <v>157526.87643790792</v>
      </c>
      <c r="BS19" s="203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162782.4764697944</v>
      </c>
      <c r="BT19" s="203">
        <f t="shared" si="15"/>
        <v>168038.07650168089</v>
      </c>
      <c r="BU19" s="203">
        <f t="shared" si="15"/>
        <v>173293.67653356734</v>
      </c>
      <c r="BV19" s="203">
        <f t="shared" si="15"/>
        <v>178549.27656545379</v>
      </c>
      <c r="BW19" s="203">
        <f t="shared" si="15"/>
        <v>183804.87659734028</v>
      </c>
      <c r="BX19" s="203">
        <f t="shared" si="15"/>
        <v>189060.47662922676</v>
      </c>
      <c r="BY19" s="203">
        <f t="shared" si="15"/>
        <v>194316.07666111321</v>
      </c>
      <c r="BZ19" s="203">
        <f t="shared" si="15"/>
        <v>199571.67669299967</v>
      </c>
      <c r="CA19" s="203">
        <f t="shared" si="15"/>
        <v>204827.27672488615</v>
      </c>
      <c r="CB19" s="203">
        <f t="shared" si="15"/>
        <v>210082.8767567726</v>
      </c>
      <c r="CC19" s="203">
        <f t="shared" si="15"/>
        <v>215338.47678865909</v>
      </c>
      <c r="CD19" s="203">
        <f t="shared" si="15"/>
        <v>220594.07682054554</v>
      </c>
      <c r="CE19" s="203">
        <f t="shared" si="15"/>
        <v>225849.67685243202</v>
      </c>
      <c r="CF19" s="203">
        <f t="shared" si="15"/>
        <v>231105.27688431847</v>
      </c>
      <c r="CG19" s="203">
        <f t="shared" si="15"/>
        <v>236360.87691620496</v>
      </c>
      <c r="CH19" s="203">
        <f t="shared" si="15"/>
        <v>243078.98407581201</v>
      </c>
      <c r="CI19" s="203">
        <f t="shared" si="15"/>
        <v>251259.59836313967</v>
      </c>
      <c r="CJ19" s="203">
        <f t="shared" si="15"/>
        <v>259440.21265046732</v>
      </c>
      <c r="CK19" s="203">
        <f t="shared" si="15"/>
        <v>267620.82693779498</v>
      </c>
      <c r="CL19" s="203">
        <f t="shared" si="15"/>
        <v>275801.44122512266</v>
      </c>
      <c r="CM19" s="203">
        <f t="shared" si="15"/>
        <v>283982.05551245029</v>
      </c>
      <c r="CN19" s="203">
        <f t="shared" si="15"/>
        <v>292162.66979977797</v>
      </c>
      <c r="CO19" s="203">
        <f t="shared" si="15"/>
        <v>300343.2840871056</v>
      </c>
      <c r="CP19" s="203">
        <f t="shared" si="15"/>
        <v>308523.89837443328</v>
      </c>
      <c r="CQ19" s="203">
        <f t="shared" si="15"/>
        <v>316704.51266176091</v>
      </c>
      <c r="CR19" s="203">
        <f t="shared" si="15"/>
        <v>324885.12694908859</v>
      </c>
      <c r="CS19" s="203">
        <f t="shared" si="15"/>
        <v>333065.74123641627</v>
      </c>
      <c r="CT19" s="203">
        <f t="shared" si="15"/>
        <v>341246.3555237439</v>
      </c>
      <c r="CU19" s="203">
        <f t="shared" si="15"/>
        <v>349426.96981107153</v>
      </c>
      <c r="CV19" s="203">
        <f t="shared" si="15"/>
        <v>357607.58409839921</v>
      </c>
      <c r="CW19" s="203">
        <f t="shared" si="15"/>
        <v>365788.19838572689</v>
      </c>
      <c r="CX19" s="203" t="str">
        <f t="shared" si="15"/>
        <v/>
      </c>
      <c r="CY19" s="203" t="str">
        <f t="shared" si="15"/>
        <v/>
      </c>
      <c r="CZ19" s="203" t="str">
        <f t="shared" si="15"/>
        <v/>
      </c>
      <c r="DA19" s="203" t="str">
        <f t="shared" si="15"/>
        <v/>
      </c>
    </row>
    <row r="21" spans="1:105">
      <c r="B21" s="203" t="s">
        <v>97</v>
      </c>
      <c r="C21" s="203" t="s">
        <v>96</v>
      </c>
      <c r="D21" s="203" t="s">
        <v>98</v>
      </c>
      <c r="E21" s="203" t="s">
        <v>99</v>
      </c>
    </row>
    <row r="22" spans="1:105">
      <c r="B22" s="207">
        <f>B2*100</f>
        <v>25</v>
      </c>
      <c r="C22" s="207">
        <f>C2*100</f>
        <v>43</v>
      </c>
      <c r="D22" s="207">
        <f>D2*100</f>
        <v>23</v>
      </c>
      <c r="E22" s="207">
        <f>E2*100</f>
        <v>9</v>
      </c>
      <c r="F22" s="207">
        <v>0</v>
      </c>
      <c r="G22" s="207">
        <v>1</v>
      </c>
      <c r="H22" s="207">
        <v>2</v>
      </c>
      <c r="I22" s="207">
        <v>3</v>
      </c>
      <c r="J22" s="207">
        <v>4</v>
      </c>
      <c r="K22" s="207">
        <v>5</v>
      </c>
      <c r="L22" s="207">
        <v>6</v>
      </c>
      <c r="M22" s="207">
        <v>7</v>
      </c>
      <c r="N22" s="207">
        <v>8</v>
      </c>
      <c r="O22" s="207">
        <v>9</v>
      </c>
      <c r="P22" s="207">
        <v>10</v>
      </c>
      <c r="Q22" s="207">
        <v>11</v>
      </c>
      <c r="R22" s="207">
        <v>12</v>
      </c>
      <c r="S22" s="207">
        <v>13</v>
      </c>
      <c r="T22" s="207">
        <v>14</v>
      </c>
      <c r="U22" s="207">
        <v>15</v>
      </c>
      <c r="V22" s="207">
        <v>16</v>
      </c>
      <c r="W22" s="207">
        <v>17</v>
      </c>
      <c r="X22" s="207">
        <v>18</v>
      </c>
      <c r="Y22" s="207">
        <v>19</v>
      </c>
      <c r="Z22" s="207">
        <v>20</v>
      </c>
      <c r="AA22" s="207">
        <v>21</v>
      </c>
      <c r="AB22" s="207">
        <v>22</v>
      </c>
      <c r="AC22" s="207">
        <v>23</v>
      </c>
      <c r="AD22" s="207">
        <v>24</v>
      </c>
      <c r="AE22" s="207">
        <v>25</v>
      </c>
      <c r="AF22" s="207">
        <v>26</v>
      </c>
      <c r="AG22" s="207">
        <v>27</v>
      </c>
      <c r="AH22" s="207">
        <v>28</v>
      </c>
      <c r="AI22" s="207">
        <v>29</v>
      </c>
      <c r="AJ22" s="207">
        <v>30</v>
      </c>
      <c r="AK22" s="207">
        <v>31</v>
      </c>
      <c r="AL22" s="207">
        <v>32</v>
      </c>
      <c r="AM22" s="207">
        <v>33</v>
      </c>
      <c r="AN22" s="207">
        <v>34</v>
      </c>
      <c r="AO22" s="207">
        <v>35</v>
      </c>
      <c r="AP22" s="207">
        <v>36</v>
      </c>
      <c r="AQ22" s="207">
        <v>37</v>
      </c>
      <c r="AR22" s="207">
        <v>38</v>
      </c>
      <c r="AS22" s="207">
        <v>39</v>
      </c>
      <c r="AT22" s="207">
        <v>40</v>
      </c>
      <c r="AU22" s="207">
        <v>41</v>
      </c>
      <c r="AV22" s="207">
        <v>42</v>
      </c>
      <c r="AW22" s="207">
        <v>43</v>
      </c>
      <c r="AX22" s="207">
        <v>44</v>
      </c>
      <c r="AY22" s="207">
        <v>45</v>
      </c>
      <c r="AZ22" s="207">
        <v>46</v>
      </c>
      <c r="BA22" s="207">
        <v>47</v>
      </c>
      <c r="BB22" s="207">
        <v>48</v>
      </c>
      <c r="BC22" s="207">
        <v>49</v>
      </c>
      <c r="BD22" s="207">
        <v>50</v>
      </c>
      <c r="BE22" s="207">
        <v>51</v>
      </c>
      <c r="BF22" s="207">
        <v>52</v>
      </c>
      <c r="BG22" s="207">
        <v>53</v>
      </c>
      <c r="BH22" s="207">
        <v>54</v>
      </c>
      <c r="BI22" s="207">
        <v>55</v>
      </c>
      <c r="BJ22" s="207">
        <v>56</v>
      </c>
      <c r="BK22" s="207">
        <v>57</v>
      </c>
      <c r="BL22" s="207">
        <v>58</v>
      </c>
      <c r="BM22" s="207">
        <v>59</v>
      </c>
      <c r="BN22" s="207">
        <v>60</v>
      </c>
      <c r="BO22" s="207">
        <v>61</v>
      </c>
      <c r="BP22" s="207">
        <v>62</v>
      </c>
      <c r="BQ22" s="207">
        <v>63</v>
      </c>
      <c r="BR22" s="207">
        <v>64</v>
      </c>
      <c r="BS22" s="207">
        <v>65</v>
      </c>
      <c r="BT22" s="207">
        <v>66</v>
      </c>
      <c r="BU22" s="207">
        <v>67</v>
      </c>
      <c r="BV22" s="207">
        <v>68</v>
      </c>
      <c r="BW22" s="207">
        <v>69</v>
      </c>
      <c r="BX22" s="207">
        <v>70</v>
      </c>
      <c r="BY22" s="207">
        <v>71</v>
      </c>
      <c r="BZ22" s="207">
        <v>72</v>
      </c>
      <c r="CA22" s="207">
        <v>73</v>
      </c>
      <c r="CB22" s="207">
        <v>74</v>
      </c>
      <c r="CC22" s="207">
        <v>75</v>
      </c>
      <c r="CD22" s="207">
        <v>76</v>
      </c>
      <c r="CE22" s="207">
        <v>77</v>
      </c>
      <c r="CF22" s="207">
        <v>78</v>
      </c>
      <c r="CG22" s="207">
        <v>79</v>
      </c>
      <c r="CH22" s="207">
        <v>80</v>
      </c>
      <c r="CI22" s="207">
        <v>81</v>
      </c>
      <c r="CJ22" s="207">
        <v>82</v>
      </c>
      <c r="CK22" s="207">
        <v>83</v>
      </c>
      <c r="CL22" s="207">
        <v>84</v>
      </c>
      <c r="CM22" s="207">
        <v>85</v>
      </c>
      <c r="CN22" s="207">
        <v>86</v>
      </c>
      <c r="CO22" s="207">
        <v>87</v>
      </c>
      <c r="CP22" s="207">
        <v>88</v>
      </c>
      <c r="CQ22" s="207">
        <v>89</v>
      </c>
      <c r="CR22" s="207">
        <v>90</v>
      </c>
      <c r="CS22" s="207">
        <v>91</v>
      </c>
      <c r="CT22" s="207">
        <v>92</v>
      </c>
      <c r="CU22" s="207">
        <v>93</v>
      </c>
      <c r="CV22" s="207">
        <v>94</v>
      </c>
      <c r="CW22" s="207">
        <v>95</v>
      </c>
      <c r="CX22" s="207">
        <v>96</v>
      </c>
      <c r="CY22" s="207">
        <v>97</v>
      </c>
      <c r="CZ22" s="207">
        <v>98</v>
      </c>
      <c r="DA22" s="207">
        <v>99</v>
      </c>
    </row>
    <row r="23" spans="1:105">
      <c r="B23" s="208">
        <f>SUM($B22:B22)</f>
        <v>25</v>
      </c>
      <c r="C23" s="208">
        <f>SUM($B22:C22)</f>
        <v>68</v>
      </c>
      <c r="D23" s="208">
        <f>SUM($B22:D22)</f>
        <v>91</v>
      </c>
      <c r="E23" s="208">
        <f>SUM($B22:E22)</f>
        <v>100</v>
      </c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  <c r="BA23" s="209"/>
      <c r="BB23" s="209"/>
      <c r="BC23" s="209"/>
      <c r="BD23" s="209"/>
      <c r="BE23" s="209"/>
      <c r="BF23" s="209"/>
      <c r="BG23" s="209"/>
      <c r="BH23" s="209"/>
      <c r="BI23" s="209"/>
      <c r="BJ23" s="209"/>
      <c r="BK23" s="209"/>
      <c r="BL23" s="209"/>
      <c r="BM23" s="209"/>
      <c r="BN23" s="209"/>
      <c r="BO23" s="209"/>
      <c r="BP23" s="209"/>
      <c r="BQ23" s="209"/>
      <c r="BR23" s="209"/>
      <c r="BS23" s="209"/>
      <c r="BT23" s="209"/>
      <c r="BU23" s="209"/>
      <c r="BV23" s="209"/>
      <c r="BW23" s="209"/>
      <c r="BX23" s="209"/>
      <c r="BY23" s="209"/>
      <c r="BZ23" s="209"/>
      <c r="CA23" s="209"/>
      <c r="CB23" s="209"/>
      <c r="CC23" s="209"/>
      <c r="CD23" s="209"/>
      <c r="CE23" s="209"/>
      <c r="CF23" s="209"/>
      <c r="CG23" s="209"/>
      <c r="CH23" s="209"/>
      <c r="CI23" s="209"/>
      <c r="CJ23" s="209"/>
      <c r="CK23" s="209"/>
      <c r="CL23" s="209"/>
      <c r="CM23" s="209"/>
      <c r="CN23" s="209"/>
      <c r="CO23" s="209"/>
      <c r="CP23" s="209"/>
      <c r="CQ23" s="209"/>
      <c r="CR23" s="209"/>
      <c r="CS23" s="209"/>
      <c r="CT23" s="209"/>
      <c r="CU23" s="209"/>
      <c r="CV23" s="209"/>
      <c r="CW23" s="209"/>
      <c r="CX23" s="209"/>
      <c r="CY23" s="209"/>
      <c r="CZ23" s="209"/>
      <c r="DA23" s="209"/>
    </row>
    <row r="24" spans="1:105">
      <c r="B24" s="210">
        <f>A23+(B23-A23)/2</f>
        <v>12.5</v>
      </c>
      <c r="C24" s="210">
        <f>B23+(C23-B23)/2</f>
        <v>46.5</v>
      </c>
      <c r="D24" s="210">
        <f>C23+(D23-C23)/2</f>
        <v>79.5</v>
      </c>
      <c r="E24" s="210">
        <f>D23+(E23-D23)/2</f>
        <v>95.5</v>
      </c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</row>
    <row r="25" spans="1:105">
      <c r="A25" s="203" t="str">
        <f>Income!A72</f>
        <v>Own crops Consumed</v>
      </c>
      <c r="B25" s="205">
        <f>Income!B72</f>
        <v>1200.5294239670377</v>
      </c>
      <c r="C25" s="205">
        <f>Income!C72</f>
        <v>2791.8711372284488</v>
      </c>
      <c r="D25" s="205">
        <f>Income!D72</f>
        <v>3104.472928176795</v>
      </c>
      <c r="E25" s="205">
        <f>Income!E72</f>
        <v>4088.2475138121531</v>
      </c>
      <c r="F25" s="212">
        <f>IF(F$22&lt;=$E$24,IF(F$22&lt;=$D$24,IF(F$22&lt;=$C$24,IF(F$22&lt;=$B$24,$B25,$B25+(F$22-$B$24)*($C25-$B25)/($C$24-$B$24)),$C25+(F$22-$C$24)*($D25-$C25)/($D$24-$C$24)),$D25+(F$22-$D$24)*($E25-$D25)/($E$24-$D$24)),$E25)</f>
        <v>1200.5294239670377</v>
      </c>
      <c r="G25" s="212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1200.5294239670377</v>
      </c>
      <c r="H25" s="212">
        <f t="shared" si="16"/>
        <v>1200.5294239670377</v>
      </c>
      <c r="I25" s="212">
        <f t="shared" si="16"/>
        <v>1200.5294239670377</v>
      </c>
      <c r="J25" s="212">
        <f t="shared" si="16"/>
        <v>1200.5294239670377</v>
      </c>
      <c r="K25" s="212">
        <f t="shared" si="16"/>
        <v>1200.5294239670377</v>
      </c>
      <c r="L25" s="212">
        <f t="shared" si="16"/>
        <v>1200.5294239670377</v>
      </c>
      <c r="M25" s="212">
        <f t="shared" si="16"/>
        <v>1200.5294239670377</v>
      </c>
      <c r="N25" s="212">
        <f t="shared" si="16"/>
        <v>1200.5294239670377</v>
      </c>
      <c r="O25" s="212">
        <f t="shared" si="16"/>
        <v>1200.5294239670377</v>
      </c>
      <c r="P25" s="212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1200.5294239670377</v>
      </c>
      <c r="Q25" s="212">
        <f t="shared" si="17"/>
        <v>1200.5294239670377</v>
      </c>
      <c r="R25" s="212">
        <f t="shared" si="17"/>
        <v>1200.5294239670377</v>
      </c>
      <c r="S25" s="212">
        <f>IF(S$22&lt;=$E$24,IF(S$22&lt;=$D$24,IF(S$22&lt;=$C$24,IF(S$22&lt;=$B$24,$B25,$B25+(S$22-$B$24)*($C25-$B25)/($C$24-$B$24)),$C25+(S$22-$C$24)*($D25-$C25)/($D$24-$C$24)),$D25+(S$22-$D$24)*($E25-$D25)/($E$24-$D$24)),$E25)</f>
        <v>1223.9315079855878</v>
      </c>
      <c r="T25" s="212">
        <f t="shared" si="17"/>
        <v>1270.7356760226883</v>
      </c>
      <c r="U25" s="212">
        <f t="shared" si="17"/>
        <v>1317.5398440597885</v>
      </c>
      <c r="V25" s="212">
        <f t="shared" si="17"/>
        <v>1364.3440120968889</v>
      </c>
      <c r="W25" s="212">
        <f t="shared" si="17"/>
        <v>1411.1481801339892</v>
      </c>
      <c r="X25" s="212">
        <f t="shared" si="17"/>
        <v>1457.9523481710894</v>
      </c>
      <c r="Y25" s="212">
        <f t="shared" si="17"/>
        <v>1504.7565162081899</v>
      </c>
      <c r="Z25" s="212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1551.5606842452901</v>
      </c>
      <c r="AA25" s="212">
        <f t="shared" si="18"/>
        <v>1598.3648522823905</v>
      </c>
      <c r="AB25" s="212">
        <f t="shared" si="18"/>
        <v>1645.1690203194908</v>
      </c>
      <c r="AC25" s="212">
        <f t="shared" si="18"/>
        <v>1691.9731883565912</v>
      </c>
      <c r="AD25" s="212">
        <f t="shared" si="18"/>
        <v>1738.7773563936914</v>
      </c>
      <c r="AE25" s="212">
        <f t="shared" si="18"/>
        <v>1785.5815244307919</v>
      </c>
      <c r="AF25" s="212">
        <f t="shared" si="18"/>
        <v>1832.3856924678921</v>
      </c>
      <c r="AG25" s="212">
        <f t="shared" si="18"/>
        <v>1879.1898605049923</v>
      </c>
      <c r="AH25" s="212">
        <f t="shared" si="18"/>
        <v>1925.9940285420928</v>
      </c>
      <c r="AI25" s="212">
        <f t="shared" si="18"/>
        <v>1972.7981965791932</v>
      </c>
      <c r="AJ25" s="212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2019.6023646162935</v>
      </c>
      <c r="AK25" s="212">
        <f t="shared" si="19"/>
        <v>2066.4065326533937</v>
      </c>
      <c r="AL25" s="212">
        <f t="shared" si="19"/>
        <v>2113.2107006904939</v>
      </c>
      <c r="AM25" s="212">
        <f t="shared" si="19"/>
        <v>2160.0148687275941</v>
      </c>
      <c r="AN25" s="212">
        <f t="shared" si="19"/>
        <v>2206.8190367646948</v>
      </c>
      <c r="AO25" s="212">
        <f t="shared" si="19"/>
        <v>2253.6232048017946</v>
      </c>
      <c r="AP25" s="212">
        <f t="shared" si="19"/>
        <v>2300.4273728388953</v>
      </c>
      <c r="AQ25" s="212">
        <f t="shared" si="19"/>
        <v>2347.231540875996</v>
      </c>
      <c r="AR25" s="212">
        <f t="shared" si="19"/>
        <v>2394.0357089130957</v>
      </c>
      <c r="AS25" s="212">
        <f t="shared" si="19"/>
        <v>2440.8398769501964</v>
      </c>
      <c r="AT25" s="212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2487.6440449872966</v>
      </c>
      <c r="AU25" s="212">
        <f t="shared" si="20"/>
        <v>2534.4482130243969</v>
      </c>
      <c r="AV25" s="212">
        <f t="shared" si="20"/>
        <v>2581.2523810614975</v>
      </c>
      <c r="AW25" s="212">
        <f t="shared" si="20"/>
        <v>2628.0565490985973</v>
      </c>
      <c r="AX25" s="212">
        <f t="shared" si="20"/>
        <v>2674.860717135698</v>
      </c>
      <c r="AY25" s="212">
        <f t="shared" si="20"/>
        <v>2721.6648851727982</v>
      </c>
      <c r="AZ25" s="212">
        <f t="shared" si="20"/>
        <v>2768.4690532098984</v>
      </c>
      <c r="BA25" s="212">
        <f t="shared" si="20"/>
        <v>2796.6075280003934</v>
      </c>
      <c r="BB25" s="212">
        <f t="shared" si="20"/>
        <v>2806.0803095442825</v>
      </c>
      <c r="BC25" s="212">
        <f t="shared" si="20"/>
        <v>2815.5530910881721</v>
      </c>
      <c r="BD25" s="212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2825.0258726320612</v>
      </c>
      <c r="BE25" s="212">
        <f t="shared" si="21"/>
        <v>2834.4986541759504</v>
      </c>
      <c r="BF25" s="212">
        <f t="shared" si="21"/>
        <v>2843.97143571984</v>
      </c>
      <c r="BG25" s="212">
        <f t="shared" si="21"/>
        <v>2853.4442172637291</v>
      </c>
      <c r="BH25" s="212">
        <f t="shared" si="21"/>
        <v>2862.9169988076183</v>
      </c>
      <c r="BI25" s="212">
        <f t="shared" si="21"/>
        <v>2872.3897803515079</v>
      </c>
      <c r="BJ25" s="212">
        <f t="shared" si="21"/>
        <v>2881.862561895397</v>
      </c>
      <c r="BK25" s="212">
        <f t="shared" si="21"/>
        <v>2891.3353434392861</v>
      </c>
      <c r="BL25" s="212">
        <f t="shared" si="21"/>
        <v>2900.8081249831757</v>
      </c>
      <c r="BM25" s="212">
        <f t="shared" si="21"/>
        <v>2910.2809065270649</v>
      </c>
      <c r="BN25" s="212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2919.753688070954</v>
      </c>
      <c r="BO25" s="212">
        <f t="shared" si="22"/>
        <v>2929.2264696148432</v>
      </c>
      <c r="BP25" s="212">
        <f t="shared" si="22"/>
        <v>2938.6992511587327</v>
      </c>
      <c r="BQ25" s="212">
        <f t="shared" si="22"/>
        <v>2948.1720327026219</v>
      </c>
      <c r="BR25" s="212">
        <f t="shared" si="22"/>
        <v>2957.644814246511</v>
      </c>
      <c r="BS25" s="212">
        <f t="shared" si="22"/>
        <v>2967.1175957904006</v>
      </c>
      <c r="BT25" s="212">
        <f t="shared" si="22"/>
        <v>2976.5903773342898</v>
      </c>
      <c r="BU25" s="212">
        <f t="shared" si="22"/>
        <v>2986.0631588781789</v>
      </c>
      <c r="BV25" s="212">
        <f t="shared" si="22"/>
        <v>2995.5359404220685</v>
      </c>
      <c r="BW25" s="212">
        <f t="shared" si="22"/>
        <v>3005.0087219659576</v>
      </c>
      <c r="BX25" s="212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3014.4815035098468</v>
      </c>
      <c r="BY25" s="212">
        <f t="shared" si="23"/>
        <v>3023.9542850537359</v>
      </c>
      <c r="BZ25" s="212">
        <f t="shared" si="23"/>
        <v>3033.4270665976255</v>
      </c>
      <c r="CA25" s="212">
        <f t="shared" si="23"/>
        <v>3042.8998481415147</v>
      </c>
      <c r="CB25" s="212">
        <f t="shared" si="23"/>
        <v>3052.3726296854038</v>
      </c>
      <c r="CC25" s="212">
        <f t="shared" si="23"/>
        <v>3061.8454112292934</v>
      </c>
      <c r="CD25" s="212">
        <f t="shared" si="23"/>
        <v>3071.3181927731825</v>
      </c>
      <c r="CE25" s="212">
        <f t="shared" si="23"/>
        <v>3080.7909743170717</v>
      </c>
      <c r="CF25" s="212">
        <f t="shared" si="23"/>
        <v>3090.2637558609613</v>
      </c>
      <c r="CG25" s="212">
        <f t="shared" si="23"/>
        <v>3099.7365374048504</v>
      </c>
      <c r="CH25" s="212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3135.2158839778999</v>
      </c>
      <c r="CI25" s="212">
        <f t="shared" si="24"/>
        <v>3196.7017955801098</v>
      </c>
      <c r="CJ25" s="212">
        <f t="shared" si="24"/>
        <v>3258.1877071823196</v>
      </c>
      <c r="CK25" s="212">
        <f t="shared" si="24"/>
        <v>3319.6736187845295</v>
      </c>
      <c r="CL25" s="212">
        <f t="shared" si="24"/>
        <v>3381.1595303867393</v>
      </c>
      <c r="CM25" s="212">
        <f t="shared" si="24"/>
        <v>3442.6454419889492</v>
      </c>
      <c r="CN25" s="212">
        <f t="shared" si="24"/>
        <v>3504.131353591159</v>
      </c>
      <c r="CO25" s="212">
        <f t="shared" si="24"/>
        <v>3565.6172651933693</v>
      </c>
      <c r="CP25" s="212">
        <f t="shared" si="24"/>
        <v>3627.1031767955792</v>
      </c>
      <c r="CQ25" s="212">
        <f t="shared" si="24"/>
        <v>3688.5890883977891</v>
      </c>
      <c r="CR25" s="212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3750.0749999999989</v>
      </c>
      <c r="CS25" s="212">
        <f t="shared" si="25"/>
        <v>3811.5609116022088</v>
      </c>
      <c r="CT25" s="212">
        <f t="shared" si="25"/>
        <v>3873.0468232044186</v>
      </c>
      <c r="CU25" s="212">
        <f t="shared" si="25"/>
        <v>3934.5327348066285</v>
      </c>
      <c r="CV25" s="212">
        <f t="shared" si="25"/>
        <v>3996.0186464088383</v>
      </c>
      <c r="CW25" s="212">
        <f t="shared" si="25"/>
        <v>4057.5045580110482</v>
      </c>
      <c r="CX25" s="212">
        <f t="shared" si="25"/>
        <v>4088.2475138121531</v>
      </c>
      <c r="CY25" s="212">
        <f t="shared" si="25"/>
        <v>4088.2475138121531</v>
      </c>
      <c r="CZ25" s="212">
        <f t="shared" si="25"/>
        <v>4088.2475138121531</v>
      </c>
      <c r="DA25" s="212">
        <f t="shared" si="25"/>
        <v>4088.2475138121531</v>
      </c>
    </row>
    <row r="26" spans="1:105">
      <c r="A26" s="203" t="str">
        <f>Income!A73</f>
        <v>Own crops sold</v>
      </c>
      <c r="B26" s="205">
        <f>Income!B73</f>
        <v>0</v>
      </c>
      <c r="C26" s="205">
        <f>Income!C73</f>
        <v>447.99999999999994</v>
      </c>
      <c r="D26" s="205">
        <f>Income!D73</f>
        <v>3768.5759999999996</v>
      </c>
      <c r="E26" s="205">
        <f>Income!E73</f>
        <v>11020.8</v>
      </c>
      <c r="F26" s="212">
        <f t="shared" si="16"/>
        <v>0</v>
      </c>
      <c r="G26" s="212">
        <f t="shared" si="16"/>
        <v>0</v>
      </c>
      <c r="H26" s="212">
        <f t="shared" si="16"/>
        <v>0</v>
      </c>
      <c r="I26" s="212">
        <f t="shared" si="16"/>
        <v>0</v>
      </c>
      <c r="J26" s="212">
        <f t="shared" si="16"/>
        <v>0</v>
      </c>
      <c r="K26" s="212">
        <f t="shared" si="16"/>
        <v>0</v>
      </c>
      <c r="L26" s="212">
        <f t="shared" si="16"/>
        <v>0</v>
      </c>
      <c r="M26" s="212">
        <f t="shared" si="16"/>
        <v>0</v>
      </c>
      <c r="N26" s="212">
        <f t="shared" si="16"/>
        <v>0</v>
      </c>
      <c r="O26" s="212">
        <f t="shared" si="16"/>
        <v>0</v>
      </c>
      <c r="P26" s="212">
        <f t="shared" si="17"/>
        <v>0</v>
      </c>
      <c r="Q26" s="212">
        <f t="shared" si="17"/>
        <v>0</v>
      </c>
      <c r="R26" s="212">
        <f t="shared" si="17"/>
        <v>0</v>
      </c>
      <c r="S26" s="212">
        <f t="shared" si="17"/>
        <v>6.5882352941176459</v>
      </c>
      <c r="T26" s="212">
        <f t="shared" si="17"/>
        <v>19.764705882352938</v>
      </c>
      <c r="U26" s="212">
        <f t="shared" si="17"/>
        <v>32.941176470588232</v>
      </c>
      <c r="V26" s="212">
        <f t="shared" si="17"/>
        <v>46.117647058823522</v>
      </c>
      <c r="W26" s="212">
        <f t="shared" si="17"/>
        <v>59.294117647058819</v>
      </c>
      <c r="X26" s="212">
        <f t="shared" si="17"/>
        <v>72.470588235294102</v>
      </c>
      <c r="Y26" s="212">
        <f t="shared" si="17"/>
        <v>85.647058823529392</v>
      </c>
      <c r="Z26" s="212">
        <f t="shared" si="18"/>
        <v>98.823529411764696</v>
      </c>
      <c r="AA26" s="212">
        <f t="shared" si="18"/>
        <v>111.99999999999999</v>
      </c>
      <c r="AB26" s="212">
        <f t="shared" si="18"/>
        <v>125.17647058823526</v>
      </c>
      <c r="AC26" s="212">
        <f t="shared" si="18"/>
        <v>138.35294117647055</v>
      </c>
      <c r="AD26" s="212">
        <f t="shared" si="18"/>
        <v>151.52941176470586</v>
      </c>
      <c r="AE26" s="212">
        <f t="shared" si="18"/>
        <v>164.70588235294116</v>
      </c>
      <c r="AF26" s="212">
        <f t="shared" si="18"/>
        <v>177.88235294117644</v>
      </c>
      <c r="AG26" s="212">
        <f t="shared" si="18"/>
        <v>191.05882352941174</v>
      </c>
      <c r="AH26" s="212">
        <f t="shared" si="18"/>
        <v>204.23529411764704</v>
      </c>
      <c r="AI26" s="212">
        <f t="shared" si="18"/>
        <v>217.41176470588232</v>
      </c>
      <c r="AJ26" s="212">
        <f t="shared" si="19"/>
        <v>230.58823529411762</v>
      </c>
      <c r="AK26" s="212">
        <f t="shared" si="19"/>
        <v>243.7647058823529</v>
      </c>
      <c r="AL26" s="212">
        <f t="shared" si="19"/>
        <v>256.94117647058818</v>
      </c>
      <c r="AM26" s="212">
        <f t="shared" si="19"/>
        <v>270.11764705882348</v>
      </c>
      <c r="AN26" s="212">
        <f t="shared" si="19"/>
        <v>283.29411764705878</v>
      </c>
      <c r="AO26" s="212">
        <f t="shared" si="19"/>
        <v>296.47058823529409</v>
      </c>
      <c r="AP26" s="212">
        <f t="shared" si="19"/>
        <v>309.64705882352933</v>
      </c>
      <c r="AQ26" s="212">
        <f t="shared" si="19"/>
        <v>322.82352941176464</v>
      </c>
      <c r="AR26" s="212">
        <f t="shared" si="19"/>
        <v>335.99999999999994</v>
      </c>
      <c r="AS26" s="212">
        <f t="shared" si="19"/>
        <v>349.17647058823525</v>
      </c>
      <c r="AT26" s="212">
        <f t="shared" si="20"/>
        <v>362.35294117647055</v>
      </c>
      <c r="AU26" s="212">
        <f t="shared" si="20"/>
        <v>375.52941176470586</v>
      </c>
      <c r="AV26" s="212">
        <f t="shared" si="20"/>
        <v>388.7058823529411</v>
      </c>
      <c r="AW26" s="212">
        <f t="shared" si="20"/>
        <v>401.88235294117641</v>
      </c>
      <c r="AX26" s="212">
        <f t="shared" si="20"/>
        <v>415.05882352941171</v>
      </c>
      <c r="AY26" s="212">
        <f t="shared" si="20"/>
        <v>428.23529411764702</v>
      </c>
      <c r="AZ26" s="212">
        <f t="shared" si="20"/>
        <v>441.41176470588232</v>
      </c>
      <c r="BA26" s="212">
        <f t="shared" si="20"/>
        <v>498.3117575757575</v>
      </c>
      <c r="BB26" s="212">
        <f t="shared" si="20"/>
        <v>598.9352727272726</v>
      </c>
      <c r="BC26" s="212">
        <f t="shared" si="20"/>
        <v>699.55878787878783</v>
      </c>
      <c r="BD26" s="212">
        <f t="shared" si="21"/>
        <v>800.18230303030293</v>
      </c>
      <c r="BE26" s="212">
        <f t="shared" si="21"/>
        <v>900.80581818181804</v>
      </c>
      <c r="BF26" s="212">
        <f t="shared" si="21"/>
        <v>1001.4293333333333</v>
      </c>
      <c r="BG26" s="212">
        <f t="shared" si="21"/>
        <v>1102.0528484848485</v>
      </c>
      <c r="BH26" s="212">
        <f t="shared" si="21"/>
        <v>1202.6763636363635</v>
      </c>
      <c r="BI26" s="212">
        <f t="shared" si="21"/>
        <v>1303.2998787878787</v>
      </c>
      <c r="BJ26" s="212">
        <f t="shared" si="21"/>
        <v>1403.9233939393937</v>
      </c>
      <c r="BK26" s="212">
        <f t="shared" si="21"/>
        <v>1504.5469090909089</v>
      </c>
      <c r="BL26" s="212">
        <f t="shared" si="21"/>
        <v>1605.1704242424241</v>
      </c>
      <c r="BM26" s="212">
        <f t="shared" si="21"/>
        <v>1705.7939393939394</v>
      </c>
      <c r="BN26" s="212">
        <f t="shared" si="22"/>
        <v>1806.4174545454543</v>
      </c>
      <c r="BO26" s="212">
        <f t="shared" si="22"/>
        <v>1907.0409696969693</v>
      </c>
      <c r="BP26" s="212">
        <f t="shared" si="22"/>
        <v>2007.6644848484846</v>
      </c>
      <c r="BQ26" s="212">
        <f t="shared" si="22"/>
        <v>2108.2879999999996</v>
      </c>
      <c r="BR26" s="212">
        <f t="shared" si="22"/>
        <v>2208.9115151515148</v>
      </c>
      <c r="BS26" s="212">
        <f t="shared" si="22"/>
        <v>2309.53503030303</v>
      </c>
      <c r="BT26" s="212">
        <f t="shared" si="22"/>
        <v>2410.1585454545452</v>
      </c>
      <c r="BU26" s="212">
        <f t="shared" si="22"/>
        <v>2510.7820606060604</v>
      </c>
      <c r="BV26" s="212">
        <f t="shared" si="22"/>
        <v>2611.4055757575757</v>
      </c>
      <c r="BW26" s="212">
        <f t="shared" si="22"/>
        <v>2712.0290909090909</v>
      </c>
      <c r="BX26" s="212">
        <f t="shared" si="23"/>
        <v>2812.6526060606056</v>
      </c>
      <c r="BY26" s="212">
        <f t="shared" si="23"/>
        <v>2913.2761212121209</v>
      </c>
      <c r="BZ26" s="212">
        <f t="shared" si="23"/>
        <v>3013.8996363636361</v>
      </c>
      <c r="CA26" s="212">
        <f t="shared" si="23"/>
        <v>3114.5231515151513</v>
      </c>
      <c r="CB26" s="212">
        <f t="shared" si="23"/>
        <v>3215.1466666666661</v>
      </c>
      <c r="CC26" s="212">
        <f t="shared" si="23"/>
        <v>3315.7701818181813</v>
      </c>
      <c r="CD26" s="212">
        <f t="shared" si="23"/>
        <v>3416.3936969696965</v>
      </c>
      <c r="CE26" s="212">
        <f t="shared" si="23"/>
        <v>3517.0172121212117</v>
      </c>
      <c r="CF26" s="212">
        <f t="shared" si="23"/>
        <v>3617.640727272727</v>
      </c>
      <c r="CG26" s="212">
        <f t="shared" si="23"/>
        <v>3718.2642424242422</v>
      </c>
      <c r="CH26" s="212">
        <f t="shared" si="24"/>
        <v>3995.2079999999996</v>
      </c>
      <c r="CI26" s="212">
        <f t="shared" si="24"/>
        <v>4448.4719999999998</v>
      </c>
      <c r="CJ26" s="212">
        <f t="shared" si="24"/>
        <v>4901.7359999999999</v>
      </c>
      <c r="CK26" s="212">
        <f t="shared" si="24"/>
        <v>5355</v>
      </c>
      <c r="CL26" s="212">
        <f t="shared" si="24"/>
        <v>5808.2639999999992</v>
      </c>
      <c r="CM26" s="212">
        <f t="shared" si="24"/>
        <v>6261.5280000000002</v>
      </c>
      <c r="CN26" s="212">
        <f t="shared" si="24"/>
        <v>6714.7919999999995</v>
      </c>
      <c r="CO26" s="212">
        <f t="shared" si="24"/>
        <v>7168.0559999999996</v>
      </c>
      <c r="CP26" s="212">
        <f t="shared" si="24"/>
        <v>7621.32</v>
      </c>
      <c r="CQ26" s="212">
        <f t="shared" si="24"/>
        <v>8074.5839999999989</v>
      </c>
      <c r="CR26" s="212">
        <f t="shared" si="25"/>
        <v>8527.848</v>
      </c>
      <c r="CS26" s="212">
        <f t="shared" si="25"/>
        <v>8981.1119999999992</v>
      </c>
      <c r="CT26" s="212">
        <f t="shared" si="25"/>
        <v>9434.3760000000002</v>
      </c>
      <c r="CU26" s="212">
        <f t="shared" si="25"/>
        <v>9887.64</v>
      </c>
      <c r="CV26" s="212">
        <f t="shared" si="25"/>
        <v>10340.904</v>
      </c>
      <c r="CW26" s="212">
        <f t="shared" si="25"/>
        <v>10794.168</v>
      </c>
      <c r="CX26" s="212">
        <f t="shared" si="25"/>
        <v>11020.8</v>
      </c>
      <c r="CY26" s="212">
        <f t="shared" si="25"/>
        <v>11020.8</v>
      </c>
      <c r="CZ26" s="212">
        <f t="shared" si="25"/>
        <v>11020.8</v>
      </c>
      <c r="DA26" s="212">
        <f t="shared" si="25"/>
        <v>11020.8</v>
      </c>
    </row>
    <row r="27" spans="1:105">
      <c r="A27" s="203" t="str">
        <f>Income!A74</f>
        <v>Animal products consumed</v>
      </c>
      <c r="B27" s="205">
        <f>Income!B74</f>
        <v>0</v>
      </c>
      <c r="C27" s="205">
        <f>Income!C74</f>
        <v>59.413246683736901</v>
      </c>
      <c r="D27" s="205">
        <f>Income!D74</f>
        <v>352.47640176149508</v>
      </c>
      <c r="E27" s="205">
        <f>Income!E74</f>
        <v>507.01801557855862</v>
      </c>
      <c r="F27" s="212">
        <f t="shared" si="16"/>
        <v>0</v>
      </c>
      <c r="G27" s="212">
        <f t="shared" si="16"/>
        <v>0</v>
      </c>
      <c r="H27" s="212">
        <f t="shared" si="16"/>
        <v>0</v>
      </c>
      <c r="I27" s="212">
        <f t="shared" si="16"/>
        <v>0</v>
      </c>
      <c r="J27" s="212">
        <f t="shared" si="16"/>
        <v>0</v>
      </c>
      <c r="K27" s="212">
        <f t="shared" si="16"/>
        <v>0</v>
      </c>
      <c r="L27" s="212">
        <f t="shared" si="16"/>
        <v>0</v>
      </c>
      <c r="M27" s="212">
        <f t="shared" si="16"/>
        <v>0</v>
      </c>
      <c r="N27" s="212">
        <f t="shared" si="16"/>
        <v>0</v>
      </c>
      <c r="O27" s="212">
        <f t="shared" si="16"/>
        <v>0</v>
      </c>
      <c r="P27" s="212">
        <f t="shared" si="17"/>
        <v>0</v>
      </c>
      <c r="Q27" s="212">
        <f t="shared" si="17"/>
        <v>0</v>
      </c>
      <c r="R27" s="212">
        <f t="shared" si="17"/>
        <v>0</v>
      </c>
      <c r="S27" s="212">
        <f t="shared" si="17"/>
        <v>0.87372421593730731</v>
      </c>
      <c r="T27" s="212">
        <f t="shared" si="17"/>
        <v>2.6211726478119219</v>
      </c>
      <c r="U27" s="212">
        <f t="shared" si="17"/>
        <v>4.3686210796865375</v>
      </c>
      <c r="V27" s="212">
        <f t="shared" si="17"/>
        <v>6.1160695115611512</v>
      </c>
      <c r="W27" s="212">
        <f t="shared" si="17"/>
        <v>7.8635179434357667</v>
      </c>
      <c r="X27" s="212">
        <f t="shared" si="17"/>
        <v>9.6109663753103813</v>
      </c>
      <c r="Y27" s="212">
        <f t="shared" si="17"/>
        <v>11.358414807184996</v>
      </c>
      <c r="Z27" s="212">
        <f t="shared" si="18"/>
        <v>13.105863239059611</v>
      </c>
      <c r="AA27" s="212">
        <f t="shared" si="18"/>
        <v>14.853311670934225</v>
      </c>
      <c r="AB27" s="212">
        <f t="shared" si="18"/>
        <v>16.600760102808838</v>
      </c>
      <c r="AC27" s="212">
        <f t="shared" si="18"/>
        <v>18.348208534683454</v>
      </c>
      <c r="AD27" s="212">
        <f t="shared" si="18"/>
        <v>20.095656966558071</v>
      </c>
      <c r="AE27" s="212">
        <f t="shared" si="18"/>
        <v>21.843105398432684</v>
      </c>
      <c r="AF27" s="212">
        <f t="shared" si="18"/>
        <v>23.5905538303073</v>
      </c>
      <c r="AG27" s="212">
        <f t="shared" si="18"/>
        <v>25.338002262181913</v>
      </c>
      <c r="AH27" s="212">
        <f t="shared" si="18"/>
        <v>27.085450694056529</v>
      </c>
      <c r="AI27" s="212">
        <f t="shared" si="18"/>
        <v>28.832899125931142</v>
      </c>
      <c r="AJ27" s="212">
        <f t="shared" si="19"/>
        <v>30.580347557805762</v>
      </c>
      <c r="AK27" s="212">
        <f t="shared" si="19"/>
        <v>32.327795989680375</v>
      </c>
      <c r="AL27" s="212">
        <f t="shared" si="19"/>
        <v>34.075244421554984</v>
      </c>
      <c r="AM27" s="212">
        <f t="shared" si="19"/>
        <v>35.822692853429601</v>
      </c>
      <c r="AN27" s="212">
        <f t="shared" si="19"/>
        <v>37.570141285304217</v>
      </c>
      <c r="AO27" s="212">
        <f t="shared" si="19"/>
        <v>39.317589717178826</v>
      </c>
      <c r="AP27" s="212">
        <f t="shared" si="19"/>
        <v>41.06503814905345</v>
      </c>
      <c r="AQ27" s="212">
        <f t="shared" si="19"/>
        <v>42.812486580928059</v>
      </c>
      <c r="AR27" s="212">
        <f t="shared" si="19"/>
        <v>44.559935012802676</v>
      </c>
      <c r="AS27" s="212">
        <f t="shared" si="19"/>
        <v>46.307383444677292</v>
      </c>
      <c r="AT27" s="212">
        <f t="shared" si="20"/>
        <v>48.054831876551901</v>
      </c>
      <c r="AU27" s="212">
        <f t="shared" si="20"/>
        <v>49.802280308426525</v>
      </c>
      <c r="AV27" s="212">
        <f t="shared" si="20"/>
        <v>51.549728740301134</v>
      </c>
      <c r="AW27" s="212">
        <f t="shared" si="20"/>
        <v>53.297177172175743</v>
      </c>
      <c r="AX27" s="212">
        <f t="shared" si="20"/>
        <v>55.044625604050367</v>
      </c>
      <c r="AY27" s="212">
        <f t="shared" si="20"/>
        <v>56.792074035924976</v>
      </c>
      <c r="AZ27" s="212">
        <f t="shared" si="20"/>
        <v>58.5395224677996</v>
      </c>
      <c r="BA27" s="212">
        <f t="shared" si="20"/>
        <v>63.853597518248392</v>
      </c>
      <c r="BB27" s="212">
        <f t="shared" si="20"/>
        <v>72.734299187271361</v>
      </c>
      <c r="BC27" s="212">
        <f t="shared" si="20"/>
        <v>81.615000856294344</v>
      </c>
      <c r="BD27" s="212">
        <f t="shared" si="21"/>
        <v>90.495702525317313</v>
      </c>
      <c r="BE27" s="212">
        <f t="shared" si="21"/>
        <v>99.376404194340296</v>
      </c>
      <c r="BF27" s="212">
        <f t="shared" si="21"/>
        <v>108.25710586336328</v>
      </c>
      <c r="BG27" s="212">
        <f t="shared" si="21"/>
        <v>117.13780753238623</v>
      </c>
      <c r="BH27" s="212">
        <f t="shared" si="21"/>
        <v>126.01850920140923</v>
      </c>
      <c r="BI27" s="212">
        <f t="shared" si="21"/>
        <v>134.8992108704322</v>
      </c>
      <c r="BJ27" s="212">
        <f t="shared" si="21"/>
        <v>143.77991253945518</v>
      </c>
      <c r="BK27" s="212">
        <f t="shared" si="21"/>
        <v>152.66061420847814</v>
      </c>
      <c r="BL27" s="212">
        <f t="shared" si="21"/>
        <v>161.54131587750112</v>
      </c>
      <c r="BM27" s="212">
        <f t="shared" si="21"/>
        <v>170.4220175465241</v>
      </c>
      <c r="BN27" s="212">
        <f t="shared" si="22"/>
        <v>179.30271921554709</v>
      </c>
      <c r="BO27" s="212">
        <f t="shared" si="22"/>
        <v>188.18342088457007</v>
      </c>
      <c r="BP27" s="212">
        <f t="shared" si="22"/>
        <v>197.06412255359302</v>
      </c>
      <c r="BQ27" s="212">
        <f t="shared" si="22"/>
        <v>205.94482422261601</v>
      </c>
      <c r="BR27" s="212">
        <f t="shared" si="22"/>
        <v>214.82552589163896</v>
      </c>
      <c r="BS27" s="212">
        <f t="shared" si="22"/>
        <v>223.70622756066197</v>
      </c>
      <c r="BT27" s="212">
        <f t="shared" si="22"/>
        <v>232.58692922968493</v>
      </c>
      <c r="BU27" s="212">
        <f t="shared" si="22"/>
        <v>241.46763089870791</v>
      </c>
      <c r="BV27" s="212">
        <f t="shared" si="22"/>
        <v>250.34833256773086</v>
      </c>
      <c r="BW27" s="212">
        <f t="shared" si="22"/>
        <v>259.22903423675388</v>
      </c>
      <c r="BX27" s="212">
        <f t="shared" si="23"/>
        <v>268.1097359057768</v>
      </c>
      <c r="BY27" s="212">
        <f t="shared" si="23"/>
        <v>276.99043757479978</v>
      </c>
      <c r="BZ27" s="212">
        <f t="shared" si="23"/>
        <v>285.87113924382277</v>
      </c>
      <c r="CA27" s="212">
        <f t="shared" si="23"/>
        <v>294.75184091284575</v>
      </c>
      <c r="CB27" s="212">
        <f t="shared" si="23"/>
        <v>303.63254258186873</v>
      </c>
      <c r="CC27" s="212">
        <f t="shared" si="23"/>
        <v>312.51324425089172</v>
      </c>
      <c r="CD27" s="212">
        <f t="shared" si="23"/>
        <v>321.3939459199147</v>
      </c>
      <c r="CE27" s="212">
        <f t="shared" si="23"/>
        <v>330.27464758893768</v>
      </c>
      <c r="CF27" s="212">
        <f t="shared" si="23"/>
        <v>339.15534925796067</v>
      </c>
      <c r="CG27" s="212">
        <f t="shared" si="23"/>
        <v>348.03605092698365</v>
      </c>
      <c r="CH27" s="212">
        <f t="shared" si="24"/>
        <v>357.30582719327833</v>
      </c>
      <c r="CI27" s="212">
        <f t="shared" si="24"/>
        <v>366.96467805684478</v>
      </c>
      <c r="CJ27" s="212">
        <f t="shared" si="24"/>
        <v>376.62352892041127</v>
      </c>
      <c r="CK27" s="212">
        <f t="shared" si="24"/>
        <v>386.28237978397772</v>
      </c>
      <c r="CL27" s="212">
        <f t="shared" si="24"/>
        <v>395.94123064754422</v>
      </c>
      <c r="CM27" s="212">
        <f t="shared" si="24"/>
        <v>405.60008151111066</v>
      </c>
      <c r="CN27" s="212">
        <f t="shared" si="24"/>
        <v>415.25893237467716</v>
      </c>
      <c r="CO27" s="212">
        <f t="shared" si="24"/>
        <v>424.9177832382436</v>
      </c>
      <c r="CP27" s="212">
        <f t="shared" si="24"/>
        <v>434.5766341018101</v>
      </c>
      <c r="CQ27" s="212">
        <f t="shared" si="24"/>
        <v>444.23548496537654</v>
      </c>
      <c r="CR27" s="212">
        <f t="shared" si="25"/>
        <v>453.89433582894304</v>
      </c>
      <c r="CS27" s="212">
        <f t="shared" si="25"/>
        <v>463.55318669250948</v>
      </c>
      <c r="CT27" s="212">
        <f t="shared" si="25"/>
        <v>473.21203755607598</v>
      </c>
      <c r="CU27" s="212">
        <f t="shared" si="25"/>
        <v>482.87088841964243</v>
      </c>
      <c r="CV27" s="212">
        <f t="shared" si="25"/>
        <v>492.52973928320893</v>
      </c>
      <c r="CW27" s="212">
        <f t="shared" si="25"/>
        <v>502.18859014677537</v>
      </c>
      <c r="CX27" s="212">
        <f t="shared" si="25"/>
        <v>507.01801557855862</v>
      </c>
      <c r="CY27" s="212">
        <f t="shared" si="25"/>
        <v>507.01801557855862</v>
      </c>
      <c r="CZ27" s="212">
        <f t="shared" si="25"/>
        <v>507.01801557855862</v>
      </c>
      <c r="DA27" s="212">
        <f t="shared" si="25"/>
        <v>507.01801557855862</v>
      </c>
    </row>
    <row r="28" spans="1:105">
      <c r="A28" s="203" t="str">
        <f>Income!A75</f>
        <v>Animal products sold</v>
      </c>
      <c r="B28" s="205">
        <f>Income!B75</f>
        <v>0</v>
      </c>
      <c r="C28" s="205">
        <f>Income!C75</f>
        <v>0</v>
      </c>
      <c r="D28" s="205">
        <f>Income!D75</f>
        <v>0</v>
      </c>
      <c r="E28" s="205">
        <f>Income!E75</f>
        <v>0</v>
      </c>
      <c r="F28" s="212">
        <f t="shared" si="16"/>
        <v>0</v>
      </c>
      <c r="G28" s="212">
        <f t="shared" si="16"/>
        <v>0</v>
      </c>
      <c r="H28" s="212">
        <f t="shared" si="16"/>
        <v>0</v>
      </c>
      <c r="I28" s="212">
        <f t="shared" si="16"/>
        <v>0</v>
      </c>
      <c r="J28" s="212">
        <f t="shared" si="16"/>
        <v>0</v>
      </c>
      <c r="K28" s="212">
        <f t="shared" si="16"/>
        <v>0</v>
      </c>
      <c r="L28" s="212">
        <f t="shared" si="16"/>
        <v>0</v>
      </c>
      <c r="M28" s="212">
        <f t="shared" si="16"/>
        <v>0</v>
      </c>
      <c r="N28" s="212">
        <f t="shared" si="16"/>
        <v>0</v>
      </c>
      <c r="O28" s="212">
        <f t="shared" si="16"/>
        <v>0</v>
      </c>
      <c r="P28" s="212">
        <f t="shared" si="17"/>
        <v>0</v>
      </c>
      <c r="Q28" s="212">
        <f t="shared" si="17"/>
        <v>0</v>
      </c>
      <c r="R28" s="212">
        <f t="shared" si="17"/>
        <v>0</v>
      </c>
      <c r="S28" s="212">
        <f t="shared" si="17"/>
        <v>0</v>
      </c>
      <c r="T28" s="212">
        <f t="shared" si="17"/>
        <v>0</v>
      </c>
      <c r="U28" s="212">
        <f t="shared" si="17"/>
        <v>0</v>
      </c>
      <c r="V28" s="212">
        <f t="shared" si="17"/>
        <v>0</v>
      </c>
      <c r="W28" s="212">
        <f t="shared" si="17"/>
        <v>0</v>
      </c>
      <c r="X28" s="212">
        <f t="shared" si="17"/>
        <v>0</v>
      </c>
      <c r="Y28" s="212">
        <f t="shared" si="17"/>
        <v>0</v>
      </c>
      <c r="Z28" s="212">
        <f t="shared" si="18"/>
        <v>0</v>
      </c>
      <c r="AA28" s="212">
        <f t="shared" si="18"/>
        <v>0</v>
      </c>
      <c r="AB28" s="212">
        <f t="shared" si="18"/>
        <v>0</v>
      </c>
      <c r="AC28" s="212">
        <f t="shared" si="18"/>
        <v>0</v>
      </c>
      <c r="AD28" s="212">
        <f t="shared" si="18"/>
        <v>0</v>
      </c>
      <c r="AE28" s="212">
        <f t="shared" si="18"/>
        <v>0</v>
      </c>
      <c r="AF28" s="212">
        <f t="shared" si="18"/>
        <v>0</v>
      </c>
      <c r="AG28" s="212">
        <f t="shared" si="18"/>
        <v>0</v>
      </c>
      <c r="AH28" s="212">
        <f t="shared" si="18"/>
        <v>0</v>
      </c>
      <c r="AI28" s="212">
        <f t="shared" si="18"/>
        <v>0</v>
      </c>
      <c r="AJ28" s="212">
        <f t="shared" si="19"/>
        <v>0</v>
      </c>
      <c r="AK28" s="212">
        <f t="shared" si="19"/>
        <v>0</v>
      </c>
      <c r="AL28" s="212">
        <f t="shared" si="19"/>
        <v>0</v>
      </c>
      <c r="AM28" s="212">
        <f t="shared" si="19"/>
        <v>0</v>
      </c>
      <c r="AN28" s="212">
        <f t="shared" si="19"/>
        <v>0</v>
      </c>
      <c r="AO28" s="212">
        <f t="shared" si="19"/>
        <v>0</v>
      </c>
      <c r="AP28" s="212">
        <f t="shared" si="19"/>
        <v>0</v>
      </c>
      <c r="AQ28" s="212">
        <f t="shared" si="19"/>
        <v>0</v>
      </c>
      <c r="AR28" s="212">
        <f t="shared" si="19"/>
        <v>0</v>
      </c>
      <c r="AS28" s="212">
        <f t="shared" si="19"/>
        <v>0</v>
      </c>
      <c r="AT28" s="212">
        <f t="shared" si="20"/>
        <v>0</v>
      </c>
      <c r="AU28" s="212">
        <f t="shared" si="20"/>
        <v>0</v>
      </c>
      <c r="AV28" s="212">
        <f t="shared" si="20"/>
        <v>0</v>
      </c>
      <c r="AW28" s="212">
        <f t="shared" si="20"/>
        <v>0</v>
      </c>
      <c r="AX28" s="212">
        <f t="shared" si="20"/>
        <v>0</v>
      </c>
      <c r="AY28" s="212">
        <f t="shared" si="20"/>
        <v>0</v>
      </c>
      <c r="AZ28" s="212">
        <f t="shared" si="20"/>
        <v>0</v>
      </c>
      <c r="BA28" s="212">
        <f t="shared" si="20"/>
        <v>0</v>
      </c>
      <c r="BB28" s="212">
        <f t="shared" si="20"/>
        <v>0</v>
      </c>
      <c r="BC28" s="212">
        <f t="shared" si="20"/>
        <v>0</v>
      </c>
      <c r="BD28" s="212">
        <f t="shared" si="21"/>
        <v>0</v>
      </c>
      <c r="BE28" s="212">
        <f t="shared" si="21"/>
        <v>0</v>
      </c>
      <c r="BF28" s="212">
        <f t="shared" si="21"/>
        <v>0</v>
      </c>
      <c r="BG28" s="212">
        <f t="shared" si="21"/>
        <v>0</v>
      </c>
      <c r="BH28" s="212">
        <f t="shared" si="21"/>
        <v>0</v>
      </c>
      <c r="BI28" s="212">
        <f t="shared" si="21"/>
        <v>0</v>
      </c>
      <c r="BJ28" s="212">
        <f t="shared" si="21"/>
        <v>0</v>
      </c>
      <c r="BK28" s="212">
        <f t="shared" si="21"/>
        <v>0</v>
      </c>
      <c r="BL28" s="212">
        <f t="shared" si="21"/>
        <v>0</v>
      </c>
      <c r="BM28" s="212">
        <f t="shared" si="21"/>
        <v>0</v>
      </c>
      <c r="BN28" s="212">
        <f t="shared" si="22"/>
        <v>0</v>
      </c>
      <c r="BO28" s="212">
        <f t="shared" si="22"/>
        <v>0</v>
      </c>
      <c r="BP28" s="212">
        <f t="shared" si="22"/>
        <v>0</v>
      </c>
      <c r="BQ28" s="212">
        <f t="shared" si="22"/>
        <v>0</v>
      </c>
      <c r="BR28" s="212">
        <f t="shared" si="22"/>
        <v>0</v>
      </c>
      <c r="BS28" s="212">
        <f t="shared" si="22"/>
        <v>0</v>
      </c>
      <c r="BT28" s="212">
        <f t="shared" si="22"/>
        <v>0</v>
      </c>
      <c r="BU28" s="212">
        <f t="shared" si="22"/>
        <v>0</v>
      </c>
      <c r="BV28" s="212">
        <f t="shared" si="22"/>
        <v>0</v>
      </c>
      <c r="BW28" s="212">
        <f t="shared" si="22"/>
        <v>0</v>
      </c>
      <c r="BX28" s="212">
        <f t="shared" si="23"/>
        <v>0</v>
      </c>
      <c r="BY28" s="212">
        <f t="shared" si="23"/>
        <v>0</v>
      </c>
      <c r="BZ28" s="212">
        <f t="shared" si="23"/>
        <v>0</v>
      </c>
      <c r="CA28" s="212">
        <f t="shared" si="23"/>
        <v>0</v>
      </c>
      <c r="CB28" s="212">
        <f t="shared" si="23"/>
        <v>0</v>
      </c>
      <c r="CC28" s="212">
        <f t="shared" si="23"/>
        <v>0</v>
      </c>
      <c r="CD28" s="212">
        <f t="shared" si="23"/>
        <v>0</v>
      </c>
      <c r="CE28" s="212">
        <f t="shared" si="23"/>
        <v>0</v>
      </c>
      <c r="CF28" s="212">
        <f t="shared" si="23"/>
        <v>0</v>
      </c>
      <c r="CG28" s="212">
        <f t="shared" si="23"/>
        <v>0</v>
      </c>
      <c r="CH28" s="212">
        <f t="shared" si="24"/>
        <v>0</v>
      </c>
      <c r="CI28" s="212">
        <f t="shared" si="24"/>
        <v>0</v>
      </c>
      <c r="CJ28" s="212">
        <f t="shared" si="24"/>
        <v>0</v>
      </c>
      <c r="CK28" s="212">
        <f t="shared" si="24"/>
        <v>0</v>
      </c>
      <c r="CL28" s="212">
        <f t="shared" si="24"/>
        <v>0</v>
      </c>
      <c r="CM28" s="212">
        <f t="shared" si="24"/>
        <v>0</v>
      </c>
      <c r="CN28" s="212">
        <f t="shared" si="24"/>
        <v>0</v>
      </c>
      <c r="CO28" s="212">
        <f t="shared" si="24"/>
        <v>0</v>
      </c>
      <c r="CP28" s="212">
        <f t="shared" si="24"/>
        <v>0</v>
      </c>
      <c r="CQ28" s="212">
        <f t="shared" si="24"/>
        <v>0</v>
      </c>
      <c r="CR28" s="212">
        <f t="shared" si="25"/>
        <v>0</v>
      </c>
      <c r="CS28" s="212">
        <f t="shared" si="25"/>
        <v>0</v>
      </c>
      <c r="CT28" s="212">
        <f t="shared" si="25"/>
        <v>0</v>
      </c>
      <c r="CU28" s="212">
        <f t="shared" si="25"/>
        <v>0</v>
      </c>
      <c r="CV28" s="212">
        <f t="shared" si="25"/>
        <v>0</v>
      </c>
      <c r="CW28" s="212">
        <f t="shared" si="25"/>
        <v>0</v>
      </c>
      <c r="CX28" s="212">
        <f t="shared" si="25"/>
        <v>0</v>
      </c>
      <c r="CY28" s="212">
        <f t="shared" si="25"/>
        <v>0</v>
      </c>
      <c r="CZ28" s="212">
        <f t="shared" si="25"/>
        <v>0</v>
      </c>
      <c r="DA28" s="212">
        <f t="shared" si="25"/>
        <v>0</v>
      </c>
    </row>
    <row r="29" spans="1:105">
      <c r="A29" s="203" t="str">
        <f>Income!A76</f>
        <v>Animals sold</v>
      </c>
      <c r="B29" s="205">
        <f>Income!B76</f>
        <v>0</v>
      </c>
      <c r="C29" s="205">
        <f>Income!C76</f>
        <v>4175.92</v>
      </c>
      <c r="D29" s="205">
        <f>Income!D76</f>
        <v>11558.4</v>
      </c>
      <c r="E29" s="205">
        <f>Income!E76</f>
        <v>13171.199999999997</v>
      </c>
      <c r="F29" s="212">
        <f t="shared" si="16"/>
        <v>0</v>
      </c>
      <c r="G29" s="212">
        <f t="shared" si="16"/>
        <v>0</v>
      </c>
      <c r="H29" s="212">
        <f t="shared" si="16"/>
        <v>0</v>
      </c>
      <c r="I29" s="212">
        <f t="shared" si="16"/>
        <v>0</v>
      </c>
      <c r="J29" s="212">
        <f t="shared" si="16"/>
        <v>0</v>
      </c>
      <c r="K29" s="212">
        <f t="shared" si="16"/>
        <v>0</v>
      </c>
      <c r="L29" s="212">
        <f t="shared" si="16"/>
        <v>0</v>
      </c>
      <c r="M29" s="212">
        <f t="shared" si="16"/>
        <v>0</v>
      </c>
      <c r="N29" s="212">
        <f t="shared" si="16"/>
        <v>0</v>
      </c>
      <c r="O29" s="212">
        <f t="shared" si="16"/>
        <v>0</v>
      </c>
      <c r="P29" s="212">
        <f t="shared" si="17"/>
        <v>0</v>
      </c>
      <c r="Q29" s="212">
        <f t="shared" si="17"/>
        <v>0</v>
      </c>
      <c r="R29" s="212">
        <f t="shared" si="17"/>
        <v>0</v>
      </c>
      <c r="S29" s="212">
        <f t="shared" si="17"/>
        <v>61.410588235294121</v>
      </c>
      <c r="T29" s="212">
        <f t="shared" si="17"/>
        <v>184.23176470588237</v>
      </c>
      <c r="U29" s="212">
        <f t="shared" si="17"/>
        <v>307.05294117647054</v>
      </c>
      <c r="V29" s="212">
        <f t="shared" si="17"/>
        <v>429.87411764705888</v>
      </c>
      <c r="W29" s="212">
        <f t="shared" si="17"/>
        <v>552.69529411764699</v>
      </c>
      <c r="X29" s="212">
        <f t="shared" si="17"/>
        <v>675.51647058823528</v>
      </c>
      <c r="Y29" s="212">
        <f t="shared" si="17"/>
        <v>798.33764705882356</v>
      </c>
      <c r="Z29" s="212">
        <f t="shared" si="18"/>
        <v>921.15882352941185</v>
      </c>
      <c r="AA29" s="212">
        <f t="shared" si="18"/>
        <v>1043.98</v>
      </c>
      <c r="AB29" s="212">
        <f t="shared" si="18"/>
        <v>1166.8011764705882</v>
      </c>
      <c r="AC29" s="212">
        <f t="shared" si="18"/>
        <v>1289.6223529411766</v>
      </c>
      <c r="AD29" s="212">
        <f t="shared" si="18"/>
        <v>1412.4435294117648</v>
      </c>
      <c r="AE29" s="212">
        <f t="shared" si="18"/>
        <v>1535.2647058823529</v>
      </c>
      <c r="AF29" s="212">
        <f t="shared" si="18"/>
        <v>1658.0858823529411</v>
      </c>
      <c r="AG29" s="212">
        <f t="shared" si="18"/>
        <v>1780.9070588235295</v>
      </c>
      <c r="AH29" s="212">
        <f t="shared" si="18"/>
        <v>1903.7282352941177</v>
      </c>
      <c r="AI29" s="212">
        <f t="shared" si="18"/>
        <v>2026.5494117647061</v>
      </c>
      <c r="AJ29" s="212">
        <f t="shared" si="19"/>
        <v>2149.3705882352942</v>
      </c>
      <c r="AK29" s="212">
        <f t="shared" si="19"/>
        <v>2272.1917647058826</v>
      </c>
      <c r="AL29" s="212">
        <f t="shared" si="19"/>
        <v>2395.0129411764706</v>
      </c>
      <c r="AM29" s="212">
        <f t="shared" si="19"/>
        <v>2517.834117647059</v>
      </c>
      <c r="AN29" s="212">
        <f t="shared" si="19"/>
        <v>2640.6552941176469</v>
      </c>
      <c r="AO29" s="212">
        <f t="shared" si="19"/>
        <v>2763.4764705882353</v>
      </c>
      <c r="AP29" s="212">
        <f t="shared" si="19"/>
        <v>2886.2976470588233</v>
      </c>
      <c r="AQ29" s="212">
        <f t="shared" si="19"/>
        <v>3009.1188235294121</v>
      </c>
      <c r="AR29" s="212">
        <f t="shared" si="19"/>
        <v>3131.94</v>
      </c>
      <c r="AS29" s="212">
        <f t="shared" si="19"/>
        <v>3254.7611764705885</v>
      </c>
      <c r="AT29" s="212">
        <f t="shared" si="20"/>
        <v>3377.5823529411764</v>
      </c>
      <c r="AU29" s="212">
        <f t="shared" si="20"/>
        <v>3500.4035294117648</v>
      </c>
      <c r="AV29" s="212">
        <f t="shared" si="20"/>
        <v>3623.2247058823527</v>
      </c>
      <c r="AW29" s="212">
        <f t="shared" si="20"/>
        <v>3746.0458823529411</v>
      </c>
      <c r="AX29" s="212">
        <f t="shared" si="20"/>
        <v>3868.8670588235295</v>
      </c>
      <c r="AY29" s="212">
        <f t="shared" si="20"/>
        <v>3991.6882352941175</v>
      </c>
      <c r="AZ29" s="212">
        <f t="shared" si="20"/>
        <v>4114.5094117647059</v>
      </c>
      <c r="BA29" s="212">
        <f t="shared" si="20"/>
        <v>4287.7757575757578</v>
      </c>
      <c r="BB29" s="212">
        <f t="shared" si="20"/>
        <v>4511.4872727272732</v>
      </c>
      <c r="BC29" s="212">
        <f t="shared" si="20"/>
        <v>4735.1987878787877</v>
      </c>
      <c r="BD29" s="212">
        <f t="shared" si="21"/>
        <v>4958.9103030303031</v>
      </c>
      <c r="BE29" s="212">
        <f t="shared" si="21"/>
        <v>5182.6218181818185</v>
      </c>
      <c r="BF29" s="212">
        <f t="shared" si="21"/>
        <v>5406.3333333333339</v>
      </c>
      <c r="BG29" s="212">
        <f t="shared" si="21"/>
        <v>5630.0448484848484</v>
      </c>
      <c r="BH29" s="212">
        <f t="shared" si="21"/>
        <v>5853.7563636363639</v>
      </c>
      <c r="BI29" s="212">
        <f t="shared" si="21"/>
        <v>6077.4678787878784</v>
      </c>
      <c r="BJ29" s="212">
        <f t="shared" si="21"/>
        <v>6301.1793939393938</v>
      </c>
      <c r="BK29" s="212">
        <f t="shared" si="21"/>
        <v>6524.8909090909092</v>
      </c>
      <c r="BL29" s="212">
        <f t="shared" si="21"/>
        <v>6748.6024242424246</v>
      </c>
      <c r="BM29" s="212">
        <f t="shared" si="21"/>
        <v>6972.31393939394</v>
      </c>
      <c r="BN29" s="212">
        <f t="shared" si="22"/>
        <v>7196.0254545454545</v>
      </c>
      <c r="BO29" s="212">
        <f t="shared" si="22"/>
        <v>7419.736969696969</v>
      </c>
      <c r="BP29" s="212">
        <f t="shared" si="22"/>
        <v>7643.4484848484844</v>
      </c>
      <c r="BQ29" s="212">
        <f t="shared" si="22"/>
        <v>7867.16</v>
      </c>
      <c r="BR29" s="212">
        <f t="shared" si="22"/>
        <v>8090.8715151515153</v>
      </c>
      <c r="BS29" s="212">
        <f t="shared" si="22"/>
        <v>8314.5830303030307</v>
      </c>
      <c r="BT29" s="212">
        <f t="shared" si="22"/>
        <v>8538.2945454545443</v>
      </c>
      <c r="BU29" s="212">
        <f t="shared" si="22"/>
        <v>8762.0060606060615</v>
      </c>
      <c r="BV29" s="212">
        <f t="shared" si="22"/>
        <v>8985.7175757575751</v>
      </c>
      <c r="BW29" s="212">
        <f t="shared" si="22"/>
        <v>9209.4290909090905</v>
      </c>
      <c r="BX29" s="212">
        <f t="shared" si="23"/>
        <v>9433.1406060606059</v>
      </c>
      <c r="BY29" s="212">
        <f t="shared" si="23"/>
        <v>9656.8521212121195</v>
      </c>
      <c r="BZ29" s="212">
        <f t="shared" si="23"/>
        <v>9880.5636363636368</v>
      </c>
      <c r="CA29" s="212">
        <f t="shared" si="23"/>
        <v>10104.27515151515</v>
      </c>
      <c r="CB29" s="212">
        <f t="shared" si="23"/>
        <v>10327.986666666666</v>
      </c>
      <c r="CC29" s="212">
        <f t="shared" si="23"/>
        <v>10551.698181818181</v>
      </c>
      <c r="CD29" s="212">
        <f t="shared" si="23"/>
        <v>10775.409696969697</v>
      </c>
      <c r="CE29" s="212">
        <f t="shared" si="23"/>
        <v>10999.121212121212</v>
      </c>
      <c r="CF29" s="212">
        <f t="shared" si="23"/>
        <v>11222.832727272727</v>
      </c>
      <c r="CG29" s="212">
        <f t="shared" si="23"/>
        <v>11446.544242424243</v>
      </c>
      <c r="CH29" s="212">
        <f t="shared" si="24"/>
        <v>11608.8</v>
      </c>
      <c r="CI29" s="212">
        <f t="shared" si="24"/>
        <v>11709.599999999999</v>
      </c>
      <c r="CJ29" s="212">
        <f t="shared" si="24"/>
        <v>11810.4</v>
      </c>
      <c r="CK29" s="212">
        <f t="shared" si="24"/>
        <v>11911.199999999999</v>
      </c>
      <c r="CL29" s="212">
        <f t="shared" si="24"/>
        <v>12011.999999999998</v>
      </c>
      <c r="CM29" s="212">
        <f t="shared" si="24"/>
        <v>12112.8</v>
      </c>
      <c r="CN29" s="212">
        <f t="shared" si="24"/>
        <v>12213.599999999999</v>
      </c>
      <c r="CO29" s="212">
        <f t="shared" si="24"/>
        <v>12314.399999999998</v>
      </c>
      <c r="CP29" s="212">
        <f t="shared" si="24"/>
        <v>12415.199999999999</v>
      </c>
      <c r="CQ29" s="212">
        <f t="shared" si="24"/>
        <v>12515.999999999998</v>
      </c>
      <c r="CR29" s="212">
        <f t="shared" si="25"/>
        <v>12616.799999999997</v>
      </c>
      <c r="CS29" s="212">
        <f t="shared" si="25"/>
        <v>12717.599999999999</v>
      </c>
      <c r="CT29" s="212">
        <f t="shared" si="25"/>
        <v>12818.399999999998</v>
      </c>
      <c r="CU29" s="212">
        <f t="shared" si="25"/>
        <v>12919.199999999997</v>
      </c>
      <c r="CV29" s="212">
        <f t="shared" si="25"/>
        <v>13019.999999999996</v>
      </c>
      <c r="CW29" s="212">
        <f t="shared" si="25"/>
        <v>13120.799999999997</v>
      </c>
      <c r="CX29" s="212">
        <f t="shared" si="25"/>
        <v>13171.199999999997</v>
      </c>
      <c r="CY29" s="212">
        <f t="shared" si="25"/>
        <v>13171.199999999997</v>
      </c>
      <c r="CZ29" s="212">
        <f t="shared" si="25"/>
        <v>13171.199999999997</v>
      </c>
      <c r="DA29" s="212">
        <f t="shared" si="25"/>
        <v>13171.199999999997</v>
      </c>
    </row>
    <row r="30" spans="1:105">
      <c r="A30" s="203" t="str">
        <f>Income!A77</f>
        <v>Wild foods consumed and sold</v>
      </c>
      <c r="B30" s="205">
        <f>Income!B77</f>
        <v>0</v>
      </c>
      <c r="C30" s="205">
        <f>Income!C77</f>
        <v>0</v>
      </c>
      <c r="D30" s="205">
        <f>Income!D77</f>
        <v>0</v>
      </c>
      <c r="E30" s="205">
        <f>Income!E77</f>
        <v>0</v>
      </c>
      <c r="F30" s="212">
        <f t="shared" si="16"/>
        <v>0</v>
      </c>
      <c r="G30" s="212">
        <f t="shared" si="16"/>
        <v>0</v>
      </c>
      <c r="H30" s="212">
        <f t="shared" si="16"/>
        <v>0</v>
      </c>
      <c r="I30" s="212">
        <f t="shared" si="16"/>
        <v>0</v>
      </c>
      <c r="J30" s="212">
        <f t="shared" si="16"/>
        <v>0</v>
      </c>
      <c r="K30" s="212">
        <f t="shared" si="16"/>
        <v>0</v>
      </c>
      <c r="L30" s="212">
        <f t="shared" si="16"/>
        <v>0</v>
      </c>
      <c r="M30" s="212">
        <f t="shared" si="16"/>
        <v>0</v>
      </c>
      <c r="N30" s="212">
        <f t="shared" si="16"/>
        <v>0</v>
      </c>
      <c r="O30" s="212">
        <f t="shared" si="16"/>
        <v>0</v>
      </c>
      <c r="P30" s="212">
        <f t="shared" si="17"/>
        <v>0</v>
      </c>
      <c r="Q30" s="212">
        <f t="shared" si="17"/>
        <v>0</v>
      </c>
      <c r="R30" s="212">
        <f t="shared" si="17"/>
        <v>0</v>
      </c>
      <c r="S30" s="212">
        <f t="shared" si="17"/>
        <v>0</v>
      </c>
      <c r="T30" s="212">
        <f t="shared" si="17"/>
        <v>0</v>
      </c>
      <c r="U30" s="212">
        <f t="shared" si="17"/>
        <v>0</v>
      </c>
      <c r="V30" s="212">
        <f t="shared" si="17"/>
        <v>0</v>
      </c>
      <c r="W30" s="212">
        <f t="shared" si="17"/>
        <v>0</v>
      </c>
      <c r="X30" s="212">
        <f t="shared" si="17"/>
        <v>0</v>
      </c>
      <c r="Y30" s="212">
        <f t="shared" si="17"/>
        <v>0</v>
      </c>
      <c r="Z30" s="212">
        <f t="shared" si="18"/>
        <v>0</v>
      </c>
      <c r="AA30" s="212">
        <f t="shared" si="18"/>
        <v>0</v>
      </c>
      <c r="AB30" s="212">
        <f t="shared" si="18"/>
        <v>0</v>
      </c>
      <c r="AC30" s="212">
        <f t="shared" si="18"/>
        <v>0</v>
      </c>
      <c r="AD30" s="212">
        <f t="shared" si="18"/>
        <v>0</v>
      </c>
      <c r="AE30" s="212">
        <f t="shared" si="18"/>
        <v>0</v>
      </c>
      <c r="AF30" s="212">
        <f t="shared" si="18"/>
        <v>0</v>
      </c>
      <c r="AG30" s="212">
        <f t="shared" si="18"/>
        <v>0</v>
      </c>
      <c r="AH30" s="212">
        <f t="shared" si="18"/>
        <v>0</v>
      </c>
      <c r="AI30" s="212">
        <f t="shared" si="18"/>
        <v>0</v>
      </c>
      <c r="AJ30" s="212">
        <f t="shared" si="19"/>
        <v>0</v>
      </c>
      <c r="AK30" s="212">
        <f t="shared" si="19"/>
        <v>0</v>
      </c>
      <c r="AL30" s="212">
        <f t="shared" si="19"/>
        <v>0</v>
      </c>
      <c r="AM30" s="212">
        <f t="shared" si="19"/>
        <v>0</v>
      </c>
      <c r="AN30" s="212">
        <f t="shared" si="19"/>
        <v>0</v>
      </c>
      <c r="AO30" s="212">
        <f t="shared" si="19"/>
        <v>0</v>
      </c>
      <c r="AP30" s="212">
        <f t="shared" si="19"/>
        <v>0</v>
      </c>
      <c r="AQ30" s="212">
        <f t="shared" si="19"/>
        <v>0</v>
      </c>
      <c r="AR30" s="212">
        <f t="shared" si="19"/>
        <v>0</v>
      </c>
      <c r="AS30" s="212">
        <f t="shared" si="19"/>
        <v>0</v>
      </c>
      <c r="AT30" s="212">
        <f t="shared" si="20"/>
        <v>0</v>
      </c>
      <c r="AU30" s="212">
        <f t="shared" si="20"/>
        <v>0</v>
      </c>
      <c r="AV30" s="212">
        <f t="shared" si="20"/>
        <v>0</v>
      </c>
      <c r="AW30" s="212">
        <f t="shared" si="20"/>
        <v>0</v>
      </c>
      <c r="AX30" s="212">
        <f t="shared" si="20"/>
        <v>0</v>
      </c>
      <c r="AY30" s="212">
        <f t="shared" si="20"/>
        <v>0</v>
      </c>
      <c r="AZ30" s="212">
        <f t="shared" si="20"/>
        <v>0</v>
      </c>
      <c r="BA30" s="212">
        <f t="shared" si="20"/>
        <v>0</v>
      </c>
      <c r="BB30" s="212">
        <f t="shared" si="20"/>
        <v>0</v>
      </c>
      <c r="BC30" s="212">
        <f t="shared" si="20"/>
        <v>0</v>
      </c>
      <c r="BD30" s="212">
        <f t="shared" si="21"/>
        <v>0</v>
      </c>
      <c r="BE30" s="212">
        <f t="shared" si="21"/>
        <v>0</v>
      </c>
      <c r="BF30" s="212">
        <f t="shared" si="21"/>
        <v>0</v>
      </c>
      <c r="BG30" s="212">
        <f t="shared" si="21"/>
        <v>0</v>
      </c>
      <c r="BH30" s="212">
        <f t="shared" si="21"/>
        <v>0</v>
      </c>
      <c r="BI30" s="212">
        <f t="shared" si="21"/>
        <v>0</v>
      </c>
      <c r="BJ30" s="212">
        <f t="shared" si="21"/>
        <v>0</v>
      </c>
      <c r="BK30" s="212">
        <f t="shared" si="21"/>
        <v>0</v>
      </c>
      <c r="BL30" s="212">
        <f t="shared" si="21"/>
        <v>0</v>
      </c>
      <c r="BM30" s="212">
        <f t="shared" si="21"/>
        <v>0</v>
      </c>
      <c r="BN30" s="212">
        <f t="shared" si="22"/>
        <v>0</v>
      </c>
      <c r="BO30" s="212">
        <f t="shared" si="22"/>
        <v>0</v>
      </c>
      <c r="BP30" s="212">
        <f t="shared" si="22"/>
        <v>0</v>
      </c>
      <c r="BQ30" s="212">
        <f t="shared" si="22"/>
        <v>0</v>
      </c>
      <c r="BR30" s="212">
        <f t="shared" si="22"/>
        <v>0</v>
      </c>
      <c r="BS30" s="212">
        <f t="shared" si="22"/>
        <v>0</v>
      </c>
      <c r="BT30" s="212">
        <f t="shared" si="22"/>
        <v>0</v>
      </c>
      <c r="BU30" s="212">
        <f t="shared" si="22"/>
        <v>0</v>
      </c>
      <c r="BV30" s="212">
        <f t="shared" si="22"/>
        <v>0</v>
      </c>
      <c r="BW30" s="212">
        <f t="shared" si="22"/>
        <v>0</v>
      </c>
      <c r="BX30" s="212">
        <f t="shared" si="23"/>
        <v>0</v>
      </c>
      <c r="BY30" s="212">
        <f t="shared" si="23"/>
        <v>0</v>
      </c>
      <c r="BZ30" s="212">
        <f t="shared" si="23"/>
        <v>0</v>
      </c>
      <c r="CA30" s="212">
        <f t="shared" si="23"/>
        <v>0</v>
      </c>
      <c r="CB30" s="212">
        <f t="shared" si="23"/>
        <v>0</v>
      </c>
      <c r="CC30" s="212">
        <f t="shared" si="23"/>
        <v>0</v>
      </c>
      <c r="CD30" s="212">
        <f t="shared" si="23"/>
        <v>0</v>
      </c>
      <c r="CE30" s="212">
        <f t="shared" si="23"/>
        <v>0</v>
      </c>
      <c r="CF30" s="212">
        <f t="shared" si="23"/>
        <v>0</v>
      </c>
      <c r="CG30" s="212">
        <f t="shared" si="23"/>
        <v>0</v>
      </c>
      <c r="CH30" s="212">
        <f t="shared" si="24"/>
        <v>0</v>
      </c>
      <c r="CI30" s="212">
        <f t="shared" si="24"/>
        <v>0</v>
      </c>
      <c r="CJ30" s="212">
        <f t="shared" si="24"/>
        <v>0</v>
      </c>
      <c r="CK30" s="212">
        <f t="shared" si="24"/>
        <v>0</v>
      </c>
      <c r="CL30" s="212">
        <f t="shared" si="24"/>
        <v>0</v>
      </c>
      <c r="CM30" s="212">
        <f t="shared" si="24"/>
        <v>0</v>
      </c>
      <c r="CN30" s="212">
        <f t="shared" si="24"/>
        <v>0</v>
      </c>
      <c r="CO30" s="212">
        <f t="shared" si="24"/>
        <v>0</v>
      </c>
      <c r="CP30" s="212">
        <f t="shared" si="24"/>
        <v>0</v>
      </c>
      <c r="CQ30" s="212">
        <f t="shared" si="24"/>
        <v>0</v>
      </c>
      <c r="CR30" s="212">
        <f t="shared" si="25"/>
        <v>0</v>
      </c>
      <c r="CS30" s="212">
        <f t="shared" si="25"/>
        <v>0</v>
      </c>
      <c r="CT30" s="212">
        <f t="shared" si="25"/>
        <v>0</v>
      </c>
      <c r="CU30" s="212">
        <f t="shared" si="25"/>
        <v>0</v>
      </c>
      <c r="CV30" s="212">
        <f t="shared" si="25"/>
        <v>0</v>
      </c>
      <c r="CW30" s="212">
        <f t="shared" si="25"/>
        <v>0</v>
      </c>
      <c r="CX30" s="212">
        <f t="shared" si="25"/>
        <v>0</v>
      </c>
      <c r="CY30" s="212">
        <f t="shared" si="25"/>
        <v>0</v>
      </c>
      <c r="CZ30" s="212">
        <f t="shared" si="25"/>
        <v>0</v>
      </c>
      <c r="DA30" s="212">
        <f t="shared" si="25"/>
        <v>0</v>
      </c>
    </row>
    <row r="31" spans="1:105">
      <c r="A31" s="203" t="str">
        <f>Income!A78</f>
        <v>Labour - casual</v>
      </c>
      <c r="B31" s="205">
        <f>Income!B78</f>
        <v>8489.5999999999985</v>
      </c>
      <c r="C31" s="205">
        <f>Income!C78</f>
        <v>14808.875138121546</v>
      </c>
      <c r="D31" s="205">
        <f>Income!D78</f>
        <v>0</v>
      </c>
      <c r="E31" s="205">
        <f>Income!E78</f>
        <v>0</v>
      </c>
      <c r="F31" s="212">
        <f t="shared" si="16"/>
        <v>8489.5999999999985</v>
      </c>
      <c r="G31" s="212">
        <f t="shared" si="16"/>
        <v>8489.5999999999985</v>
      </c>
      <c r="H31" s="212">
        <f t="shared" si="16"/>
        <v>8489.5999999999985</v>
      </c>
      <c r="I31" s="212">
        <f t="shared" si="16"/>
        <v>8489.5999999999985</v>
      </c>
      <c r="J31" s="212">
        <f t="shared" si="16"/>
        <v>8489.5999999999985</v>
      </c>
      <c r="K31" s="212">
        <f t="shared" si="16"/>
        <v>8489.5999999999985</v>
      </c>
      <c r="L31" s="212">
        <f t="shared" si="16"/>
        <v>8489.5999999999985</v>
      </c>
      <c r="M31" s="212">
        <f t="shared" si="16"/>
        <v>8489.5999999999985</v>
      </c>
      <c r="N31" s="212">
        <f t="shared" si="16"/>
        <v>8489.5999999999985</v>
      </c>
      <c r="O31" s="212">
        <f t="shared" si="16"/>
        <v>8489.5999999999985</v>
      </c>
      <c r="P31" s="212">
        <f t="shared" si="17"/>
        <v>8489.5999999999985</v>
      </c>
      <c r="Q31" s="212">
        <f t="shared" si="17"/>
        <v>8489.5999999999985</v>
      </c>
      <c r="R31" s="212">
        <f t="shared" si="17"/>
        <v>8489.5999999999985</v>
      </c>
      <c r="S31" s="212">
        <f t="shared" si="17"/>
        <v>8582.5305167370807</v>
      </c>
      <c r="T31" s="212">
        <f t="shared" si="17"/>
        <v>8768.3915502112432</v>
      </c>
      <c r="U31" s="212">
        <f t="shared" si="17"/>
        <v>8954.2525836854056</v>
      </c>
      <c r="V31" s="212">
        <f t="shared" si="17"/>
        <v>9140.1136171595699</v>
      </c>
      <c r="W31" s="212">
        <f t="shared" si="17"/>
        <v>9325.9746506337324</v>
      </c>
      <c r="X31" s="212">
        <f t="shared" si="17"/>
        <v>9511.8356841078967</v>
      </c>
      <c r="Y31" s="212">
        <f t="shared" si="17"/>
        <v>9697.6967175820591</v>
      </c>
      <c r="Z31" s="212">
        <f t="shared" si="18"/>
        <v>9883.5577510562216</v>
      </c>
      <c r="AA31" s="212">
        <f t="shared" si="18"/>
        <v>10069.418784530386</v>
      </c>
      <c r="AB31" s="212">
        <f t="shared" si="18"/>
        <v>10255.279818004548</v>
      </c>
      <c r="AC31" s="212">
        <f t="shared" si="18"/>
        <v>10441.140851478711</v>
      </c>
      <c r="AD31" s="212">
        <f t="shared" si="18"/>
        <v>10627.001884952875</v>
      </c>
      <c r="AE31" s="212">
        <f t="shared" si="18"/>
        <v>10812.862918427038</v>
      </c>
      <c r="AF31" s="212">
        <f t="shared" si="18"/>
        <v>10998.723951901202</v>
      </c>
      <c r="AG31" s="212">
        <f t="shared" si="18"/>
        <v>11184.584985375364</v>
      </c>
      <c r="AH31" s="212">
        <f t="shared" si="18"/>
        <v>11370.446018849529</v>
      </c>
      <c r="AI31" s="212">
        <f t="shared" si="18"/>
        <v>11556.307052323691</v>
      </c>
      <c r="AJ31" s="212">
        <f t="shared" si="19"/>
        <v>11742.168085797854</v>
      </c>
      <c r="AK31" s="212">
        <f t="shared" si="19"/>
        <v>11928.029119272018</v>
      </c>
      <c r="AL31" s="212">
        <f t="shared" si="19"/>
        <v>12113.89015274618</v>
      </c>
      <c r="AM31" s="212">
        <f t="shared" si="19"/>
        <v>12299.751186220343</v>
      </c>
      <c r="AN31" s="212">
        <f t="shared" si="19"/>
        <v>12485.612219694507</v>
      </c>
      <c r="AO31" s="212">
        <f t="shared" si="19"/>
        <v>12671.47325316867</v>
      </c>
      <c r="AP31" s="212">
        <f t="shared" si="19"/>
        <v>12857.334286642832</v>
      </c>
      <c r="AQ31" s="212">
        <f t="shared" si="19"/>
        <v>13043.195320116996</v>
      </c>
      <c r="AR31" s="212">
        <f t="shared" si="19"/>
        <v>13229.056353591161</v>
      </c>
      <c r="AS31" s="212">
        <f t="shared" si="19"/>
        <v>13414.917387065321</v>
      </c>
      <c r="AT31" s="212">
        <f t="shared" si="20"/>
        <v>13600.778420539486</v>
      </c>
      <c r="AU31" s="212">
        <f t="shared" si="20"/>
        <v>13786.63945401365</v>
      </c>
      <c r="AV31" s="212">
        <f t="shared" si="20"/>
        <v>13972.50048748781</v>
      </c>
      <c r="AW31" s="212">
        <f t="shared" si="20"/>
        <v>14158.361520961975</v>
      </c>
      <c r="AX31" s="212">
        <f t="shared" si="20"/>
        <v>14344.222554436139</v>
      </c>
      <c r="AY31" s="212">
        <f t="shared" si="20"/>
        <v>14530.083587910302</v>
      </c>
      <c r="AZ31" s="212">
        <f t="shared" si="20"/>
        <v>14715.944621384464</v>
      </c>
      <c r="BA31" s="212">
        <f t="shared" si="20"/>
        <v>14584.498242089401</v>
      </c>
      <c r="BB31" s="212">
        <f t="shared" si="20"/>
        <v>14135.744450025111</v>
      </c>
      <c r="BC31" s="212">
        <f t="shared" si="20"/>
        <v>13686.990657960823</v>
      </c>
      <c r="BD31" s="212">
        <f t="shared" si="21"/>
        <v>13238.236865896533</v>
      </c>
      <c r="BE31" s="212">
        <f t="shared" si="21"/>
        <v>12789.483073832243</v>
      </c>
      <c r="BF31" s="212">
        <f t="shared" si="21"/>
        <v>12340.729281767955</v>
      </c>
      <c r="BG31" s="212">
        <f t="shared" si="21"/>
        <v>11891.975489703666</v>
      </c>
      <c r="BH31" s="212">
        <f t="shared" si="21"/>
        <v>11443.221697639376</v>
      </c>
      <c r="BI31" s="212">
        <f t="shared" si="21"/>
        <v>10994.467905575088</v>
      </c>
      <c r="BJ31" s="212">
        <f t="shared" si="21"/>
        <v>10545.714113510798</v>
      </c>
      <c r="BK31" s="212">
        <f t="shared" si="21"/>
        <v>10096.96032144651</v>
      </c>
      <c r="BL31" s="212">
        <f t="shared" si="21"/>
        <v>9648.2065293822197</v>
      </c>
      <c r="BM31" s="212">
        <f t="shared" si="21"/>
        <v>9199.4527373179299</v>
      </c>
      <c r="BN31" s="212">
        <f t="shared" si="22"/>
        <v>8750.69894525364</v>
      </c>
      <c r="BO31" s="212">
        <f t="shared" si="22"/>
        <v>8301.9451531893501</v>
      </c>
      <c r="BP31" s="212">
        <f t="shared" si="22"/>
        <v>7853.191361125062</v>
      </c>
      <c r="BQ31" s="212">
        <f t="shared" si="22"/>
        <v>7404.4375690607731</v>
      </c>
      <c r="BR31" s="212">
        <f t="shared" si="22"/>
        <v>6955.6837769964841</v>
      </c>
      <c r="BS31" s="212">
        <f t="shared" si="22"/>
        <v>6506.9299849321942</v>
      </c>
      <c r="BT31" s="212">
        <f t="shared" si="22"/>
        <v>6058.1761928679043</v>
      </c>
      <c r="BU31" s="212">
        <f t="shared" si="22"/>
        <v>5609.4224008036163</v>
      </c>
      <c r="BV31" s="212">
        <f t="shared" si="22"/>
        <v>5160.6686087393264</v>
      </c>
      <c r="BW31" s="212">
        <f t="shared" si="22"/>
        <v>4711.9148166750383</v>
      </c>
      <c r="BX31" s="212">
        <f t="shared" si="23"/>
        <v>4263.1610246107484</v>
      </c>
      <c r="BY31" s="212">
        <f t="shared" si="23"/>
        <v>3814.4072325464585</v>
      </c>
      <c r="BZ31" s="212">
        <f t="shared" si="23"/>
        <v>3365.6534404821705</v>
      </c>
      <c r="CA31" s="212">
        <f t="shared" si="23"/>
        <v>2916.8996484178806</v>
      </c>
      <c r="CB31" s="212">
        <f t="shared" si="23"/>
        <v>2468.1458563535907</v>
      </c>
      <c r="CC31" s="212">
        <f t="shared" si="23"/>
        <v>2019.3920642893008</v>
      </c>
      <c r="CD31" s="212">
        <f t="shared" si="23"/>
        <v>1570.6382722250128</v>
      </c>
      <c r="CE31" s="212">
        <f t="shared" si="23"/>
        <v>1121.8844801607229</v>
      </c>
      <c r="CF31" s="212">
        <f t="shared" si="23"/>
        <v>673.130688096433</v>
      </c>
      <c r="CG31" s="212">
        <f t="shared" si="23"/>
        <v>224.37689603214494</v>
      </c>
      <c r="CH31" s="212">
        <f t="shared" si="24"/>
        <v>0</v>
      </c>
      <c r="CI31" s="212">
        <f t="shared" si="24"/>
        <v>0</v>
      </c>
      <c r="CJ31" s="212">
        <f t="shared" si="24"/>
        <v>0</v>
      </c>
      <c r="CK31" s="212">
        <f t="shared" si="24"/>
        <v>0</v>
      </c>
      <c r="CL31" s="212">
        <f t="shared" si="24"/>
        <v>0</v>
      </c>
      <c r="CM31" s="212">
        <f t="shared" si="24"/>
        <v>0</v>
      </c>
      <c r="CN31" s="212">
        <f t="shared" si="24"/>
        <v>0</v>
      </c>
      <c r="CO31" s="212">
        <f t="shared" si="24"/>
        <v>0</v>
      </c>
      <c r="CP31" s="212">
        <f t="shared" si="24"/>
        <v>0</v>
      </c>
      <c r="CQ31" s="212">
        <f t="shared" si="24"/>
        <v>0</v>
      </c>
      <c r="CR31" s="212">
        <f t="shared" si="25"/>
        <v>0</v>
      </c>
      <c r="CS31" s="212">
        <f t="shared" si="25"/>
        <v>0</v>
      </c>
      <c r="CT31" s="212">
        <f t="shared" si="25"/>
        <v>0</v>
      </c>
      <c r="CU31" s="212">
        <f t="shared" si="25"/>
        <v>0</v>
      </c>
      <c r="CV31" s="212">
        <f t="shared" si="25"/>
        <v>0</v>
      </c>
      <c r="CW31" s="212">
        <f t="shared" si="25"/>
        <v>0</v>
      </c>
      <c r="CX31" s="212">
        <f t="shared" si="25"/>
        <v>0</v>
      </c>
      <c r="CY31" s="212">
        <f t="shared" si="25"/>
        <v>0</v>
      </c>
      <c r="CZ31" s="212">
        <f t="shared" si="25"/>
        <v>0</v>
      </c>
      <c r="DA31" s="212">
        <f t="shared" si="25"/>
        <v>0</v>
      </c>
    </row>
    <row r="32" spans="1:105">
      <c r="A32" s="203" t="str">
        <f>Income!A79</f>
        <v>Labour - formal emp</v>
      </c>
      <c r="B32" s="205">
        <f>Income!B79</f>
        <v>0</v>
      </c>
      <c r="C32" s="205">
        <f>Income!C79</f>
        <v>13439.999999999998</v>
      </c>
      <c r="D32" s="205">
        <f>Income!D79</f>
        <v>169343.99999999994</v>
      </c>
      <c r="E32" s="205">
        <f>Income!E79</f>
        <v>225792</v>
      </c>
      <c r="F32" s="212">
        <f t="shared" si="16"/>
        <v>0</v>
      </c>
      <c r="G32" s="212">
        <f t="shared" si="16"/>
        <v>0</v>
      </c>
      <c r="H32" s="212">
        <f t="shared" si="16"/>
        <v>0</v>
      </c>
      <c r="I32" s="212">
        <f t="shared" si="16"/>
        <v>0</v>
      </c>
      <c r="J32" s="212">
        <f t="shared" si="16"/>
        <v>0</v>
      </c>
      <c r="K32" s="212">
        <f t="shared" si="16"/>
        <v>0</v>
      </c>
      <c r="L32" s="212">
        <f t="shared" si="16"/>
        <v>0</v>
      </c>
      <c r="M32" s="212">
        <f t="shared" si="16"/>
        <v>0</v>
      </c>
      <c r="N32" s="212">
        <f t="shared" si="16"/>
        <v>0</v>
      </c>
      <c r="O32" s="212">
        <f t="shared" si="16"/>
        <v>0</v>
      </c>
      <c r="P32" s="212">
        <f t="shared" si="17"/>
        <v>0</v>
      </c>
      <c r="Q32" s="212">
        <f t="shared" si="17"/>
        <v>0</v>
      </c>
      <c r="R32" s="212">
        <f t="shared" si="17"/>
        <v>0</v>
      </c>
      <c r="S32" s="212">
        <f t="shared" si="17"/>
        <v>197.64705882352939</v>
      </c>
      <c r="T32" s="212">
        <f t="shared" si="17"/>
        <v>592.94117647058818</v>
      </c>
      <c r="U32" s="212">
        <f t="shared" si="17"/>
        <v>988.23529411764684</v>
      </c>
      <c r="V32" s="212">
        <f t="shared" si="17"/>
        <v>1383.5294117647056</v>
      </c>
      <c r="W32" s="212">
        <f t="shared" si="17"/>
        <v>1778.8235294117644</v>
      </c>
      <c r="X32" s="212">
        <f t="shared" si="17"/>
        <v>2174.117647058823</v>
      </c>
      <c r="Y32" s="212">
        <f t="shared" si="17"/>
        <v>2569.411764705882</v>
      </c>
      <c r="Z32" s="212">
        <f t="shared" si="18"/>
        <v>2964.7058823529405</v>
      </c>
      <c r="AA32" s="212">
        <f t="shared" si="18"/>
        <v>3359.9999999999995</v>
      </c>
      <c r="AB32" s="212">
        <f t="shared" si="18"/>
        <v>3755.2941176470586</v>
      </c>
      <c r="AC32" s="212">
        <f t="shared" si="18"/>
        <v>4150.5882352941171</v>
      </c>
      <c r="AD32" s="212">
        <f t="shared" si="18"/>
        <v>4545.8823529411757</v>
      </c>
      <c r="AE32" s="212">
        <f t="shared" si="18"/>
        <v>4941.1764705882342</v>
      </c>
      <c r="AF32" s="212">
        <f t="shared" si="18"/>
        <v>5336.4705882352937</v>
      </c>
      <c r="AG32" s="212">
        <f t="shared" si="18"/>
        <v>5731.7647058823522</v>
      </c>
      <c r="AH32" s="212">
        <f t="shared" si="18"/>
        <v>6127.0588235294108</v>
      </c>
      <c r="AI32" s="212">
        <f t="shared" si="18"/>
        <v>6522.3529411764694</v>
      </c>
      <c r="AJ32" s="212">
        <f t="shared" si="19"/>
        <v>6917.6470588235288</v>
      </c>
      <c r="AK32" s="212">
        <f t="shared" si="19"/>
        <v>7312.9411764705874</v>
      </c>
      <c r="AL32" s="212">
        <f t="shared" si="19"/>
        <v>7708.2352941176459</v>
      </c>
      <c r="AM32" s="212">
        <f t="shared" si="19"/>
        <v>8103.5294117647045</v>
      </c>
      <c r="AN32" s="212">
        <f t="shared" si="19"/>
        <v>8498.8235294117621</v>
      </c>
      <c r="AO32" s="212">
        <f t="shared" si="19"/>
        <v>8894.1176470588216</v>
      </c>
      <c r="AP32" s="212">
        <f t="shared" si="19"/>
        <v>9289.4117647058811</v>
      </c>
      <c r="AQ32" s="212">
        <f t="shared" si="19"/>
        <v>9684.7058823529387</v>
      </c>
      <c r="AR32" s="212">
        <f t="shared" si="19"/>
        <v>10079.999999999998</v>
      </c>
      <c r="AS32" s="212">
        <f t="shared" si="19"/>
        <v>10475.294117647058</v>
      </c>
      <c r="AT32" s="212">
        <f t="shared" si="20"/>
        <v>10870.588235294115</v>
      </c>
      <c r="AU32" s="212">
        <f t="shared" si="20"/>
        <v>11265.882352941175</v>
      </c>
      <c r="AV32" s="212">
        <f t="shared" si="20"/>
        <v>11661.176470588234</v>
      </c>
      <c r="AW32" s="212">
        <f t="shared" si="20"/>
        <v>12056.470588235292</v>
      </c>
      <c r="AX32" s="212">
        <f t="shared" si="20"/>
        <v>12451.764705882351</v>
      </c>
      <c r="AY32" s="212">
        <f t="shared" si="20"/>
        <v>12847.058823529411</v>
      </c>
      <c r="AZ32" s="212">
        <f t="shared" si="20"/>
        <v>13242.352941176468</v>
      </c>
      <c r="BA32" s="212">
        <f t="shared" si="20"/>
        <v>15802.181818181816</v>
      </c>
      <c r="BB32" s="212">
        <f t="shared" si="20"/>
        <v>20526.545454545449</v>
      </c>
      <c r="BC32" s="212">
        <f t="shared" si="20"/>
        <v>25250.909090909088</v>
      </c>
      <c r="BD32" s="212">
        <f t="shared" si="21"/>
        <v>29975.272727272721</v>
      </c>
      <c r="BE32" s="212">
        <f t="shared" si="21"/>
        <v>34699.636363636353</v>
      </c>
      <c r="BF32" s="212">
        <f t="shared" si="21"/>
        <v>39423.999999999985</v>
      </c>
      <c r="BG32" s="212">
        <f t="shared" si="21"/>
        <v>44148.363636363625</v>
      </c>
      <c r="BH32" s="212">
        <f t="shared" si="21"/>
        <v>48872.727272727258</v>
      </c>
      <c r="BI32" s="212">
        <f t="shared" si="21"/>
        <v>53597.090909090897</v>
      </c>
      <c r="BJ32" s="212">
        <f t="shared" si="21"/>
        <v>58321.45454545453</v>
      </c>
      <c r="BK32" s="212">
        <f t="shared" si="21"/>
        <v>63045.818181818162</v>
      </c>
      <c r="BL32" s="212">
        <f t="shared" si="21"/>
        <v>67770.181818181794</v>
      </c>
      <c r="BM32" s="212">
        <f t="shared" si="21"/>
        <v>72494.545454545427</v>
      </c>
      <c r="BN32" s="212">
        <f t="shared" si="22"/>
        <v>77218.909090909059</v>
      </c>
      <c r="BO32" s="212">
        <f t="shared" si="22"/>
        <v>81943.272727272706</v>
      </c>
      <c r="BP32" s="212">
        <f t="shared" si="22"/>
        <v>86667.636363636339</v>
      </c>
      <c r="BQ32" s="212">
        <f t="shared" si="22"/>
        <v>91391.999999999971</v>
      </c>
      <c r="BR32" s="212">
        <f t="shared" si="22"/>
        <v>96116.363636363603</v>
      </c>
      <c r="BS32" s="212">
        <f t="shared" si="22"/>
        <v>100840.72727272725</v>
      </c>
      <c r="BT32" s="212">
        <f t="shared" si="22"/>
        <v>105565.09090909088</v>
      </c>
      <c r="BU32" s="212">
        <f t="shared" si="22"/>
        <v>110289.4545454545</v>
      </c>
      <c r="BV32" s="212">
        <f t="shared" si="22"/>
        <v>115013.81818181813</v>
      </c>
      <c r="BW32" s="212">
        <f t="shared" si="22"/>
        <v>119738.18181818178</v>
      </c>
      <c r="BX32" s="212">
        <f t="shared" si="23"/>
        <v>124462.54545454541</v>
      </c>
      <c r="BY32" s="212">
        <f t="shared" si="23"/>
        <v>129186.90909090904</v>
      </c>
      <c r="BZ32" s="212">
        <f t="shared" si="23"/>
        <v>133911.27272727268</v>
      </c>
      <c r="CA32" s="212">
        <f t="shared" si="23"/>
        <v>138635.63636363632</v>
      </c>
      <c r="CB32" s="212">
        <f t="shared" si="23"/>
        <v>143359.99999999994</v>
      </c>
      <c r="CC32" s="212">
        <f t="shared" si="23"/>
        <v>148084.36363636359</v>
      </c>
      <c r="CD32" s="212">
        <f t="shared" si="23"/>
        <v>152808.72727272721</v>
      </c>
      <c r="CE32" s="212">
        <f t="shared" si="23"/>
        <v>157533.09090909085</v>
      </c>
      <c r="CF32" s="212">
        <f t="shared" si="23"/>
        <v>162257.4545454545</v>
      </c>
      <c r="CG32" s="212">
        <f t="shared" si="23"/>
        <v>166981.81818181812</v>
      </c>
      <c r="CH32" s="212">
        <f t="shared" si="24"/>
        <v>171107.99999999994</v>
      </c>
      <c r="CI32" s="212">
        <f t="shared" si="24"/>
        <v>174635.99999999994</v>
      </c>
      <c r="CJ32" s="212">
        <f t="shared" si="24"/>
        <v>178163.99999999994</v>
      </c>
      <c r="CK32" s="212">
        <f t="shared" si="24"/>
        <v>181691.99999999994</v>
      </c>
      <c r="CL32" s="212">
        <f t="shared" si="24"/>
        <v>185219.99999999997</v>
      </c>
      <c r="CM32" s="212">
        <f t="shared" si="24"/>
        <v>188747.99999999997</v>
      </c>
      <c r="CN32" s="212">
        <f t="shared" si="24"/>
        <v>192275.99999999997</v>
      </c>
      <c r="CO32" s="212">
        <f t="shared" si="24"/>
        <v>195803.99999999997</v>
      </c>
      <c r="CP32" s="212">
        <f t="shared" si="24"/>
        <v>199331.99999999997</v>
      </c>
      <c r="CQ32" s="212">
        <f t="shared" si="24"/>
        <v>202859.99999999997</v>
      </c>
      <c r="CR32" s="212">
        <f t="shared" si="25"/>
        <v>206387.99999999997</v>
      </c>
      <c r="CS32" s="212">
        <f t="shared" si="25"/>
        <v>209916</v>
      </c>
      <c r="CT32" s="212">
        <f t="shared" si="25"/>
        <v>213444</v>
      </c>
      <c r="CU32" s="212">
        <f t="shared" si="25"/>
        <v>216972</v>
      </c>
      <c r="CV32" s="212">
        <f t="shared" si="25"/>
        <v>220500</v>
      </c>
      <c r="CW32" s="212">
        <f t="shared" si="25"/>
        <v>224028</v>
      </c>
      <c r="CX32" s="212">
        <f t="shared" si="25"/>
        <v>225792</v>
      </c>
      <c r="CY32" s="212">
        <f t="shared" si="25"/>
        <v>225792</v>
      </c>
      <c r="CZ32" s="212">
        <f t="shared" si="25"/>
        <v>225792</v>
      </c>
      <c r="DA32" s="212">
        <f t="shared" si="25"/>
        <v>225792</v>
      </c>
    </row>
    <row r="33" spans="1:105">
      <c r="A33" s="203" t="str">
        <f>Income!A81</f>
        <v>Self - employment</v>
      </c>
      <c r="B33" s="205">
        <f>Income!B81</f>
        <v>2567.0399999999995</v>
      </c>
      <c r="C33" s="205">
        <f>Income!C81</f>
        <v>7044.7999999999993</v>
      </c>
      <c r="D33" s="205">
        <f>Income!D81</f>
        <v>0</v>
      </c>
      <c r="E33" s="205">
        <f>Income!E81</f>
        <v>0</v>
      </c>
      <c r="F33" s="212">
        <f t="shared" si="16"/>
        <v>2567.0399999999995</v>
      </c>
      <c r="G33" s="212">
        <f t="shared" si="16"/>
        <v>2567.0399999999995</v>
      </c>
      <c r="H33" s="212">
        <f t="shared" si="16"/>
        <v>2567.0399999999995</v>
      </c>
      <c r="I33" s="212">
        <f t="shared" si="16"/>
        <v>2567.0399999999995</v>
      </c>
      <c r="J33" s="212">
        <f t="shared" si="16"/>
        <v>2567.0399999999995</v>
      </c>
      <c r="K33" s="212">
        <f t="shared" si="16"/>
        <v>2567.0399999999995</v>
      </c>
      <c r="L33" s="212">
        <f t="shared" si="16"/>
        <v>2567.0399999999995</v>
      </c>
      <c r="M33" s="212">
        <f t="shared" si="16"/>
        <v>2567.0399999999995</v>
      </c>
      <c r="N33" s="212">
        <f t="shared" si="16"/>
        <v>2567.0399999999995</v>
      </c>
      <c r="O33" s="212">
        <f t="shared" si="16"/>
        <v>2567.0399999999995</v>
      </c>
      <c r="P33" s="212">
        <f t="shared" si="17"/>
        <v>2567.0399999999995</v>
      </c>
      <c r="Q33" s="212">
        <f t="shared" si="17"/>
        <v>2567.0399999999995</v>
      </c>
      <c r="R33" s="212">
        <f t="shared" si="17"/>
        <v>2567.0399999999995</v>
      </c>
      <c r="S33" s="212">
        <f t="shared" si="17"/>
        <v>2632.8894117647055</v>
      </c>
      <c r="T33" s="212">
        <f t="shared" si="17"/>
        <v>2764.5882352941171</v>
      </c>
      <c r="U33" s="212">
        <f t="shared" si="17"/>
        <v>2896.2870588235292</v>
      </c>
      <c r="V33" s="212">
        <f t="shared" si="17"/>
        <v>3027.9858823529407</v>
      </c>
      <c r="W33" s="212">
        <f t="shared" si="17"/>
        <v>3159.6847058823523</v>
      </c>
      <c r="X33" s="212">
        <f t="shared" si="17"/>
        <v>3291.3835294117644</v>
      </c>
      <c r="Y33" s="212">
        <f t="shared" si="17"/>
        <v>3423.0823529411759</v>
      </c>
      <c r="Z33" s="212">
        <f t="shared" si="18"/>
        <v>3554.781176470588</v>
      </c>
      <c r="AA33" s="212">
        <f t="shared" si="18"/>
        <v>3686.4799999999996</v>
      </c>
      <c r="AB33" s="212">
        <f t="shared" si="18"/>
        <v>3818.1788235294116</v>
      </c>
      <c r="AC33" s="212">
        <f t="shared" si="18"/>
        <v>3949.8776470588232</v>
      </c>
      <c r="AD33" s="212">
        <f t="shared" si="18"/>
        <v>4081.5764705882348</v>
      </c>
      <c r="AE33" s="212">
        <f t="shared" si="18"/>
        <v>4213.2752941176468</v>
      </c>
      <c r="AF33" s="212">
        <f t="shared" si="18"/>
        <v>4344.9741176470579</v>
      </c>
      <c r="AG33" s="212">
        <f t="shared" si="18"/>
        <v>4476.67294117647</v>
      </c>
      <c r="AH33" s="212">
        <f t="shared" si="18"/>
        <v>4608.371764705882</v>
      </c>
      <c r="AI33" s="212">
        <f t="shared" si="18"/>
        <v>4740.0705882352941</v>
      </c>
      <c r="AJ33" s="212">
        <f t="shared" si="19"/>
        <v>4871.7694117647061</v>
      </c>
      <c r="AK33" s="212">
        <f t="shared" si="19"/>
        <v>5003.4682352941172</v>
      </c>
      <c r="AL33" s="212">
        <f t="shared" si="19"/>
        <v>5135.1670588235293</v>
      </c>
      <c r="AM33" s="212">
        <f t="shared" si="19"/>
        <v>5266.8658823529404</v>
      </c>
      <c r="AN33" s="212">
        <f t="shared" si="19"/>
        <v>5398.5647058823524</v>
      </c>
      <c r="AO33" s="212">
        <f t="shared" si="19"/>
        <v>5530.2635294117645</v>
      </c>
      <c r="AP33" s="212">
        <f t="shared" si="19"/>
        <v>5661.9623529411765</v>
      </c>
      <c r="AQ33" s="212">
        <f t="shared" si="19"/>
        <v>5793.6611764705885</v>
      </c>
      <c r="AR33" s="212">
        <f t="shared" si="19"/>
        <v>5925.36</v>
      </c>
      <c r="AS33" s="212">
        <f t="shared" si="19"/>
        <v>6057.0588235294108</v>
      </c>
      <c r="AT33" s="212">
        <f t="shared" si="20"/>
        <v>6188.7576470588228</v>
      </c>
      <c r="AU33" s="212">
        <f t="shared" si="20"/>
        <v>6320.4564705882349</v>
      </c>
      <c r="AV33" s="212">
        <f t="shared" si="20"/>
        <v>6452.1552941176469</v>
      </c>
      <c r="AW33" s="212">
        <f t="shared" si="20"/>
        <v>6583.854117647058</v>
      </c>
      <c r="AX33" s="212">
        <f t="shared" si="20"/>
        <v>6715.552941176471</v>
      </c>
      <c r="AY33" s="212">
        <f t="shared" si="20"/>
        <v>6847.251764705883</v>
      </c>
      <c r="AZ33" s="212">
        <f t="shared" si="20"/>
        <v>6978.9505882352951</v>
      </c>
      <c r="BA33" s="212">
        <f t="shared" si="20"/>
        <v>6938.0606060606051</v>
      </c>
      <c r="BB33" s="212">
        <f t="shared" si="20"/>
        <v>6724.5818181818177</v>
      </c>
      <c r="BC33" s="212">
        <f t="shared" si="20"/>
        <v>6511.1030303030293</v>
      </c>
      <c r="BD33" s="212">
        <f t="shared" si="21"/>
        <v>6297.6242424242419</v>
      </c>
      <c r="BE33" s="212">
        <f t="shared" si="21"/>
        <v>6084.1454545454535</v>
      </c>
      <c r="BF33" s="212">
        <f t="shared" si="21"/>
        <v>5870.6666666666661</v>
      </c>
      <c r="BG33" s="212">
        <f t="shared" si="21"/>
        <v>5657.1878787878777</v>
      </c>
      <c r="BH33" s="212">
        <f t="shared" si="21"/>
        <v>5443.7090909090903</v>
      </c>
      <c r="BI33" s="212">
        <f t="shared" si="21"/>
        <v>5230.2303030303028</v>
      </c>
      <c r="BJ33" s="212">
        <f t="shared" si="21"/>
        <v>5016.7515151515145</v>
      </c>
      <c r="BK33" s="212">
        <f t="shared" si="21"/>
        <v>4803.2727272727261</v>
      </c>
      <c r="BL33" s="212">
        <f t="shared" si="21"/>
        <v>4589.7939393939387</v>
      </c>
      <c r="BM33" s="212">
        <f t="shared" si="21"/>
        <v>4376.3151515151512</v>
      </c>
      <c r="BN33" s="212">
        <f t="shared" si="22"/>
        <v>4162.8363636363629</v>
      </c>
      <c r="BO33" s="212">
        <f t="shared" si="22"/>
        <v>3949.3575757575754</v>
      </c>
      <c r="BP33" s="212">
        <f t="shared" si="22"/>
        <v>3735.8787878787875</v>
      </c>
      <c r="BQ33" s="212">
        <f t="shared" si="22"/>
        <v>3522.3999999999996</v>
      </c>
      <c r="BR33" s="212">
        <f t="shared" si="22"/>
        <v>3308.9212121212117</v>
      </c>
      <c r="BS33" s="212">
        <f t="shared" si="22"/>
        <v>3095.4424242424238</v>
      </c>
      <c r="BT33" s="212">
        <f t="shared" si="22"/>
        <v>2881.9636363636364</v>
      </c>
      <c r="BU33" s="212">
        <f t="shared" si="22"/>
        <v>2668.484848484848</v>
      </c>
      <c r="BV33" s="212">
        <f t="shared" si="22"/>
        <v>2455.0060606060606</v>
      </c>
      <c r="BW33" s="212">
        <f t="shared" si="22"/>
        <v>2241.5272727272732</v>
      </c>
      <c r="BX33" s="212">
        <f t="shared" si="23"/>
        <v>2028.0484848484848</v>
      </c>
      <c r="BY33" s="212">
        <f t="shared" si="23"/>
        <v>1814.5696969696974</v>
      </c>
      <c r="BZ33" s="212">
        <f t="shared" si="23"/>
        <v>1601.0909090909081</v>
      </c>
      <c r="CA33" s="212">
        <f t="shared" si="23"/>
        <v>1387.6121212121207</v>
      </c>
      <c r="CB33" s="212">
        <f t="shared" si="23"/>
        <v>1174.1333333333332</v>
      </c>
      <c r="CC33" s="212">
        <f t="shared" si="23"/>
        <v>960.65454545454486</v>
      </c>
      <c r="CD33" s="212">
        <f t="shared" si="23"/>
        <v>747.17575757575742</v>
      </c>
      <c r="CE33" s="212">
        <f t="shared" si="23"/>
        <v>533.69696969696997</v>
      </c>
      <c r="CF33" s="212">
        <f t="shared" si="23"/>
        <v>320.21818181818162</v>
      </c>
      <c r="CG33" s="212">
        <f t="shared" si="23"/>
        <v>106.73939393939418</v>
      </c>
      <c r="CH33" s="212">
        <f t="shared" si="24"/>
        <v>0</v>
      </c>
      <c r="CI33" s="212">
        <f t="shared" si="24"/>
        <v>0</v>
      </c>
      <c r="CJ33" s="212">
        <f t="shared" si="24"/>
        <v>0</v>
      </c>
      <c r="CK33" s="212">
        <f t="shared" si="24"/>
        <v>0</v>
      </c>
      <c r="CL33" s="212">
        <f t="shared" si="24"/>
        <v>0</v>
      </c>
      <c r="CM33" s="212">
        <f t="shared" si="24"/>
        <v>0</v>
      </c>
      <c r="CN33" s="212">
        <f t="shared" si="24"/>
        <v>0</v>
      </c>
      <c r="CO33" s="212">
        <f t="shared" si="24"/>
        <v>0</v>
      </c>
      <c r="CP33" s="212">
        <f t="shared" si="24"/>
        <v>0</v>
      </c>
      <c r="CQ33" s="212">
        <f t="shared" si="24"/>
        <v>0</v>
      </c>
      <c r="CR33" s="212">
        <f t="shared" si="25"/>
        <v>0</v>
      </c>
      <c r="CS33" s="212">
        <f t="shared" si="25"/>
        <v>0</v>
      </c>
      <c r="CT33" s="212">
        <f t="shared" si="25"/>
        <v>0</v>
      </c>
      <c r="CU33" s="212">
        <f t="shared" si="25"/>
        <v>0</v>
      </c>
      <c r="CV33" s="212">
        <f t="shared" si="25"/>
        <v>0</v>
      </c>
      <c r="CW33" s="212">
        <f t="shared" si="25"/>
        <v>0</v>
      </c>
      <c r="CX33" s="212">
        <f t="shared" si="25"/>
        <v>0</v>
      </c>
      <c r="CY33" s="212">
        <f t="shared" si="25"/>
        <v>0</v>
      </c>
      <c r="CZ33" s="212">
        <f t="shared" si="25"/>
        <v>0</v>
      </c>
      <c r="DA33" s="212">
        <f t="shared" si="25"/>
        <v>0</v>
      </c>
    </row>
    <row r="34" spans="1:105">
      <c r="A34" s="203" t="str">
        <f>Income!A82</f>
        <v>Small business/petty trading</v>
      </c>
      <c r="B34" s="205">
        <f>Income!B82</f>
        <v>0</v>
      </c>
      <c r="C34" s="205">
        <f>Income!C82</f>
        <v>2150.3999999999996</v>
      </c>
      <c r="D34" s="205">
        <f>Income!D82</f>
        <v>41932.799999999988</v>
      </c>
      <c r="E34" s="205">
        <f>Income!E82</f>
        <v>106444.79999999997</v>
      </c>
      <c r="F34" s="212">
        <f t="shared" si="16"/>
        <v>0</v>
      </c>
      <c r="G34" s="212">
        <f t="shared" si="16"/>
        <v>0</v>
      </c>
      <c r="H34" s="212">
        <f t="shared" si="16"/>
        <v>0</v>
      </c>
      <c r="I34" s="212">
        <f t="shared" si="16"/>
        <v>0</v>
      </c>
      <c r="J34" s="212">
        <f t="shared" si="16"/>
        <v>0</v>
      </c>
      <c r="K34" s="212">
        <f t="shared" si="16"/>
        <v>0</v>
      </c>
      <c r="L34" s="212">
        <f t="shared" si="16"/>
        <v>0</v>
      </c>
      <c r="M34" s="212">
        <f t="shared" si="16"/>
        <v>0</v>
      </c>
      <c r="N34" s="212">
        <f t="shared" si="16"/>
        <v>0</v>
      </c>
      <c r="O34" s="212">
        <f t="shared" si="16"/>
        <v>0</v>
      </c>
      <c r="P34" s="212">
        <f t="shared" si="17"/>
        <v>0</v>
      </c>
      <c r="Q34" s="212">
        <f t="shared" si="17"/>
        <v>0</v>
      </c>
      <c r="R34" s="212">
        <f t="shared" si="17"/>
        <v>0</v>
      </c>
      <c r="S34" s="212">
        <f t="shared" si="17"/>
        <v>31.6235294117647</v>
      </c>
      <c r="T34" s="212">
        <f t="shared" si="17"/>
        <v>94.870588235294107</v>
      </c>
      <c r="U34" s="212">
        <f t="shared" si="17"/>
        <v>158.11764705882351</v>
      </c>
      <c r="V34" s="212">
        <f t="shared" si="17"/>
        <v>221.36470588235289</v>
      </c>
      <c r="W34" s="212">
        <f t="shared" si="17"/>
        <v>284.61176470588231</v>
      </c>
      <c r="X34" s="212">
        <f t="shared" si="17"/>
        <v>347.85882352941167</v>
      </c>
      <c r="Y34" s="212">
        <f t="shared" si="17"/>
        <v>411.10588235294114</v>
      </c>
      <c r="Z34" s="212">
        <f t="shared" si="18"/>
        <v>474.35294117647049</v>
      </c>
      <c r="AA34" s="212">
        <f t="shared" si="18"/>
        <v>537.59999999999991</v>
      </c>
      <c r="AB34" s="212">
        <f t="shared" si="18"/>
        <v>600.84705882352932</v>
      </c>
      <c r="AC34" s="212">
        <f t="shared" si="18"/>
        <v>664.09411764705874</v>
      </c>
      <c r="AD34" s="212">
        <f t="shared" si="18"/>
        <v>727.34117647058804</v>
      </c>
      <c r="AE34" s="212">
        <f t="shared" si="18"/>
        <v>790.58823529411757</v>
      </c>
      <c r="AF34" s="212">
        <f t="shared" si="18"/>
        <v>853.83529411764687</v>
      </c>
      <c r="AG34" s="212">
        <f t="shared" si="18"/>
        <v>917.0823529411764</v>
      </c>
      <c r="AH34" s="212">
        <f t="shared" si="18"/>
        <v>980.32941176470581</v>
      </c>
      <c r="AI34" s="212">
        <f t="shared" si="18"/>
        <v>1043.576470588235</v>
      </c>
      <c r="AJ34" s="212">
        <f t="shared" si="19"/>
        <v>1106.8235294117644</v>
      </c>
      <c r="AK34" s="212">
        <f t="shared" si="19"/>
        <v>1170.0705882352941</v>
      </c>
      <c r="AL34" s="212">
        <f t="shared" si="19"/>
        <v>1233.3176470588235</v>
      </c>
      <c r="AM34" s="212">
        <f t="shared" si="19"/>
        <v>1296.5647058823527</v>
      </c>
      <c r="AN34" s="212">
        <f t="shared" si="19"/>
        <v>1359.8117647058821</v>
      </c>
      <c r="AO34" s="212">
        <f t="shared" si="19"/>
        <v>1423.0588235294115</v>
      </c>
      <c r="AP34" s="212">
        <f t="shared" si="19"/>
        <v>1486.3058823529409</v>
      </c>
      <c r="AQ34" s="212">
        <f t="shared" si="19"/>
        <v>1549.5529411764703</v>
      </c>
      <c r="AR34" s="212">
        <f t="shared" si="19"/>
        <v>1612.7999999999997</v>
      </c>
      <c r="AS34" s="212">
        <f t="shared" si="19"/>
        <v>1676.0470588235291</v>
      </c>
      <c r="AT34" s="212">
        <f t="shared" si="20"/>
        <v>1739.2941176470586</v>
      </c>
      <c r="AU34" s="212">
        <f t="shared" si="20"/>
        <v>1802.5411764705877</v>
      </c>
      <c r="AV34" s="212">
        <f t="shared" si="20"/>
        <v>1865.7882352941174</v>
      </c>
      <c r="AW34" s="212">
        <f t="shared" si="20"/>
        <v>1929.0352941176466</v>
      </c>
      <c r="AX34" s="212">
        <f t="shared" si="20"/>
        <v>1992.2823529411762</v>
      </c>
      <c r="AY34" s="212">
        <f t="shared" si="20"/>
        <v>2055.5294117647054</v>
      </c>
      <c r="AZ34" s="212">
        <f t="shared" si="20"/>
        <v>2118.776470588235</v>
      </c>
      <c r="BA34" s="212">
        <f t="shared" si="20"/>
        <v>2753.1636363636358</v>
      </c>
      <c r="BB34" s="212">
        <f t="shared" si="20"/>
        <v>3958.690909090908</v>
      </c>
      <c r="BC34" s="212">
        <f t="shared" si="20"/>
        <v>5164.2181818181807</v>
      </c>
      <c r="BD34" s="212">
        <f t="shared" si="21"/>
        <v>6369.745454545453</v>
      </c>
      <c r="BE34" s="212">
        <f t="shared" si="21"/>
        <v>7575.2727272727252</v>
      </c>
      <c r="BF34" s="212">
        <f t="shared" si="21"/>
        <v>8780.7999999999975</v>
      </c>
      <c r="BG34" s="212">
        <f t="shared" si="21"/>
        <v>9986.3272727272706</v>
      </c>
      <c r="BH34" s="212">
        <f t="shared" si="21"/>
        <v>11191.854545454542</v>
      </c>
      <c r="BI34" s="212">
        <f t="shared" si="21"/>
        <v>12397.381818181815</v>
      </c>
      <c r="BJ34" s="212">
        <f t="shared" si="21"/>
        <v>13602.909090909086</v>
      </c>
      <c r="BK34" s="212">
        <f t="shared" si="21"/>
        <v>14808.436363636358</v>
      </c>
      <c r="BL34" s="212">
        <f t="shared" si="21"/>
        <v>16013.963636363631</v>
      </c>
      <c r="BM34" s="212">
        <f t="shared" si="21"/>
        <v>17219.490909090906</v>
      </c>
      <c r="BN34" s="212">
        <f t="shared" si="22"/>
        <v>18425.018181818174</v>
      </c>
      <c r="BO34" s="212">
        <f t="shared" si="22"/>
        <v>19630.545454545449</v>
      </c>
      <c r="BP34" s="212">
        <f t="shared" si="22"/>
        <v>20836.072727272724</v>
      </c>
      <c r="BQ34" s="212">
        <f t="shared" si="22"/>
        <v>22041.599999999991</v>
      </c>
      <c r="BR34" s="212">
        <f t="shared" si="22"/>
        <v>23247.127272727266</v>
      </c>
      <c r="BS34" s="212">
        <f t="shared" si="22"/>
        <v>24452.654545454541</v>
      </c>
      <c r="BT34" s="212">
        <f t="shared" si="22"/>
        <v>25658.181818181809</v>
      </c>
      <c r="BU34" s="212">
        <f t="shared" si="22"/>
        <v>26863.709090909084</v>
      </c>
      <c r="BV34" s="212">
        <f t="shared" si="22"/>
        <v>28069.236363636359</v>
      </c>
      <c r="BW34" s="212">
        <f t="shared" si="22"/>
        <v>29274.763636363627</v>
      </c>
      <c r="BX34" s="212">
        <f t="shared" si="23"/>
        <v>30480.290909090902</v>
      </c>
      <c r="BY34" s="212">
        <f t="shared" si="23"/>
        <v>31685.818181818169</v>
      </c>
      <c r="BZ34" s="212">
        <f t="shared" si="23"/>
        <v>32891.345454545444</v>
      </c>
      <c r="CA34" s="212">
        <f t="shared" si="23"/>
        <v>34096.872727272719</v>
      </c>
      <c r="CB34" s="212">
        <f t="shared" si="23"/>
        <v>35302.399999999987</v>
      </c>
      <c r="CC34" s="212">
        <f t="shared" si="23"/>
        <v>36507.927272727262</v>
      </c>
      <c r="CD34" s="212">
        <f t="shared" si="23"/>
        <v>37713.454545454537</v>
      </c>
      <c r="CE34" s="212">
        <f t="shared" si="23"/>
        <v>38918.981818181805</v>
      </c>
      <c r="CF34" s="212">
        <f t="shared" si="23"/>
        <v>40124.50909090908</v>
      </c>
      <c r="CG34" s="212">
        <f t="shared" si="23"/>
        <v>41330.036363636355</v>
      </c>
      <c r="CH34" s="212">
        <f t="shared" si="24"/>
        <v>43948.799999999988</v>
      </c>
      <c r="CI34" s="212">
        <f t="shared" si="24"/>
        <v>47980.799999999988</v>
      </c>
      <c r="CJ34" s="212">
        <f t="shared" si="24"/>
        <v>52012.799999999988</v>
      </c>
      <c r="CK34" s="212">
        <f t="shared" si="24"/>
        <v>56044.799999999988</v>
      </c>
      <c r="CL34" s="212">
        <f t="shared" si="24"/>
        <v>60076.799999999988</v>
      </c>
      <c r="CM34" s="212">
        <f t="shared" si="24"/>
        <v>64108.799999999988</v>
      </c>
      <c r="CN34" s="212">
        <f t="shared" si="24"/>
        <v>68140.799999999988</v>
      </c>
      <c r="CO34" s="212">
        <f t="shared" si="24"/>
        <v>72172.799999999988</v>
      </c>
      <c r="CP34" s="212">
        <f t="shared" si="24"/>
        <v>76204.799999999988</v>
      </c>
      <c r="CQ34" s="212">
        <f t="shared" si="24"/>
        <v>80236.799999999988</v>
      </c>
      <c r="CR34" s="212">
        <f t="shared" si="25"/>
        <v>84268.799999999988</v>
      </c>
      <c r="CS34" s="212">
        <f t="shared" si="25"/>
        <v>88300.799999999988</v>
      </c>
      <c r="CT34" s="212">
        <f t="shared" si="25"/>
        <v>92332.799999999974</v>
      </c>
      <c r="CU34" s="212">
        <f t="shared" si="25"/>
        <v>96364.799999999974</v>
      </c>
      <c r="CV34" s="212">
        <f t="shared" si="25"/>
        <v>100396.79999999997</v>
      </c>
      <c r="CW34" s="212">
        <f t="shared" si="25"/>
        <v>104428.79999999997</v>
      </c>
      <c r="CX34" s="212">
        <f t="shared" si="25"/>
        <v>106444.79999999997</v>
      </c>
      <c r="CY34" s="212">
        <f t="shared" si="25"/>
        <v>106444.79999999997</v>
      </c>
      <c r="CZ34" s="212">
        <f t="shared" si="25"/>
        <v>106444.79999999997</v>
      </c>
      <c r="DA34" s="212">
        <f t="shared" si="25"/>
        <v>106444.79999999997</v>
      </c>
    </row>
    <row r="35" spans="1:105">
      <c r="A35" s="203" t="str">
        <f>Income!A83</f>
        <v>Food transfer - official</v>
      </c>
      <c r="B35" s="205">
        <f>Income!B83</f>
        <v>0</v>
      </c>
      <c r="C35" s="205">
        <f>Income!C83</f>
        <v>61.259668508287291</v>
      </c>
      <c r="D35" s="205">
        <f>Income!D83</f>
        <v>73.511602209944741</v>
      </c>
      <c r="E35" s="205">
        <f>Income!E83</f>
        <v>0</v>
      </c>
      <c r="F35" s="212">
        <f t="shared" si="16"/>
        <v>0</v>
      </c>
      <c r="G35" s="212">
        <f t="shared" si="16"/>
        <v>0</v>
      </c>
      <c r="H35" s="212">
        <f t="shared" si="16"/>
        <v>0</v>
      </c>
      <c r="I35" s="212">
        <f t="shared" si="16"/>
        <v>0</v>
      </c>
      <c r="J35" s="212">
        <f t="shared" si="16"/>
        <v>0</v>
      </c>
      <c r="K35" s="212">
        <f t="shared" si="16"/>
        <v>0</v>
      </c>
      <c r="L35" s="212">
        <f t="shared" si="16"/>
        <v>0</v>
      </c>
      <c r="M35" s="212">
        <f t="shared" si="16"/>
        <v>0</v>
      </c>
      <c r="N35" s="212">
        <f t="shared" si="16"/>
        <v>0</v>
      </c>
      <c r="O35" s="212">
        <f t="shared" si="16"/>
        <v>0</v>
      </c>
      <c r="P35" s="212">
        <f t="shared" si="17"/>
        <v>0</v>
      </c>
      <c r="Q35" s="212">
        <f t="shared" si="17"/>
        <v>0</v>
      </c>
      <c r="R35" s="212">
        <f t="shared" si="17"/>
        <v>0</v>
      </c>
      <c r="S35" s="212">
        <f t="shared" si="17"/>
        <v>0.90087747806304841</v>
      </c>
      <c r="T35" s="212">
        <f t="shared" si="17"/>
        <v>2.702632434189145</v>
      </c>
      <c r="U35" s="212">
        <f t="shared" si="17"/>
        <v>4.5043873903152418</v>
      </c>
      <c r="V35" s="212">
        <f t="shared" si="17"/>
        <v>6.3061423464413391</v>
      </c>
      <c r="W35" s="212">
        <f t="shared" si="17"/>
        <v>8.1078973025674355</v>
      </c>
      <c r="X35" s="212">
        <f t="shared" si="17"/>
        <v>9.9096522586935318</v>
      </c>
      <c r="Y35" s="212">
        <f t="shared" si="17"/>
        <v>11.71140721481963</v>
      </c>
      <c r="Z35" s="212">
        <f t="shared" si="18"/>
        <v>13.513162170945726</v>
      </c>
      <c r="AA35" s="212">
        <f t="shared" si="18"/>
        <v>15.314917127071821</v>
      </c>
      <c r="AB35" s="212">
        <f t="shared" si="18"/>
        <v>17.116672083197923</v>
      </c>
      <c r="AC35" s="212">
        <f t="shared" si="18"/>
        <v>18.918427039324015</v>
      </c>
      <c r="AD35" s="212">
        <f t="shared" si="18"/>
        <v>20.720181995450115</v>
      </c>
      <c r="AE35" s="212">
        <f t="shared" si="18"/>
        <v>22.521936951576208</v>
      </c>
      <c r="AF35" s="212">
        <f t="shared" si="18"/>
        <v>24.323691907702308</v>
      </c>
      <c r="AG35" s="212">
        <f t="shared" si="18"/>
        <v>26.125446863828401</v>
      </c>
      <c r="AH35" s="212">
        <f t="shared" si="18"/>
        <v>27.927201819954501</v>
      </c>
      <c r="AI35" s="212">
        <f t="shared" si="18"/>
        <v>29.728956776080594</v>
      </c>
      <c r="AJ35" s="212">
        <f t="shared" si="19"/>
        <v>31.530711732206697</v>
      </c>
      <c r="AK35" s="212">
        <f t="shared" si="19"/>
        <v>33.332466688332786</v>
      </c>
      <c r="AL35" s="212">
        <f t="shared" si="19"/>
        <v>35.13422164445889</v>
      </c>
      <c r="AM35" s="212">
        <f t="shared" si="19"/>
        <v>36.935976600584979</v>
      </c>
      <c r="AN35" s="212">
        <f t="shared" si="19"/>
        <v>38.737731556711083</v>
      </c>
      <c r="AO35" s="212">
        <f t="shared" si="19"/>
        <v>40.539486512837179</v>
      </c>
      <c r="AP35" s="212">
        <f t="shared" si="19"/>
        <v>42.341241468963275</v>
      </c>
      <c r="AQ35" s="212">
        <f t="shared" si="19"/>
        <v>44.142996425089372</v>
      </c>
      <c r="AR35" s="212">
        <f t="shared" si="19"/>
        <v>45.944751381215468</v>
      </c>
      <c r="AS35" s="212">
        <f t="shared" si="19"/>
        <v>47.746506337341565</v>
      </c>
      <c r="AT35" s="212">
        <f t="shared" si="20"/>
        <v>49.548261293467661</v>
      </c>
      <c r="AU35" s="212">
        <f t="shared" si="20"/>
        <v>51.350016249593757</v>
      </c>
      <c r="AV35" s="212">
        <f t="shared" si="20"/>
        <v>53.151771205719854</v>
      </c>
      <c r="AW35" s="212">
        <f t="shared" si="20"/>
        <v>54.95352616184595</v>
      </c>
      <c r="AX35" s="212">
        <f t="shared" si="20"/>
        <v>56.755281117972054</v>
      </c>
      <c r="AY35" s="212">
        <f t="shared" si="20"/>
        <v>58.557036074098143</v>
      </c>
      <c r="AZ35" s="212">
        <f t="shared" si="20"/>
        <v>60.358791030224239</v>
      </c>
      <c r="BA35" s="212">
        <f t="shared" si="20"/>
        <v>61.445303867403311</v>
      </c>
      <c r="BB35" s="212">
        <f t="shared" si="20"/>
        <v>61.816574585635358</v>
      </c>
      <c r="BC35" s="212">
        <f t="shared" si="20"/>
        <v>62.187845303867398</v>
      </c>
      <c r="BD35" s="212">
        <f t="shared" si="21"/>
        <v>62.559116022099445</v>
      </c>
      <c r="BE35" s="212">
        <f t="shared" si="21"/>
        <v>62.930386740331485</v>
      </c>
      <c r="BF35" s="212">
        <f t="shared" si="21"/>
        <v>63.301657458563533</v>
      </c>
      <c r="BG35" s="212">
        <f t="shared" si="21"/>
        <v>63.67292817679558</v>
      </c>
      <c r="BH35" s="212">
        <f t="shared" si="21"/>
        <v>64.04419889502762</v>
      </c>
      <c r="BI35" s="212">
        <f t="shared" si="21"/>
        <v>64.41546961325966</v>
      </c>
      <c r="BJ35" s="212">
        <f t="shared" si="21"/>
        <v>64.786740331491714</v>
      </c>
      <c r="BK35" s="212">
        <f t="shared" si="21"/>
        <v>65.158011049723754</v>
      </c>
      <c r="BL35" s="212">
        <f t="shared" si="21"/>
        <v>65.529281767955794</v>
      </c>
      <c r="BM35" s="212">
        <f t="shared" si="21"/>
        <v>65.900552486187834</v>
      </c>
      <c r="BN35" s="212">
        <f t="shared" si="22"/>
        <v>66.271823204419888</v>
      </c>
      <c r="BO35" s="212">
        <f t="shared" si="22"/>
        <v>66.643093922651929</v>
      </c>
      <c r="BP35" s="212">
        <f t="shared" si="22"/>
        <v>67.014364640883969</v>
      </c>
      <c r="BQ35" s="212">
        <f t="shared" si="22"/>
        <v>67.385635359116009</v>
      </c>
      <c r="BR35" s="212">
        <f t="shared" si="22"/>
        <v>67.756906077348063</v>
      </c>
      <c r="BS35" s="212">
        <f t="shared" si="22"/>
        <v>68.128176795580103</v>
      </c>
      <c r="BT35" s="212">
        <f t="shared" si="22"/>
        <v>68.499447513812143</v>
      </c>
      <c r="BU35" s="212">
        <f t="shared" si="22"/>
        <v>68.870718232044197</v>
      </c>
      <c r="BV35" s="212">
        <f t="shared" si="22"/>
        <v>69.241988950276237</v>
      </c>
      <c r="BW35" s="212">
        <f t="shared" si="22"/>
        <v>69.613259668508277</v>
      </c>
      <c r="BX35" s="212">
        <f t="shared" si="23"/>
        <v>69.984530386740317</v>
      </c>
      <c r="BY35" s="212">
        <f t="shared" si="23"/>
        <v>70.355801104972372</v>
      </c>
      <c r="BZ35" s="212">
        <f t="shared" si="23"/>
        <v>70.727071823204412</v>
      </c>
      <c r="CA35" s="212">
        <f t="shared" si="23"/>
        <v>71.098342541436452</v>
      </c>
      <c r="CB35" s="212">
        <f t="shared" si="23"/>
        <v>71.469613259668506</v>
      </c>
      <c r="CC35" s="212">
        <f t="shared" si="23"/>
        <v>71.840883977900546</v>
      </c>
      <c r="CD35" s="212">
        <f t="shared" si="23"/>
        <v>72.212154696132586</v>
      </c>
      <c r="CE35" s="212">
        <f t="shared" si="23"/>
        <v>72.583425414364626</v>
      </c>
      <c r="CF35" s="212">
        <f t="shared" si="23"/>
        <v>72.954696132596681</v>
      </c>
      <c r="CG35" s="212">
        <f t="shared" si="23"/>
        <v>73.325966850828721</v>
      </c>
      <c r="CH35" s="212">
        <f t="shared" si="24"/>
        <v>71.214364640883971</v>
      </c>
      <c r="CI35" s="212">
        <f t="shared" si="24"/>
        <v>66.619889502762419</v>
      </c>
      <c r="CJ35" s="212">
        <f t="shared" si="24"/>
        <v>62.025414364640874</v>
      </c>
      <c r="CK35" s="212">
        <f t="shared" si="24"/>
        <v>57.430939226519328</v>
      </c>
      <c r="CL35" s="212">
        <f t="shared" si="24"/>
        <v>52.836464088397783</v>
      </c>
      <c r="CM35" s="212">
        <f t="shared" si="24"/>
        <v>48.241988950276237</v>
      </c>
      <c r="CN35" s="212">
        <f t="shared" si="24"/>
        <v>43.647513812154685</v>
      </c>
      <c r="CO35" s="212">
        <f t="shared" si="24"/>
        <v>39.053038674033147</v>
      </c>
      <c r="CP35" s="212">
        <f t="shared" si="24"/>
        <v>34.458563535911594</v>
      </c>
      <c r="CQ35" s="212">
        <f t="shared" si="24"/>
        <v>29.864088397790049</v>
      </c>
      <c r="CR35" s="212">
        <f t="shared" si="25"/>
        <v>25.269613259668503</v>
      </c>
      <c r="CS35" s="212">
        <f t="shared" si="25"/>
        <v>20.675138121546958</v>
      </c>
      <c r="CT35" s="212">
        <f t="shared" si="25"/>
        <v>16.080662983425412</v>
      </c>
      <c r="CU35" s="212">
        <f t="shared" si="25"/>
        <v>11.486187845303867</v>
      </c>
      <c r="CV35" s="212">
        <f t="shared" si="25"/>
        <v>6.8917127071823217</v>
      </c>
      <c r="CW35" s="212">
        <f t="shared" si="25"/>
        <v>2.2972375690607691</v>
      </c>
      <c r="CX35" s="212">
        <f t="shared" si="25"/>
        <v>0</v>
      </c>
      <c r="CY35" s="212">
        <f t="shared" si="25"/>
        <v>0</v>
      </c>
      <c r="CZ35" s="212">
        <f t="shared" si="25"/>
        <v>0</v>
      </c>
      <c r="DA35" s="212">
        <f t="shared" si="25"/>
        <v>0</v>
      </c>
    </row>
    <row r="36" spans="1:105">
      <c r="A36" s="203" t="str">
        <f>Income!A85</f>
        <v>Cash transfer - official</v>
      </c>
      <c r="B36" s="205">
        <f>Income!B85</f>
        <v>18197.817647058822</v>
      </c>
      <c r="C36" s="205">
        <f>Income!C85</f>
        <v>18197.817647058822</v>
      </c>
      <c r="D36" s="205">
        <f>Income!D85</f>
        <v>8854.44</v>
      </c>
      <c r="E36" s="205">
        <f>Income!E85</f>
        <v>8854.44</v>
      </c>
      <c r="F36" s="212">
        <f t="shared" si="16"/>
        <v>18197.817647058822</v>
      </c>
      <c r="G36" s="212">
        <f t="shared" si="16"/>
        <v>18197.817647058822</v>
      </c>
      <c r="H36" s="212">
        <f t="shared" si="16"/>
        <v>18197.817647058822</v>
      </c>
      <c r="I36" s="212">
        <f t="shared" si="16"/>
        <v>18197.817647058822</v>
      </c>
      <c r="J36" s="212">
        <f t="shared" si="16"/>
        <v>18197.817647058822</v>
      </c>
      <c r="K36" s="212">
        <f t="shared" si="16"/>
        <v>18197.817647058822</v>
      </c>
      <c r="L36" s="212">
        <f t="shared" si="16"/>
        <v>18197.817647058822</v>
      </c>
      <c r="M36" s="212">
        <f t="shared" si="16"/>
        <v>18197.817647058822</v>
      </c>
      <c r="N36" s="212">
        <f t="shared" si="16"/>
        <v>18197.817647058822</v>
      </c>
      <c r="O36" s="212">
        <f t="shared" si="16"/>
        <v>18197.817647058822</v>
      </c>
      <c r="P36" s="212">
        <f t="shared" si="16"/>
        <v>18197.817647058822</v>
      </c>
      <c r="Q36" s="212">
        <f t="shared" si="16"/>
        <v>18197.817647058822</v>
      </c>
      <c r="R36" s="212">
        <f t="shared" si="16"/>
        <v>18197.817647058822</v>
      </c>
      <c r="S36" s="212">
        <f t="shared" si="16"/>
        <v>18197.817647058822</v>
      </c>
      <c r="T36" s="212">
        <f t="shared" si="16"/>
        <v>18197.817647058822</v>
      </c>
      <c r="U36" s="212">
        <f t="shared" si="16"/>
        <v>18197.817647058822</v>
      </c>
      <c r="V36" s="212">
        <f t="shared" si="17"/>
        <v>18197.817647058822</v>
      </c>
      <c r="W36" s="212">
        <f t="shared" si="17"/>
        <v>18197.817647058822</v>
      </c>
      <c r="X36" s="212">
        <f t="shared" si="17"/>
        <v>18197.817647058822</v>
      </c>
      <c r="Y36" s="212">
        <f t="shared" si="17"/>
        <v>18197.817647058822</v>
      </c>
      <c r="Z36" s="212">
        <f t="shared" si="17"/>
        <v>18197.817647058822</v>
      </c>
      <c r="AA36" s="212">
        <f t="shared" si="17"/>
        <v>18197.817647058822</v>
      </c>
      <c r="AB36" s="212">
        <f t="shared" si="17"/>
        <v>18197.817647058822</v>
      </c>
      <c r="AC36" s="212">
        <f t="shared" si="17"/>
        <v>18197.817647058822</v>
      </c>
      <c r="AD36" s="212">
        <f t="shared" si="17"/>
        <v>18197.817647058822</v>
      </c>
      <c r="AE36" s="212">
        <f t="shared" si="17"/>
        <v>18197.817647058822</v>
      </c>
      <c r="AF36" s="212">
        <f t="shared" si="18"/>
        <v>18197.817647058822</v>
      </c>
      <c r="AG36" s="212">
        <f t="shared" si="18"/>
        <v>18197.817647058822</v>
      </c>
      <c r="AH36" s="212">
        <f t="shared" si="18"/>
        <v>18197.817647058822</v>
      </c>
      <c r="AI36" s="212">
        <f t="shared" si="18"/>
        <v>18197.817647058822</v>
      </c>
      <c r="AJ36" s="212">
        <f t="shared" si="18"/>
        <v>18197.817647058822</v>
      </c>
      <c r="AK36" s="212">
        <f t="shared" si="18"/>
        <v>18197.817647058822</v>
      </c>
      <c r="AL36" s="212">
        <f t="shared" si="18"/>
        <v>18197.817647058822</v>
      </c>
      <c r="AM36" s="212">
        <f t="shared" si="18"/>
        <v>18197.817647058822</v>
      </c>
      <c r="AN36" s="212">
        <f t="shared" si="18"/>
        <v>18197.817647058822</v>
      </c>
      <c r="AO36" s="212">
        <f t="shared" si="18"/>
        <v>18197.817647058822</v>
      </c>
      <c r="AP36" s="212">
        <f t="shared" si="19"/>
        <v>18197.817647058822</v>
      </c>
      <c r="AQ36" s="212">
        <f t="shared" si="19"/>
        <v>18197.817647058822</v>
      </c>
      <c r="AR36" s="212">
        <f t="shared" si="19"/>
        <v>18197.817647058822</v>
      </c>
      <c r="AS36" s="212">
        <f t="shared" si="19"/>
        <v>18197.817647058822</v>
      </c>
      <c r="AT36" s="212">
        <f t="shared" si="19"/>
        <v>18197.817647058822</v>
      </c>
      <c r="AU36" s="212">
        <f t="shared" si="19"/>
        <v>18197.817647058822</v>
      </c>
      <c r="AV36" s="212">
        <f t="shared" si="19"/>
        <v>18197.817647058822</v>
      </c>
      <c r="AW36" s="212">
        <f t="shared" si="19"/>
        <v>18197.817647058822</v>
      </c>
      <c r="AX36" s="212">
        <f t="shared" si="19"/>
        <v>18197.817647058822</v>
      </c>
      <c r="AY36" s="212">
        <f t="shared" si="19"/>
        <v>18197.817647058822</v>
      </c>
      <c r="AZ36" s="212">
        <f t="shared" si="20"/>
        <v>18197.817647058822</v>
      </c>
      <c r="BA36" s="212">
        <f t="shared" si="20"/>
        <v>18056.251319073082</v>
      </c>
      <c r="BB36" s="212">
        <f t="shared" si="20"/>
        <v>17773.118663101603</v>
      </c>
      <c r="BC36" s="212">
        <f t="shared" si="20"/>
        <v>17489.986007130123</v>
      </c>
      <c r="BD36" s="212">
        <f t="shared" si="20"/>
        <v>17206.853351158643</v>
      </c>
      <c r="BE36" s="212">
        <f t="shared" si="20"/>
        <v>16923.720695187163</v>
      </c>
      <c r="BF36" s="212">
        <f t="shared" si="20"/>
        <v>16640.588039215687</v>
      </c>
      <c r="BG36" s="212">
        <f t="shared" si="20"/>
        <v>16357.455383244205</v>
      </c>
      <c r="BH36" s="212">
        <f t="shared" si="20"/>
        <v>16074.322727272727</v>
      </c>
      <c r="BI36" s="212">
        <f t="shared" si="20"/>
        <v>15791.190071301247</v>
      </c>
      <c r="BJ36" s="212">
        <f t="shared" si="21"/>
        <v>15508.057415329768</v>
      </c>
      <c r="BK36" s="212">
        <f t="shared" si="21"/>
        <v>15224.924759358288</v>
      </c>
      <c r="BL36" s="212">
        <f t="shared" si="21"/>
        <v>14941.792103386808</v>
      </c>
      <c r="BM36" s="212">
        <f t="shared" si="21"/>
        <v>14658.65944741533</v>
      </c>
      <c r="BN36" s="212">
        <f t="shared" si="21"/>
        <v>14375.52679144385</v>
      </c>
      <c r="BO36" s="212">
        <f t="shared" si="21"/>
        <v>14092.39413547237</v>
      </c>
      <c r="BP36" s="212">
        <f t="shared" si="21"/>
        <v>13809.26147950089</v>
      </c>
      <c r="BQ36" s="212">
        <f t="shared" si="21"/>
        <v>13526.128823529412</v>
      </c>
      <c r="BR36" s="212">
        <f t="shared" si="21"/>
        <v>13242.996167557932</v>
      </c>
      <c r="BS36" s="212">
        <f t="shared" si="21"/>
        <v>12959.863511586453</v>
      </c>
      <c r="BT36" s="212">
        <f t="shared" si="22"/>
        <v>12676.730855614973</v>
      </c>
      <c r="BU36" s="212">
        <f t="shared" si="22"/>
        <v>12393.598199643493</v>
      </c>
      <c r="BV36" s="212">
        <f t="shared" si="22"/>
        <v>12110.465543672013</v>
      </c>
      <c r="BW36" s="212">
        <f t="shared" si="22"/>
        <v>11827.332887700533</v>
      </c>
      <c r="BX36" s="212">
        <f t="shared" si="22"/>
        <v>11544.200231729055</v>
      </c>
      <c r="BY36" s="212">
        <f t="shared" si="22"/>
        <v>11261.067575757575</v>
      </c>
      <c r="BZ36" s="212">
        <f t="shared" si="22"/>
        <v>10977.934919786097</v>
      </c>
      <c r="CA36" s="212">
        <f t="shared" si="22"/>
        <v>10694.802263814618</v>
      </c>
      <c r="CB36" s="212">
        <f t="shared" si="22"/>
        <v>10411.669607843138</v>
      </c>
      <c r="CC36" s="212">
        <f t="shared" si="22"/>
        <v>10128.536951871658</v>
      </c>
      <c r="CD36" s="212">
        <f t="shared" si="23"/>
        <v>9845.4042959001799</v>
      </c>
      <c r="CE36" s="212">
        <f t="shared" si="23"/>
        <v>9562.2716399286983</v>
      </c>
      <c r="CF36" s="212">
        <f t="shared" si="23"/>
        <v>9279.1389839572203</v>
      </c>
      <c r="CG36" s="212">
        <f t="shared" si="23"/>
        <v>8996.0063279857404</v>
      </c>
      <c r="CH36" s="212">
        <f t="shared" si="23"/>
        <v>8854.44</v>
      </c>
      <c r="CI36" s="212">
        <f t="shared" si="23"/>
        <v>8854.44</v>
      </c>
      <c r="CJ36" s="212">
        <f t="shared" si="23"/>
        <v>8854.44</v>
      </c>
      <c r="CK36" s="212">
        <f t="shared" si="23"/>
        <v>8854.44</v>
      </c>
      <c r="CL36" s="212">
        <f t="shared" si="23"/>
        <v>8854.44</v>
      </c>
      <c r="CM36" s="212">
        <f t="shared" si="23"/>
        <v>8854.44</v>
      </c>
      <c r="CN36" s="212">
        <f t="shared" si="24"/>
        <v>8854.44</v>
      </c>
      <c r="CO36" s="212">
        <f t="shared" si="24"/>
        <v>8854.44</v>
      </c>
      <c r="CP36" s="212">
        <f t="shared" si="24"/>
        <v>8854.44</v>
      </c>
      <c r="CQ36" s="212">
        <f t="shared" si="24"/>
        <v>8854.44</v>
      </c>
      <c r="CR36" s="212">
        <f t="shared" si="24"/>
        <v>8854.44</v>
      </c>
      <c r="CS36" s="212">
        <f t="shared" si="24"/>
        <v>8854.44</v>
      </c>
      <c r="CT36" s="212">
        <f t="shared" si="24"/>
        <v>8854.44</v>
      </c>
      <c r="CU36" s="212">
        <f t="shared" si="24"/>
        <v>8854.44</v>
      </c>
      <c r="CV36" s="212">
        <f t="shared" si="24"/>
        <v>8854.44</v>
      </c>
      <c r="CW36" s="212">
        <f t="shared" si="24"/>
        <v>8854.44</v>
      </c>
      <c r="CX36" s="212">
        <f t="shared" si="25"/>
        <v>8854.44</v>
      </c>
      <c r="CY36" s="212">
        <f t="shared" si="25"/>
        <v>8854.44</v>
      </c>
      <c r="CZ36" s="212">
        <f t="shared" si="25"/>
        <v>8854.44</v>
      </c>
      <c r="DA36" s="212">
        <f t="shared" si="25"/>
        <v>8854.44</v>
      </c>
    </row>
    <row r="37" spans="1:105">
      <c r="A37" s="203" t="str">
        <f>Income!A86</f>
        <v>Cash transfer - gifts</v>
      </c>
      <c r="B37" s="205">
        <f>Income!B86</f>
        <v>0</v>
      </c>
      <c r="C37" s="205">
        <f>Income!C86</f>
        <v>1679.9999999999998</v>
      </c>
      <c r="D37" s="205">
        <f>Income!D86</f>
        <v>0</v>
      </c>
      <c r="E37" s="205">
        <f>Income!E86</f>
        <v>0</v>
      </c>
      <c r="F37" s="212">
        <f t="shared" si="16"/>
        <v>0</v>
      </c>
      <c r="G37" s="212">
        <f t="shared" si="16"/>
        <v>0</v>
      </c>
      <c r="H37" s="212">
        <f t="shared" si="16"/>
        <v>0</v>
      </c>
      <c r="I37" s="212">
        <f t="shared" si="16"/>
        <v>0</v>
      </c>
      <c r="J37" s="212">
        <f t="shared" si="16"/>
        <v>0</v>
      </c>
      <c r="K37" s="212">
        <f t="shared" si="16"/>
        <v>0</v>
      </c>
      <c r="L37" s="212">
        <f t="shared" si="16"/>
        <v>0</v>
      </c>
      <c r="M37" s="212">
        <f t="shared" si="16"/>
        <v>0</v>
      </c>
      <c r="N37" s="212">
        <f t="shared" si="16"/>
        <v>0</v>
      </c>
      <c r="O37" s="212">
        <f t="shared" si="16"/>
        <v>0</v>
      </c>
      <c r="P37" s="212">
        <f t="shared" si="17"/>
        <v>0</v>
      </c>
      <c r="Q37" s="212">
        <f t="shared" si="17"/>
        <v>0</v>
      </c>
      <c r="R37" s="212">
        <f t="shared" si="17"/>
        <v>0</v>
      </c>
      <c r="S37" s="212">
        <f t="shared" si="17"/>
        <v>24.705882352941174</v>
      </c>
      <c r="T37" s="212">
        <f t="shared" si="17"/>
        <v>74.117647058823522</v>
      </c>
      <c r="U37" s="212">
        <f t="shared" si="17"/>
        <v>123.52941176470586</v>
      </c>
      <c r="V37" s="212">
        <f t="shared" si="17"/>
        <v>172.9411764705882</v>
      </c>
      <c r="W37" s="212">
        <f t="shared" si="17"/>
        <v>222.35294117647055</v>
      </c>
      <c r="X37" s="212">
        <f t="shared" si="17"/>
        <v>271.76470588235287</v>
      </c>
      <c r="Y37" s="212">
        <f t="shared" si="17"/>
        <v>321.17647058823525</v>
      </c>
      <c r="Z37" s="212">
        <f t="shared" si="18"/>
        <v>370.58823529411757</v>
      </c>
      <c r="AA37" s="212">
        <f t="shared" si="18"/>
        <v>419.99999999999994</v>
      </c>
      <c r="AB37" s="212">
        <f t="shared" si="18"/>
        <v>469.41176470588232</v>
      </c>
      <c r="AC37" s="212">
        <f t="shared" si="18"/>
        <v>518.82352941176464</v>
      </c>
      <c r="AD37" s="212">
        <f t="shared" si="18"/>
        <v>568.23529411764696</v>
      </c>
      <c r="AE37" s="212">
        <f t="shared" si="18"/>
        <v>617.64705882352928</v>
      </c>
      <c r="AF37" s="212">
        <f t="shared" si="18"/>
        <v>667.05882352941171</v>
      </c>
      <c r="AG37" s="212">
        <f t="shared" si="18"/>
        <v>716.47058823529403</v>
      </c>
      <c r="AH37" s="212">
        <f t="shared" si="18"/>
        <v>765.88235294117635</v>
      </c>
      <c r="AI37" s="212">
        <f t="shared" si="18"/>
        <v>815.29411764705867</v>
      </c>
      <c r="AJ37" s="212">
        <f t="shared" si="19"/>
        <v>864.7058823529411</v>
      </c>
      <c r="AK37" s="212">
        <f t="shared" si="19"/>
        <v>914.11764705882342</v>
      </c>
      <c r="AL37" s="212">
        <f t="shared" si="19"/>
        <v>963.52941176470574</v>
      </c>
      <c r="AM37" s="212">
        <f t="shared" si="19"/>
        <v>1012.9411764705881</v>
      </c>
      <c r="AN37" s="212">
        <f t="shared" si="19"/>
        <v>1062.3529411764703</v>
      </c>
      <c r="AO37" s="212">
        <f t="shared" si="19"/>
        <v>1111.7647058823527</v>
      </c>
      <c r="AP37" s="212">
        <f t="shared" si="19"/>
        <v>1161.1764705882351</v>
      </c>
      <c r="AQ37" s="212">
        <f t="shared" si="19"/>
        <v>1210.5882352941173</v>
      </c>
      <c r="AR37" s="212">
        <f t="shared" si="19"/>
        <v>1259.9999999999998</v>
      </c>
      <c r="AS37" s="212">
        <f t="shared" si="19"/>
        <v>1309.4117647058822</v>
      </c>
      <c r="AT37" s="212">
        <f t="shared" si="20"/>
        <v>1358.8235294117644</v>
      </c>
      <c r="AU37" s="212">
        <f t="shared" si="20"/>
        <v>1408.2352941176468</v>
      </c>
      <c r="AV37" s="212">
        <f t="shared" si="20"/>
        <v>1457.6470588235293</v>
      </c>
      <c r="AW37" s="212">
        <f t="shared" si="20"/>
        <v>1507.0588235294115</v>
      </c>
      <c r="AX37" s="212">
        <f t="shared" si="20"/>
        <v>1556.4705882352939</v>
      </c>
      <c r="AY37" s="212">
        <f t="shared" si="20"/>
        <v>1605.8823529411764</v>
      </c>
      <c r="AZ37" s="212">
        <f t="shared" si="20"/>
        <v>1655.2941176470586</v>
      </c>
      <c r="BA37" s="212">
        <f t="shared" si="20"/>
        <v>1654.5454545454543</v>
      </c>
      <c r="BB37" s="212">
        <f t="shared" si="20"/>
        <v>1603.6363636363635</v>
      </c>
      <c r="BC37" s="212">
        <f t="shared" si="20"/>
        <v>1552.7272727272725</v>
      </c>
      <c r="BD37" s="212">
        <f t="shared" si="21"/>
        <v>1501.8181818181815</v>
      </c>
      <c r="BE37" s="212">
        <f t="shared" si="21"/>
        <v>1450.9090909090908</v>
      </c>
      <c r="BF37" s="212">
        <f t="shared" si="21"/>
        <v>1399.9999999999998</v>
      </c>
      <c r="BG37" s="212">
        <f t="shared" si="21"/>
        <v>1349.090909090909</v>
      </c>
      <c r="BH37" s="212">
        <f t="shared" si="21"/>
        <v>1298.181818181818</v>
      </c>
      <c r="BI37" s="212">
        <f t="shared" si="21"/>
        <v>1247.272727272727</v>
      </c>
      <c r="BJ37" s="212">
        <f t="shared" si="21"/>
        <v>1196.3636363636363</v>
      </c>
      <c r="BK37" s="212">
        <f t="shared" si="21"/>
        <v>1145.4545454545455</v>
      </c>
      <c r="BL37" s="212">
        <f t="shared" si="21"/>
        <v>1094.5454545454545</v>
      </c>
      <c r="BM37" s="212">
        <f t="shared" si="21"/>
        <v>1043.6363636363635</v>
      </c>
      <c r="BN37" s="212">
        <f t="shared" si="22"/>
        <v>992.72727272727263</v>
      </c>
      <c r="BO37" s="212">
        <f t="shared" si="22"/>
        <v>941.81818181818176</v>
      </c>
      <c r="BP37" s="212">
        <f t="shared" si="22"/>
        <v>890.90909090909076</v>
      </c>
      <c r="BQ37" s="212">
        <f t="shared" si="22"/>
        <v>839.99999999999989</v>
      </c>
      <c r="BR37" s="212">
        <f t="shared" si="22"/>
        <v>789.09090909090901</v>
      </c>
      <c r="BS37" s="212">
        <f t="shared" si="22"/>
        <v>738.18181818181802</v>
      </c>
      <c r="BT37" s="212">
        <f t="shared" si="22"/>
        <v>687.27272727272714</v>
      </c>
      <c r="BU37" s="212">
        <f t="shared" si="22"/>
        <v>636.36363636363626</v>
      </c>
      <c r="BV37" s="212">
        <f t="shared" si="22"/>
        <v>585.4545454545455</v>
      </c>
      <c r="BW37" s="212">
        <f t="shared" si="22"/>
        <v>534.5454545454545</v>
      </c>
      <c r="BX37" s="212">
        <f t="shared" si="23"/>
        <v>483.63636363636374</v>
      </c>
      <c r="BY37" s="212">
        <f t="shared" si="23"/>
        <v>432.72727272727275</v>
      </c>
      <c r="BZ37" s="212">
        <f t="shared" si="23"/>
        <v>381.81818181818176</v>
      </c>
      <c r="CA37" s="212">
        <f t="shared" si="23"/>
        <v>330.90909090909099</v>
      </c>
      <c r="CB37" s="212">
        <f t="shared" si="23"/>
        <v>280</v>
      </c>
      <c r="CC37" s="212">
        <f t="shared" si="23"/>
        <v>229.09090909090901</v>
      </c>
      <c r="CD37" s="212">
        <f t="shared" si="23"/>
        <v>178.18181818181824</v>
      </c>
      <c r="CE37" s="212">
        <f t="shared" si="23"/>
        <v>127.27272727272725</v>
      </c>
      <c r="CF37" s="212">
        <f t="shared" si="23"/>
        <v>76.36363636363626</v>
      </c>
      <c r="CG37" s="212">
        <f t="shared" si="23"/>
        <v>25.454545454545496</v>
      </c>
      <c r="CH37" s="212">
        <f t="shared" si="24"/>
        <v>0</v>
      </c>
      <c r="CI37" s="212">
        <f t="shared" si="24"/>
        <v>0</v>
      </c>
      <c r="CJ37" s="212">
        <f t="shared" si="24"/>
        <v>0</v>
      </c>
      <c r="CK37" s="212">
        <f t="shared" si="24"/>
        <v>0</v>
      </c>
      <c r="CL37" s="212">
        <f t="shared" si="24"/>
        <v>0</v>
      </c>
      <c r="CM37" s="212">
        <f t="shared" si="24"/>
        <v>0</v>
      </c>
      <c r="CN37" s="212">
        <f t="shared" si="24"/>
        <v>0</v>
      </c>
      <c r="CO37" s="212">
        <f t="shared" si="24"/>
        <v>0</v>
      </c>
      <c r="CP37" s="212">
        <f t="shared" si="24"/>
        <v>0</v>
      </c>
      <c r="CQ37" s="212">
        <f t="shared" si="24"/>
        <v>0</v>
      </c>
      <c r="CR37" s="212">
        <f t="shared" si="25"/>
        <v>0</v>
      </c>
      <c r="CS37" s="212">
        <f t="shared" si="25"/>
        <v>0</v>
      </c>
      <c r="CT37" s="212">
        <f t="shared" si="25"/>
        <v>0</v>
      </c>
      <c r="CU37" s="212">
        <f t="shared" si="25"/>
        <v>0</v>
      </c>
      <c r="CV37" s="212">
        <f t="shared" si="25"/>
        <v>0</v>
      </c>
      <c r="CW37" s="212">
        <f t="shared" si="25"/>
        <v>0</v>
      </c>
      <c r="CX37" s="212">
        <f t="shared" si="25"/>
        <v>0</v>
      </c>
      <c r="CY37" s="212">
        <f t="shared" si="25"/>
        <v>0</v>
      </c>
      <c r="CZ37" s="212">
        <f t="shared" si="25"/>
        <v>0</v>
      </c>
      <c r="DA37" s="212">
        <f t="shared" si="25"/>
        <v>0</v>
      </c>
    </row>
    <row r="38" spans="1:105">
      <c r="A38" s="203" t="str">
        <f>Income!A88</f>
        <v>TOTAL</v>
      </c>
      <c r="B38" s="205">
        <f>Income!B88</f>
        <v>30626.512227436931</v>
      </c>
      <c r="C38" s="205">
        <f>Income!C88</f>
        <v>65553.875879894767</v>
      </c>
      <c r="D38" s="205">
        <f>Income!D88</f>
        <v>238988.67693214817</v>
      </c>
      <c r="E38" s="205">
        <f>Income!E88</f>
        <v>369878.50552939071</v>
      </c>
      <c r="F38" s="206">
        <f t="shared" ref="F38:AK38" si="26">SUM(F25:F37)</f>
        <v>30454.987071025858</v>
      </c>
      <c r="G38" s="206">
        <f t="shared" si="26"/>
        <v>30454.987071025858</v>
      </c>
      <c r="H38" s="206">
        <f t="shared" si="26"/>
        <v>30454.987071025858</v>
      </c>
      <c r="I38" s="206">
        <f t="shared" si="26"/>
        <v>30454.987071025858</v>
      </c>
      <c r="J38" s="206">
        <f t="shared" si="26"/>
        <v>30454.987071025858</v>
      </c>
      <c r="K38" s="206">
        <f t="shared" si="26"/>
        <v>30454.987071025858</v>
      </c>
      <c r="L38" s="206">
        <f t="shared" si="26"/>
        <v>30454.987071025858</v>
      </c>
      <c r="M38" s="206">
        <f t="shared" si="26"/>
        <v>30454.987071025858</v>
      </c>
      <c r="N38" s="206">
        <f t="shared" si="26"/>
        <v>30454.987071025858</v>
      </c>
      <c r="O38" s="206">
        <f t="shared" si="26"/>
        <v>30454.987071025858</v>
      </c>
      <c r="P38" s="206">
        <f t="shared" si="26"/>
        <v>30454.987071025858</v>
      </c>
      <c r="Q38" s="206">
        <f t="shared" si="26"/>
        <v>30454.987071025858</v>
      </c>
      <c r="R38" s="206">
        <f t="shared" si="26"/>
        <v>30454.987071025858</v>
      </c>
      <c r="S38" s="206">
        <f t="shared" si="26"/>
        <v>30960.918979357844</v>
      </c>
      <c r="T38" s="206">
        <f t="shared" si="26"/>
        <v>31972.782796021813</v>
      </c>
      <c r="U38" s="206">
        <f t="shared" si="26"/>
        <v>32984.646612685785</v>
      </c>
      <c r="V38" s="206">
        <f t="shared" si="26"/>
        <v>33996.510429349757</v>
      </c>
      <c r="W38" s="206">
        <f t="shared" si="26"/>
        <v>35008.374246013722</v>
      </c>
      <c r="X38" s="206">
        <f t="shared" si="26"/>
        <v>36020.238062677694</v>
      </c>
      <c r="Y38" s="206">
        <f t="shared" si="26"/>
        <v>37032.101879341666</v>
      </c>
      <c r="Z38" s="206">
        <f t="shared" si="26"/>
        <v>38043.965696005638</v>
      </c>
      <c r="AA38" s="206">
        <f t="shared" si="26"/>
        <v>39055.829512669603</v>
      </c>
      <c r="AB38" s="206">
        <f t="shared" si="26"/>
        <v>40067.693329333568</v>
      </c>
      <c r="AC38" s="206">
        <f t="shared" si="26"/>
        <v>41079.55714599754</v>
      </c>
      <c r="AD38" s="206">
        <f t="shared" si="26"/>
        <v>42091.420962661519</v>
      </c>
      <c r="AE38" s="206">
        <f t="shared" si="26"/>
        <v>43103.284779325484</v>
      </c>
      <c r="AF38" s="206">
        <f t="shared" si="26"/>
        <v>44115.148595989449</v>
      </c>
      <c r="AG38" s="206">
        <f t="shared" si="26"/>
        <v>45127.012412653428</v>
      </c>
      <c r="AH38" s="206">
        <f t="shared" si="26"/>
        <v>46138.876229317393</v>
      </c>
      <c r="AI38" s="206">
        <f t="shared" si="26"/>
        <v>47150.740045981358</v>
      </c>
      <c r="AJ38" s="206">
        <f t="shared" si="26"/>
        <v>48162.603862645345</v>
      </c>
      <c r="AK38" s="206">
        <f t="shared" si="26"/>
        <v>49174.467679309309</v>
      </c>
      <c r="AL38" s="206">
        <f t="shared" ref="AL38:BQ38" si="27">SUM(AL25:AL37)</f>
        <v>50186.331495973274</v>
      </c>
      <c r="AM38" s="206">
        <f t="shared" si="27"/>
        <v>51198.195312637239</v>
      </c>
      <c r="AN38" s="206">
        <f t="shared" si="27"/>
        <v>52210.059129301211</v>
      </c>
      <c r="AO38" s="206">
        <f t="shared" si="27"/>
        <v>53221.922945965183</v>
      </c>
      <c r="AP38" s="206">
        <f t="shared" si="27"/>
        <v>54233.786762629163</v>
      </c>
      <c r="AQ38" s="206">
        <f t="shared" si="27"/>
        <v>55245.650579293128</v>
      </c>
      <c r="AR38" s="206">
        <f t="shared" si="27"/>
        <v>56257.514395957092</v>
      </c>
      <c r="AS38" s="206">
        <f t="shared" si="27"/>
        <v>57269.378212621057</v>
      </c>
      <c r="AT38" s="206">
        <f t="shared" si="27"/>
        <v>58281.242029285022</v>
      </c>
      <c r="AU38" s="206">
        <f t="shared" si="27"/>
        <v>59293.105845949001</v>
      </c>
      <c r="AV38" s="206">
        <f t="shared" si="27"/>
        <v>60304.969662612973</v>
      </c>
      <c r="AW38" s="206">
        <f t="shared" si="27"/>
        <v>61316.833479276946</v>
      </c>
      <c r="AX38" s="206">
        <f t="shared" si="27"/>
        <v>62328.697295940918</v>
      </c>
      <c r="AY38" s="206">
        <f t="shared" si="27"/>
        <v>63340.561112604883</v>
      </c>
      <c r="AZ38" s="206">
        <f t="shared" si="27"/>
        <v>64352.424929268855</v>
      </c>
      <c r="BA38" s="206">
        <f t="shared" si="27"/>
        <v>67496.695020851548</v>
      </c>
      <c r="BB38" s="206">
        <f t="shared" si="27"/>
        <v>72773.371387353007</v>
      </c>
      <c r="BC38" s="206">
        <f t="shared" si="27"/>
        <v>78050.047753854436</v>
      </c>
      <c r="BD38" s="206">
        <f t="shared" si="27"/>
        <v>83326.724120355851</v>
      </c>
      <c r="BE38" s="206">
        <f t="shared" si="27"/>
        <v>88603.400486857296</v>
      </c>
      <c r="BF38" s="206">
        <f t="shared" si="27"/>
        <v>93880.076853358725</v>
      </c>
      <c r="BG38" s="206">
        <f t="shared" si="27"/>
        <v>99156.753219860155</v>
      </c>
      <c r="BH38" s="206">
        <f t="shared" si="27"/>
        <v>104433.4295863616</v>
      </c>
      <c r="BI38" s="206">
        <f t="shared" si="27"/>
        <v>109710.10595286303</v>
      </c>
      <c r="BJ38" s="206">
        <f t="shared" si="27"/>
        <v>114986.78231936444</v>
      </c>
      <c r="BK38" s="206">
        <f t="shared" si="27"/>
        <v>120263.45868586589</v>
      </c>
      <c r="BL38" s="206">
        <f t="shared" si="27"/>
        <v>125540.13505236733</v>
      </c>
      <c r="BM38" s="206">
        <f t="shared" si="27"/>
        <v>130816.81141886876</v>
      </c>
      <c r="BN38" s="206">
        <f t="shared" si="27"/>
        <v>136093.48778537018</v>
      </c>
      <c r="BO38" s="206">
        <f t="shared" si="27"/>
        <v>141370.16415187164</v>
      </c>
      <c r="BP38" s="206">
        <f t="shared" si="27"/>
        <v>146646.84051837306</v>
      </c>
      <c r="BQ38" s="206">
        <f t="shared" si="27"/>
        <v>151923.51688487449</v>
      </c>
      <c r="BR38" s="206">
        <f t="shared" ref="BR38:CW38" si="28">SUM(BR25:BR37)</f>
        <v>157200.19325137595</v>
      </c>
      <c r="BS38" s="206">
        <f t="shared" si="28"/>
        <v>162476.86961787738</v>
      </c>
      <c r="BT38" s="206">
        <f t="shared" si="28"/>
        <v>167753.54598437881</v>
      </c>
      <c r="BU38" s="206">
        <f t="shared" si="28"/>
        <v>173030.22235088021</v>
      </c>
      <c r="BV38" s="206">
        <f t="shared" si="28"/>
        <v>178306.89871738167</v>
      </c>
      <c r="BW38" s="206">
        <f t="shared" si="28"/>
        <v>183583.5750838831</v>
      </c>
      <c r="BX38" s="206">
        <f t="shared" si="28"/>
        <v>188860.25145038453</v>
      </c>
      <c r="BY38" s="206">
        <f t="shared" si="28"/>
        <v>194136.92781688596</v>
      </c>
      <c r="BZ38" s="206">
        <f t="shared" si="28"/>
        <v>199413.60418338739</v>
      </c>
      <c r="CA38" s="206">
        <f t="shared" si="28"/>
        <v>204690.28054988882</v>
      </c>
      <c r="CB38" s="206">
        <f t="shared" si="28"/>
        <v>209966.95691639025</v>
      </c>
      <c r="CC38" s="206">
        <f t="shared" si="28"/>
        <v>215243.63328289171</v>
      </c>
      <c r="CD38" s="206">
        <f t="shared" si="28"/>
        <v>220520.30964939311</v>
      </c>
      <c r="CE38" s="206">
        <f t="shared" si="28"/>
        <v>225796.98601589457</v>
      </c>
      <c r="CF38" s="206">
        <f t="shared" si="28"/>
        <v>231073.662382396</v>
      </c>
      <c r="CG38" s="206">
        <f t="shared" si="28"/>
        <v>236350.33874889743</v>
      </c>
      <c r="CH38" s="206">
        <f t="shared" si="28"/>
        <v>243078.98407581198</v>
      </c>
      <c r="CI38" s="206">
        <f t="shared" si="28"/>
        <v>251259.59836313964</v>
      </c>
      <c r="CJ38" s="206">
        <f t="shared" si="28"/>
        <v>259440.21265046729</v>
      </c>
      <c r="CK38" s="206">
        <f t="shared" si="28"/>
        <v>267620.82693779498</v>
      </c>
      <c r="CL38" s="206">
        <f t="shared" si="28"/>
        <v>275801.44122512266</v>
      </c>
      <c r="CM38" s="206">
        <f t="shared" si="28"/>
        <v>283982.05551245034</v>
      </c>
      <c r="CN38" s="206">
        <f t="shared" si="28"/>
        <v>292162.66979977797</v>
      </c>
      <c r="CO38" s="206">
        <f t="shared" si="28"/>
        <v>300343.2840871056</v>
      </c>
      <c r="CP38" s="206">
        <f t="shared" si="28"/>
        <v>308523.89837443328</v>
      </c>
      <c r="CQ38" s="206">
        <f t="shared" si="28"/>
        <v>316704.51266176091</v>
      </c>
      <c r="CR38" s="206">
        <f t="shared" si="28"/>
        <v>324885.12694908853</v>
      </c>
      <c r="CS38" s="206">
        <f t="shared" si="28"/>
        <v>333065.74123641627</v>
      </c>
      <c r="CT38" s="206">
        <f t="shared" si="28"/>
        <v>341246.3555237439</v>
      </c>
      <c r="CU38" s="206">
        <f t="shared" si="28"/>
        <v>349426.96981107153</v>
      </c>
      <c r="CV38" s="206">
        <f t="shared" si="28"/>
        <v>357607.58409839921</v>
      </c>
      <c r="CW38" s="206">
        <f t="shared" si="28"/>
        <v>365788.19838572684</v>
      </c>
      <c r="CX38" s="206">
        <f>SUM(CX25:CX37)</f>
        <v>369878.50552939071</v>
      </c>
      <c r="CY38" s="206">
        <f>SUM(CY25:CY37)</f>
        <v>369878.50552939071</v>
      </c>
      <c r="CZ38" s="206">
        <f>SUM(CZ25:CZ37)</f>
        <v>369878.50552939071</v>
      </c>
      <c r="DA38" s="206">
        <f>SUM(DA25:DA37)</f>
        <v>369878.50552939071</v>
      </c>
    </row>
    <row r="39" spans="1:105">
      <c r="A39" s="203" t="str">
        <f>Income!A89</f>
        <v>Food Poverty line</v>
      </c>
      <c r="B39" s="205">
        <f>Income!B89</f>
        <v>21925.553364673353</v>
      </c>
      <c r="C39" s="205">
        <f>Income!C89</f>
        <v>21925.553364673353</v>
      </c>
      <c r="D39" s="205">
        <f>Income!D89</f>
        <v>21925.553364673349</v>
      </c>
      <c r="E39" s="205">
        <f>Income!E89</f>
        <v>21925.553364673349</v>
      </c>
      <c r="F39" s="206">
        <f t="shared" ref="F39:U39" si="29">IF(F$2&lt;=($B$2+$C$2+$D$2),IF(F$2&lt;=($B$2+$C$2),IF(F$2&lt;=$B$2,$B39,$C39),$D39),$E39)</f>
        <v>21925.553364673353</v>
      </c>
      <c r="G39" s="206">
        <f t="shared" si="29"/>
        <v>21925.553364673353</v>
      </c>
      <c r="H39" s="206">
        <f t="shared" si="29"/>
        <v>21925.553364673353</v>
      </c>
      <c r="I39" s="206">
        <f t="shared" si="29"/>
        <v>21925.553364673353</v>
      </c>
      <c r="J39" s="206">
        <f t="shared" si="29"/>
        <v>21925.553364673353</v>
      </c>
      <c r="K39" s="206">
        <f t="shared" si="29"/>
        <v>21925.553364673353</v>
      </c>
      <c r="L39" s="206">
        <f t="shared" si="29"/>
        <v>21925.553364673353</v>
      </c>
      <c r="M39" s="206">
        <f t="shared" si="29"/>
        <v>21925.553364673353</v>
      </c>
      <c r="N39" s="206">
        <f t="shared" si="29"/>
        <v>21925.553364673353</v>
      </c>
      <c r="O39" s="206">
        <f t="shared" si="29"/>
        <v>21925.553364673353</v>
      </c>
      <c r="P39" s="206">
        <f t="shared" si="29"/>
        <v>21925.553364673353</v>
      </c>
      <c r="Q39" s="206">
        <f t="shared" si="29"/>
        <v>21925.553364673353</v>
      </c>
      <c r="R39" s="206">
        <f t="shared" si="29"/>
        <v>21925.553364673353</v>
      </c>
      <c r="S39" s="206">
        <f t="shared" si="29"/>
        <v>21925.553364673353</v>
      </c>
      <c r="T39" s="206">
        <f t="shared" si="29"/>
        <v>21925.553364673353</v>
      </c>
      <c r="U39" s="206">
        <f t="shared" si="29"/>
        <v>21925.553364673353</v>
      </c>
      <c r="V39" s="206">
        <f t="shared" ref="V39:AK40" si="30">IF(V$2&lt;=($B$2+$C$2+$D$2),IF(V$2&lt;=($B$2+$C$2),IF(V$2&lt;=$B$2,$B39,$C39),$D39),$E39)</f>
        <v>21925.553364673353</v>
      </c>
      <c r="W39" s="206">
        <f t="shared" si="30"/>
        <v>21925.553364673353</v>
      </c>
      <c r="X39" s="206">
        <f t="shared" si="30"/>
        <v>21925.553364673353</v>
      </c>
      <c r="Y39" s="206">
        <f t="shared" si="30"/>
        <v>21925.553364673353</v>
      </c>
      <c r="Z39" s="206">
        <f t="shared" si="30"/>
        <v>21925.553364673353</v>
      </c>
      <c r="AA39" s="206">
        <f t="shared" si="30"/>
        <v>21925.553364673353</v>
      </c>
      <c r="AB39" s="206">
        <f t="shared" si="30"/>
        <v>21925.553364673353</v>
      </c>
      <c r="AC39" s="206">
        <f t="shared" si="30"/>
        <v>21925.553364673353</v>
      </c>
      <c r="AD39" s="206">
        <f t="shared" si="30"/>
        <v>21925.553364673353</v>
      </c>
      <c r="AE39" s="206">
        <f t="shared" si="30"/>
        <v>21925.553364673353</v>
      </c>
      <c r="AF39" s="206">
        <f t="shared" si="30"/>
        <v>21925.553364673353</v>
      </c>
      <c r="AG39" s="206">
        <f t="shared" si="30"/>
        <v>21925.553364673353</v>
      </c>
      <c r="AH39" s="206">
        <f t="shared" si="30"/>
        <v>21925.553364673353</v>
      </c>
      <c r="AI39" s="206">
        <f t="shared" si="30"/>
        <v>21925.553364673353</v>
      </c>
      <c r="AJ39" s="206">
        <f t="shared" si="30"/>
        <v>21925.553364673353</v>
      </c>
      <c r="AK39" s="206">
        <f t="shared" si="30"/>
        <v>21925.553364673353</v>
      </c>
      <c r="AL39" s="206">
        <f t="shared" ref="AL39:BA40" si="31">IF(AL$2&lt;=($B$2+$C$2+$D$2),IF(AL$2&lt;=($B$2+$C$2),IF(AL$2&lt;=$B$2,$B39,$C39),$D39),$E39)</f>
        <v>21925.553364673353</v>
      </c>
      <c r="AM39" s="206">
        <f t="shared" si="31"/>
        <v>21925.553364673353</v>
      </c>
      <c r="AN39" s="206">
        <f t="shared" si="31"/>
        <v>21925.553364673353</v>
      </c>
      <c r="AO39" s="206">
        <f t="shared" si="31"/>
        <v>21925.553364673353</v>
      </c>
      <c r="AP39" s="206">
        <f t="shared" si="31"/>
        <v>21925.553364673353</v>
      </c>
      <c r="AQ39" s="206">
        <f t="shared" si="31"/>
        <v>21925.553364673353</v>
      </c>
      <c r="AR39" s="206">
        <f t="shared" si="31"/>
        <v>21925.553364673353</v>
      </c>
      <c r="AS39" s="206">
        <f t="shared" si="31"/>
        <v>21925.553364673353</v>
      </c>
      <c r="AT39" s="206">
        <f t="shared" si="31"/>
        <v>21925.553364673353</v>
      </c>
      <c r="AU39" s="206">
        <f t="shared" si="31"/>
        <v>21925.553364673353</v>
      </c>
      <c r="AV39" s="206">
        <f t="shared" si="31"/>
        <v>21925.553364673353</v>
      </c>
      <c r="AW39" s="206">
        <f t="shared" si="31"/>
        <v>21925.553364673353</v>
      </c>
      <c r="AX39" s="206">
        <f t="shared" si="31"/>
        <v>21925.553364673353</v>
      </c>
      <c r="AY39" s="206">
        <f t="shared" si="31"/>
        <v>21925.553364673353</v>
      </c>
      <c r="AZ39" s="206">
        <f t="shared" si="31"/>
        <v>21925.553364673353</v>
      </c>
      <c r="BA39" s="206">
        <f t="shared" si="31"/>
        <v>21925.553364673353</v>
      </c>
      <c r="BB39" s="206">
        <f t="shared" ref="BB39:CD40" si="32">IF(BB$2&lt;=($B$2+$C$2+$D$2),IF(BB$2&lt;=($B$2+$C$2),IF(BB$2&lt;=$B$2,$B39,$C39),$D39),$E39)</f>
        <v>21925.553364673353</v>
      </c>
      <c r="BC39" s="206">
        <f t="shared" si="32"/>
        <v>21925.553364673353</v>
      </c>
      <c r="BD39" s="206">
        <f t="shared" si="32"/>
        <v>21925.553364673353</v>
      </c>
      <c r="BE39" s="206">
        <f t="shared" si="32"/>
        <v>21925.553364673353</v>
      </c>
      <c r="BF39" s="206">
        <f t="shared" si="32"/>
        <v>21925.553364673353</v>
      </c>
      <c r="BG39" s="206">
        <f t="shared" si="32"/>
        <v>21925.553364673353</v>
      </c>
      <c r="BH39" s="206">
        <f t="shared" si="32"/>
        <v>21925.553364673353</v>
      </c>
      <c r="BI39" s="206">
        <f t="shared" si="32"/>
        <v>21925.553364673353</v>
      </c>
      <c r="BJ39" s="206">
        <f t="shared" si="32"/>
        <v>21925.553364673353</v>
      </c>
      <c r="BK39" s="206">
        <f t="shared" si="32"/>
        <v>21925.553364673353</v>
      </c>
      <c r="BL39" s="206">
        <f t="shared" si="32"/>
        <v>21925.553364673353</v>
      </c>
      <c r="BM39" s="206">
        <f t="shared" si="32"/>
        <v>21925.553364673353</v>
      </c>
      <c r="BN39" s="206">
        <f t="shared" si="32"/>
        <v>21925.553364673353</v>
      </c>
      <c r="BO39" s="206">
        <f t="shared" si="32"/>
        <v>21925.553364673353</v>
      </c>
      <c r="BP39" s="206">
        <f t="shared" si="32"/>
        <v>21925.553364673353</v>
      </c>
      <c r="BQ39" s="206">
        <f t="shared" si="32"/>
        <v>21925.553364673353</v>
      </c>
      <c r="BR39" s="206">
        <f t="shared" si="32"/>
        <v>21925.553364673353</v>
      </c>
      <c r="BS39" s="206">
        <f t="shared" si="32"/>
        <v>21925.553364673353</v>
      </c>
      <c r="BT39" s="206">
        <f t="shared" si="32"/>
        <v>21925.553364673353</v>
      </c>
      <c r="BU39" s="206">
        <f t="shared" si="32"/>
        <v>21925.553364673353</v>
      </c>
      <c r="BV39" s="206">
        <f t="shared" si="32"/>
        <v>21925.553364673349</v>
      </c>
      <c r="BW39" s="206">
        <f t="shared" si="32"/>
        <v>21925.553364673349</v>
      </c>
      <c r="BX39" s="206">
        <f t="shared" si="32"/>
        <v>21925.553364673349</v>
      </c>
      <c r="BY39" s="206">
        <f t="shared" si="32"/>
        <v>21925.553364673349</v>
      </c>
      <c r="BZ39" s="206">
        <f t="shared" si="32"/>
        <v>21925.553364673349</v>
      </c>
      <c r="CA39" s="206">
        <f t="shared" si="32"/>
        <v>21925.553364673349</v>
      </c>
      <c r="CB39" s="206">
        <f t="shared" si="32"/>
        <v>21925.553364673349</v>
      </c>
      <c r="CC39" s="206">
        <f t="shared" si="32"/>
        <v>21925.553364673349</v>
      </c>
      <c r="CD39" s="206">
        <f t="shared" si="32"/>
        <v>21925.553364673349</v>
      </c>
      <c r="CE39" s="206">
        <f t="shared" ref="CE39:CR40" si="33">IF(CE$2&lt;=($B$2+$C$2+$D$2),IF(CE$2&lt;=($B$2+$C$2),IF(CE$2&lt;=$B$2,$B39,$C39),$D39),$E39)</f>
        <v>21925.553364673349</v>
      </c>
      <c r="CF39" s="206">
        <f t="shared" si="33"/>
        <v>21925.553364673349</v>
      </c>
      <c r="CG39" s="206">
        <f t="shared" si="33"/>
        <v>21925.553364673349</v>
      </c>
      <c r="CH39" s="206">
        <f t="shared" si="33"/>
        <v>21925.553364673349</v>
      </c>
      <c r="CI39" s="206">
        <f t="shared" si="33"/>
        <v>21925.553364673349</v>
      </c>
      <c r="CJ39" s="206">
        <f t="shared" si="33"/>
        <v>21925.553364673349</v>
      </c>
      <c r="CK39" s="206">
        <f t="shared" si="33"/>
        <v>21925.553364673349</v>
      </c>
      <c r="CL39" s="206">
        <f t="shared" si="33"/>
        <v>21925.553364673349</v>
      </c>
      <c r="CM39" s="206">
        <f t="shared" si="33"/>
        <v>21925.553364673349</v>
      </c>
      <c r="CN39" s="206">
        <f t="shared" si="33"/>
        <v>21925.553364673349</v>
      </c>
      <c r="CO39" s="206">
        <f t="shared" si="33"/>
        <v>21925.553364673349</v>
      </c>
      <c r="CP39" s="206">
        <f t="shared" si="33"/>
        <v>21925.553364673349</v>
      </c>
      <c r="CQ39" s="206">
        <f t="shared" si="33"/>
        <v>21925.553364673349</v>
      </c>
      <c r="CR39" s="206">
        <f t="shared" si="33"/>
        <v>21925.553364673349</v>
      </c>
      <c r="CS39" s="206">
        <f t="shared" ref="CS39:DA40" si="34">IF(CS$2&lt;=($B$2+$C$2+$D$2),IF(CS$2&lt;=($B$2+$C$2),IF(CS$2&lt;=$B$2,$B39,$C39),$D39),$E39)</f>
        <v>21925.553364673349</v>
      </c>
      <c r="CT39" s="206">
        <f t="shared" si="34"/>
        <v>21925.553364673349</v>
      </c>
      <c r="CU39" s="206">
        <f t="shared" si="34"/>
        <v>21925.553364673349</v>
      </c>
      <c r="CV39" s="206">
        <f t="shared" si="34"/>
        <v>21925.553364673349</v>
      </c>
      <c r="CW39" s="206">
        <f t="shared" si="34"/>
        <v>21925.553364673349</v>
      </c>
      <c r="CX39" s="206">
        <f t="shared" si="34"/>
        <v>21925.553364673349</v>
      </c>
      <c r="CY39" s="206">
        <f t="shared" si="34"/>
        <v>21925.553364673349</v>
      </c>
      <c r="CZ39" s="206">
        <f t="shared" si="34"/>
        <v>21925.553364673349</v>
      </c>
      <c r="DA39" s="206">
        <f t="shared" si="34"/>
        <v>21925.553364673349</v>
      </c>
    </row>
    <row r="40" spans="1:105">
      <c r="A40" s="203" t="str">
        <f>Income!A90</f>
        <v>Lower Bound Poverty line</v>
      </c>
      <c r="B40" s="205">
        <f>Income!B90</f>
        <v>35197.146827147968</v>
      </c>
      <c r="C40" s="205">
        <f>Income!C90</f>
        <v>35197.146827147968</v>
      </c>
      <c r="D40" s="205">
        <f>Income!D90</f>
        <v>35197.146827147968</v>
      </c>
      <c r="E40" s="205">
        <f>Income!E90</f>
        <v>35197.146827147968</v>
      </c>
      <c r="F40" s="206">
        <f t="shared" ref="F40:U40" si="35">IF(F$2&lt;=($B$2+$C$2+$D$2),IF(F$2&lt;=($B$2+$C$2),IF(F$2&lt;=$B$2,$B40,$C40),$D40),$E40)</f>
        <v>35197.146827147968</v>
      </c>
      <c r="G40" s="206">
        <f t="shared" si="35"/>
        <v>35197.146827147968</v>
      </c>
      <c r="H40" s="206">
        <f t="shared" si="35"/>
        <v>35197.146827147968</v>
      </c>
      <c r="I40" s="206">
        <f t="shared" si="35"/>
        <v>35197.146827147968</v>
      </c>
      <c r="J40" s="206">
        <f t="shared" si="35"/>
        <v>35197.146827147968</v>
      </c>
      <c r="K40" s="206">
        <f t="shared" si="35"/>
        <v>35197.146827147968</v>
      </c>
      <c r="L40" s="206">
        <f t="shared" si="35"/>
        <v>35197.146827147968</v>
      </c>
      <c r="M40" s="206">
        <f t="shared" si="35"/>
        <v>35197.146827147968</v>
      </c>
      <c r="N40" s="206">
        <f t="shared" si="35"/>
        <v>35197.146827147968</v>
      </c>
      <c r="O40" s="206">
        <f t="shared" si="35"/>
        <v>35197.146827147968</v>
      </c>
      <c r="P40" s="206">
        <f t="shared" si="35"/>
        <v>35197.146827147968</v>
      </c>
      <c r="Q40" s="206">
        <f t="shared" si="35"/>
        <v>35197.146827147968</v>
      </c>
      <c r="R40" s="206">
        <f t="shared" si="35"/>
        <v>35197.146827147968</v>
      </c>
      <c r="S40" s="206">
        <f t="shared" si="35"/>
        <v>35197.146827147968</v>
      </c>
      <c r="T40" s="206">
        <f t="shared" si="35"/>
        <v>35197.146827147968</v>
      </c>
      <c r="U40" s="206">
        <f t="shared" si="35"/>
        <v>35197.146827147968</v>
      </c>
      <c r="V40" s="206">
        <f t="shared" si="30"/>
        <v>35197.146827147968</v>
      </c>
      <c r="W40" s="206">
        <f t="shared" si="30"/>
        <v>35197.146827147968</v>
      </c>
      <c r="X40" s="206">
        <f t="shared" si="30"/>
        <v>35197.146827147968</v>
      </c>
      <c r="Y40" s="206">
        <f t="shared" si="30"/>
        <v>35197.146827147968</v>
      </c>
      <c r="Z40" s="206">
        <f t="shared" si="30"/>
        <v>35197.146827147968</v>
      </c>
      <c r="AA40" s="206">
        <f t="shared" si="30"/>
        <v>35197.146827147968</v>
      </c>
      <c r="AB40" s="206">
        <f t="shared" si="30"/>
        <v>35197.146827147968</v>
      </c>
      <c r="AC40" s="206">
        <f t="shared" si="30"/>
        <v>35197.146827147968</v>
      </c>
      <c r="AD40" s="206">
        <f t="shared" si="30"/>
        <v>35197.146827147968</v>
      </c>
      <c r="AE40" s="206">
        <f t="shared" si="30"/>
        <v>35197.146827147968</v>
      </c>
      <c r="AF40" s="206">
        <f t="shared" si="30"/>
        <v>35197.146827147968</v>
      </c>
      <c r="AG40" s="206">
        <f t="shared" si="30"/>
        <v>35197.146827147968</v>
      </c>
      <c r="AH40" s="206">
        <f t="shared" si="30"/>
        <v>35197.146827147968</v>
      </c>
      <c r="AI40" s="206">
        <f t="shared" si="30"/>
        <v>35197.146827147968</v>
      </c>
      <c r="AJ40" s="206">
        <f t="shared" si="30"/>
        <v>35197.146827147968</v>
      </c>
      <c r="AK40" s="206">
        <f t="shared" si="30"/>
        <v>35197.146827147968</v>
      </c>
      <c r="AL40" s="206">
        <f t="shared" si="31"/>
        <v>35197.146827147968</v>
      </c>
      <c r="AM40" s="206">
        <f t="shared" si="31"/>
        <v>35197.146827147968</v>
      </c>
      <c r="AN40" s="206">
        <f t="shared" si="31"/>
        <v>35197.146827147968</v>
      </c>
      <c r="AO40" s="206">
        <f t="shared" si="31"/>
        <v>35197.146827147968</v>
      </c>
      <c r="AP40" s="206">
        <f t="shared" si="31"/>
        <v>35197.146827147968</v>
      </c>
      <c r="AQ40" s="206">
        <f t="shared" si="31"/>
        <v>35197.146827147968</v>
      </c>
      <c r="AR40" s="206">
        <f t="shared" si="31"/>
        <v>35197.146827147968</v>
      </c>
      <c r="AS40" s="206">
        <f t="shared" si="31"/>
        <v>35197.146827147968</v>
      </c>
      <c r="AT40" s="206">
        <f t="shared" si="31"/>
        <v>35197.146827147968</v>
      </c>
      <c r="AU40" s="206">
        <f t="shared" si="31"/>
        <v>35197.146827147968</v>
      </c>
      <c r="AV40" s="206">
        <f t="shared" si="31"/>
        <v>35197.146827147968</v>
      </c>
      <c r="AW40" s="206">
        <f t="shared" si="31"/>
        <v>35197.146827147968</v>
      </c>
      <c r="AX40" s="206">
        <f t="shared" si="31"/>
        <v>35197.146827147968</v>
      </c>
      <c r="AY40" s="206">
        <f t="shared" si="31"/>
        <v>35197.146827147968</v>
      </c>
      <c r="AZ40" s="206">
        <f t="shared" si="31"/>
        <v>35197.146827147968</v>
      </c>
      <c r="BA40" s="206">
        <f t="shared" si="31"/>
        <v>35197.146827147968</v>
      </c>
      <c r="BB40" s="206">
        <f t="shared" si="32"/>
        <v>35197.146827147968</v>
      </c>
      <c r="BC40" s="206">
        <f t="shared" si="32"/>
        <v>35197.146827147968</v>
      </c>
      <c r="BD40" s="206">
        <f t="shared" si="32"/>
        <v>35197.146827147968</v>
      </c>
      <c r="BE40" s="206">
        <f t="shared" si="32"/>
        <v>35197.146827147968</v>
      </c>
      <c r="BF40" s="206">
        <f t="shared" si="32"/>
        <v>35197.146827147968</v>
      </c>
      <c r="BG40" s="206">
        <f t="shared" si="32"/>
        <v>35197.146827147968</v>
      </c>
      <c r="BH40" s="206">
        <f t="shared" si="32"/>
        <v>35197.146827147968</v>
      </c>
      <c r="BI40" s="206">
        <f t="shared" si="32"/>
        <v>35197.146827147968</v>
      </c>
      <c r="BJ40" s="206">
        <f t="shared" si="32"/>
        <v>35197.146827147968</v>
      </c>
      <c r="BK40" s="206">
        <f t="shared" si="32"/>
        <v>35197.146827147968</v>
      </c>
      <c r="BL40" s="206">
        <f t="shared" si="32"/>
        <v>35197.146827147968</v>
      </c>
      <c r="BM40" s="206">
        <f t="shared" si="32"/>
        <v>35197.146827147968</v>
      </c>
      <c r="BN40" s="206">
        <f t="shared" si="32"/>
        <v>35197.146827147968</v>
      </c>
      <c r="BO40" s="206">
        <f t="shared" si="32"/>
        <v>35197.146827147968</v>
      </c>
      <c r="BP40" s="206">
        <f t="shared" si="32"/>
        <v>35197.146827147968</v>
      </c>
      <c r="BQ40" s="206">
        <f t="shared" si="32"/>
        <v>35197.146827147968</v>
      </c>
      <c r="BR40" s="206">
        <f t="shared" si="32"/>
        <v>35197.146827147968</v>
      </c>
      <c r="BS40" s="206">
        <f t="shared" si="32"/>
        <v>35197.146827147968</v>
      </c>
      <c r="BT40" s="206">
        <f t="shared" si="32"/>
        <v>35197.146827147968</v>
      </c>
      <c r="BU40" s="206">
        <f t="shared" si="32"/>
        <v>35197.146827147968</v>
      </c>
      <c r="BV40" s="206">
        <f t="shared" si="32"/>
        <v>35197.146827147968</v>
      </c>
      <c r="BW40" s="206">
        <f t="shared" si="32"/>
        <v>35197.146827147968</v>
      </c>
      <c r="BX40" s="206">
        <f t="shared" si="32"/>
        <v>35197.146827147968</v>
      </c>
      <c r="BY40" s="206">
        <f t="shared" si="32"/>
        <v>35197.146827147968</v>
      </c>
      <c r="BZ40" s="206">
        <f t="shared" si="32"/>
        <v>35197.146827147968</v>
      </c>
      <c r="CA40" s="206">
        <f t="shared" si="32"/>
        <v>35197.146827147968</v>
      </c>
      <c r="CB40" s="206">
        <f t="shared" si="32"/>
        <v>35197.146827147968</v>
      </c>
      <c r="CC40" s="206">
        <f t="shared" si="32"/>
        <v>35197.146827147968</v>
      </c>
      <c r="CD40" s="206">
        <f t="shared" si="32"/>
        <v>35197.146827147968</v>
      </c>
      <c r="CE40" s="206">
        <f t="shared" si="33"/>
        <v>35197.146827147968</v>
      </c>
      <c r="CF40" s="206">
        <f t="shared" si="33"/>
        <v>35197.146827147968</v>
      </c>
      <c r="CG40" s="206">
        <f t="shared" si="33"/>
        <v>35197.146827147968</v>
      </c>
      <c r="CH40" s="206">
        <f t="shared" si="33"/>
        <v>35197.146827147968</v>
      </c>
      <c r="CI40" s="206">
        <f t="shared" si="33"/>
        <v>35197.146827147968</v>
      </c>
      <c r="CJ40" s="206">
        <f t="shared" si="33"/>
        <v>35197.146827147968</v>
      </c>
      <c r="CK40" s="206">
        <f t="shared" si="33"/>
        <v>35197.146827147968</v>
      </c>
      <c r="CL40" s="206">
        <f t="shared" si="33"/>
        <v>35197.146827147968</v>
      </c>
      <c r="CM40" s="206">
        <f t="shared" si="33"/>
        <v>35197.146827147968</v>
      </c>
      <c r="CN40" s="206">
        <f t="shared" si="33"/>
        <v>35197.146827147968</v>
      </c>
      <c r="CO40" s="206">
        <f t="shared" si="33"/>
        <v>35197.146827147968</v>
      </c>
      <c r="CP40" s="206">
        <f t="shared" si="33"/>
        <v>35197.146827147968</v>
      </c>
      <c r="CQ40" s="206">
        <f t="shared" si="33"/>
        <v>35197.146827147968</v>
      </c>
      <c r="CR40" s="206">
        <f t="shared" si="33"/>
        <v>35197.146827147968</v>
      </c>
      <c r="CS40" s="206">
        <f t="shared" si="34"/>
        <v>35197.146827147968</v>
      </c>
      <c r="CT40" s="206">
        <f t="shared" si="34"/>
        <v>35197.146827147968</v>
      </c>
      <c r="CU40" s="206">
        <f t="shared" si="34"/>
        <v>35197.146827147968</v>
      </c>
      <c r="CV40" s="206">
        <f t="shared" si="34"/>
        <v>35197.146827147968</v>
      </c>
      <c r="CW40" s="206">
        <f t="shared" si="34"/>
        <v>35197.146827147968</v>
      </c>
      <c r="CX40" s="206">
        <f t="shared" si="34"/>
        <v>35197.146827147968</v>
      </c>
      <c r="CY40" s="206">
        <f t="shared" si="34"/>
        <v>35197.146827147968</v>
      </c>
      <c r="CZ40" s="206">
        <f t="shared" si="34"/>
        <v>35197.146827147968</v>
      </c>
      <c r="DA40" s="206">
        <f t="shared" si="34"/>
        <v>35197.146827147968</v>
      </c>
    </row>
    <row r="42" spans="1:105">
      <c r="A42" s="203" t="str">
        <f>Income!A72</f>
        <v>Own crops Consumed</v>
      </c>
      <c r="F42" s="212">
        <f t="shared" ref="F42:AK42" si="36">IF(F$22&lt;=$E$24,IF(F$22&lt;=$D$24,IF(F$22&lt;=$C$24,IF(F$22&lt;=$B$24,$B108,($C25-$B25)/($C$24-$B$24)),($D25-$C25)/($D$24-$C$24)),($E25-$D25)/($E$24-$D$24)),$F108)</f>
        <v>0</v>
      </c>
      <c r="G42" s="212">
        <f t="shared" si="36"/>
        <v>0</v>
      </c>
      <c r="H42" s="212">
        <f t="shared" si="36"/>
        <v>0</v>
      </c>
      <c r="I42" s="212">
        <f t="shared" si="36"/>
        <v>0</v>
      </c>
      <c r="J42" s="212">
        <f t="shared" si="36"/>
        <v>0</v>
      </c>
      <c r="K42" s="212">
        <f t="shared" si="36"/>
        <v>0</v>
      </c>
      <c r="L42" s="212">
        <f t="shared" si="36"/>
        <v>0</v>
      </c>
      <c r="M42" s="212">
        <f t="shared" si="36"/>
        <v>0</v>
      </c>
      <c r="N42" s="212">
        <f t="shared" si="36"/>
        <v>0</v>
      </c>
      <c r="O42" s="212">
        <f t="shared" si="36"/>
        <v>0</v>
      </c>
      <c r="P42" s="212">
        <f t="shared" si="36"/>
        <v>0</v>
      </c>
      <c r="Q42" s="212">
        <f t="shared" si="36"/>
        <v>0</v>
      </c>
      <c r="R42" s="212">
        <f t="shared" si="36"/>
        <v>0</v>
      </c>
      <c r="S42" s="212">
        <f t="shared" si="36"/>
        <v>46.804168037100325</v>
      </c>
      <c r="T42" s="212">
        <f t="shared" si="36"/>
        <v>46.804168037100325</v>
      </c>
      <c r="U42" s="212">
        <f t="shared" si="36"/>
        <v>46.804168037100325</v>
      </c>
      <c r="V42" s="212">
        <f t="shared" si="36"/>
        <v>46.804168037100325</v>
      </c>
      <c r="W42" s="212">
        <f t="shared" si="36"/>
        <v>46.804168037100325</v>
      </c>
      <c r="X42" s="212">
        <f t="shared" si="36"/>
        <v>46.804168037100325</v>
      </c>
      <c r="Y42" s="212">
        <f t="shared" si="36"/>
        <v>46.804168037100325</v>
      </c>
      <c r="Z42" s="212">
        <f t="shared" si="36"/>
        <v>46.804168037100325</v>
      </c>
      <c r="AA42" s="212">
        <f t="shared" si="36"/>
        <v>46.804168037100325</v>
      </c>
      <c r="AB42" s="212">
        <f t="shared" si="36"/>
        <v>46.804168037100325</v>
      </c>
      <c r="AC42" s="212">
        <f t="shared" si="36"/>
        <v>46.804168037100325</v>
      </c>
      <c r="AD42" s="212">
        <f t="shared" si="36"/>
        <v>46.804168037100325</v>
      </c>
      <c r="AE42" s="212">
        <f t="shared" si="36"/>
        <v>46.804168037100325</v>
      </c>
      <c r="AF42" s="212">
        <f t="shared" si="36"/>
        <v>46.804168037100325</v>
      </c>
      <c r="AG42" s="212">
        <f t="shared" si="36"/>
        <v>46.804168037100325</v>
      </c>
      <c r="AH42" s="212">
        <f t="shared" si="36"/>
        <v>46.804168037100325</v>
      </c>
      <c r="AI42" s="212">
        <f t="shared" si="36"/>
        <v>46.804168037100325</v>
      </c>
      <c r="AJ42" s="212">
        <f t="shared" si="36"/>
        <v>46.804168037100325</v>
      </c>
      <c r="AK42" s="212">
        <f t="shared" si="36"/>
        <v>46.804168037100325</v>
      </c>
      <c r="AL42" s="212">
        <f t="shared" ref="AL42:BQ42" si="37">IF(AL$22&lt;=$E$24,IF(AL$22&lt;=$D$24,IF(AL$22&lt;=$C$24,IF(AL$22&lt;=$B$24,$B108,($C25-$B25)/($C$24-$B$24)),($D25-$C25)/($D$24-$C$24)),($E25-$D25)/($E$24-$D$24)),$F108)</f>
        <v>46.804168037100325</v>
      </c>
      <c r="AM42" s="212">
        <f t="shared" si="37"/>
        <v>46.804168037100325</v>
      </c>
      <c r="AN42" s="212">
        <f t="shared" si="37"/>
        <v>46.804168037100325</v>
      </c>
      <c r="AO42" s="212">
        <f t="shared" si="37"/>
        <v>46.804168037100325</v>
      </c>
      <c r="AP42" s="212">
        <f t="shared" si="37"/>
        <v>46.804168037100325</v>
      </c>
      <c r="AQ42" s="212">
        <f t="shared" si="37"/>
        <v>46.804168037100325</v>
      </c>
      <c r="AR42" s="212">
        <f t="shared" si="37"/>
        <v>46.804168037100325</v>
      </c>
      <c r="AS42" s="212">
        <f t="shared" si="37"/>
        <v>46.804168037100325</v>
      </c>
      <c r="AT42" s="212">
        <f t="shared" si="37"/>
        <v>46.804168037100325</v>
      </c>
      <c r="AU42" s="212">
        <f t="shared" si="37"/>
        <v>46.804168037100325</v>
      </c>
      <c r="AV42" s="212">
        <f t="shared" si="37"/>
        <v>46.804168037100325</v>
      </c>
      <c r="AW42" s="212">
        <f t="shared" si="37"/>
        <v>46.804168037100325</v>
      </c>
      <c r="AX42" s="212">
        <f t="shared" si="37"/>
        <v>46.804168037100325</v>
      </c>
      <c r="AY42" s="212">
        <f t="shared" si="37"/>
        <v>46.804168037100325</v>
      </c>
      <c r="AZ42" s="212">
        <f t="shared" si="37"/>
        <v>46.804168037100325</v>
      </c>
      <c r="BA42" s="212">
        <f t="shared" si="37"/>
        <v>9.4727815438892797</v>
      </c>
      <c r="BB42" s="212">
        <f t="shared" si="37"/>
        <v>9.4727815438892797</v>
      </c>
      <c r="BC42" s="212">
        <f t="shared" si="37"/>
        <v>9.4727815438892797</v>
      </c>
      <c r="BD42" s="212">
        <f t="shared" si="37"/>
        <v>9.4727815438892797</v>
      </c>
      <c r="BE42" s="212">
        <f t="shared" si="37"/>
        <v>9.4727815438892797</v>
      </c>
      <c r="BF42" s="212">
        <f t="shared" si="37"/>
        <v>9.4727815438892797</v>
      </c>
      <c r="BG42" s="212">
        <f t="shared" si="37"/>
        <v>9.4727815438892797</v>
      </c>
      <c r="BH42" s="212">
        <f t="shared" si="37"/>
        <v>9.4727815438892797</v>
      </c>
      <c r="BI42" s="212">
        <f t="shared" si="37"/>
        <v>9.4727815438892797</v>
      </c>
      <c r="BJ42" s="212">
        <f t="shared" si="37"/>
        <v>9.4727815438892797</v>
      </c>
      <c r="BK42" s="212">
        <f t="shared" si="37"/>
        <v>9.4727815438892797</v>
      </c>
      <c r="BL42" s="212">
        <f t="shared" si="37"/>
        <v>9.4727815438892797</v>
      </c>
      <c r="BM42" s="212">
        <f t="shared" si="37"/>
        <v>9.4727815438892797</v>
      </c>
      <c r="BN42" s="212">
        <f t="shared" si="37"/>
        <v>9.4727815438892797</v>
      </c>
      <c r="BO42" s="212">
        <f t="shared" si="37"/>
        <v>9.4727815438892797</v>
      </c>
      <c r="BP42" s="212">
        <f t="shared" si="37"/>
        <v>9.4727815438892797</v>
      </c>
      <c r="BQ42" s="212">
        <f t="shared" si="37"/>
        <v>9.4727815438892797</v>
      </c>
      <c r="BR42" s="212">
        <f t="shared" ref="BR42:DA42" si="38">IF(BR$22&lt;=$E$24,IF(BR$22&lt;=$D$24,IF(BR$22&lt;=$C$24,IF(BR$22&lt;=$B$24,$B108,($C25-$B25)/($C$24-$B$24)),($D25-$C25)/($D$24-$C$24)),($E25-$D25)/($E$24-$D$24)),$F108)</f>
        <v>9.4727815438892797</v>
      </c>
      <c r="BS42" s="212">
        <f t="shared" si="38"/>
        <v>9.4727815438892797</v>
      </c>
      <c r="BT42" s="212">
        <f t="shared" si="38"/>
        <v>9.4727815438892797</v>
      </c>
      <c r="BU42" s="212">
        <f t="shared" si="38"/>
        <v>9.4727815438892797</v>
      </c>
      <c r="BV42" s="212">
        <f t="shared" si="38"/>
        <v>9.4727815438892797</v>
      </c>
      <c r="BW42" s="212">
        <f t="shared" si="38"/>
        <v>9.4727815438892797</v>
      </c>
      <c r="BX42" s="212">
        <f t="shared" si="38"/>
        <v>9.4727815438892797</v>
      </c>
      <c r="BY42" s="212">
        <f t="shared" si="38"/>
        <v>9.4727815438892797</v>
      </c>
      <c r="BZ42" s="212">
        <f t="shared" si="38"/>
        <v>9.4727815438892797</v>
      </c>
      <c r="CA42" s="212">
        <f t="shared" si="38"/>
        <v>9.4727815438892797</v>
      </c>
      <c r="CB42" s="212">
        <f t="shared" si="38"/>
        <v>9.4727815438892797</v>
      </c>
      <c r="CC42" s="212">
        <f t="shared" si="38"/>
        <v>9.4727815438892797</v>
      </c>
      <c r="CD42" s="212">
        <f t="shared" si="38"/>
        <v>9.4727815438892797</v>
      </c>
      <c r="CE42" s="212">
        <f t="shared" si="38"/>
        <v>9.4727815438892797</v>
      </c>
      <c r="CF42" s="212">
        <f t="shared" si="38"/>
        <v>9.4727815438892797</v>
      </c>
      <c r="CG42" s="212">
        <f t="shared" si="38"/>
        <v>9.4727815438892797</v>
      </c>
      <c r="CH42" s="212">
        <f t="shared" si="38"/>
        <v>61.485911602209882</v>
      </c>
      <c r="CI42" s="212">
        <f t="shared" si="38"/>
        <v>61.485911602209882</v>
      </c>
      <c r="CJ42" s="212">
        <f t="shared" si="38"/>
        <v>61.485911602209882</v>
      </c>
      <c r="CK42" s="212">
        <f t="shared" si="38"/>
        <v>61.485911602209882</v>
      </c>
      <c r="CL42" s="212">
        <f t="shared" si="38"/>
        <v>61.485911602209882</v>
      </c>
      <c r="CM42" s="212">
        <f t="shared" si="38"/>
        <v>61.485911602209882</v>
      </c>
      <c r="CN42" s="212">
        <f t="shared" si="38"/>
        <v>61.485911602209882</v>
      </c>
      <c r="CO42" s="212">
        <f t="shared" si="38"/>
        <v>61.485911602209882</v>
      </c>
      <c r="CP42" s="212">
        <f t="shared" si="38"/>
        <v>61.485911602209882</v>
      </c>
      <c r="CQ42" s="212">
        <f t="shared" si="38"/>
        <v>61.485911602209882</v>
      </c>
      <c r="CR42" s="212">
        <f t="shared" si="38"/>
        <v>61.485911602209882</v>
      </c>
      <c r="CS42" s="212">
        <f t="shared" si="38"/>
        <v>61.485911602209882</v>
      </c>
      <c r="CT42" s="212">
        <f t="shared" si="38"/>
        <v>61.485911602209882</v>
      </c>
      <c r="CU42" s="212">
        <f t="shared" si="38"/>
        <v>61.485911602209882</v>
      </c>
      <c r="CV42" s="212">
        <f t="shared" si="38"/>
        <v>61.485911602209882</v>
      </c>
      <c r="CW42" s="212">
        <f t="shared" si="38"/>
        <v>61.485911602209882</v>
      </c>
      <c r="CX42" s="212">
        <f t="shared" si="38"/>
        <v>106.36000000000007</v>
      </c>
      <c r="CY42" s="212">
        <f t="shared" si="38"/>
        <v>106.36000000000007</v>
      </c>
      <c r="CZ42" s="212">
        <f t="shared" si="38"/>
        <v>106.36000000000007</v>
      </c>
      <c r="DA42" s="212">
        <f t="shared" si="38"/>
        <v>106.36000000000007</v>
      </c>
    </row>
    <row r="43" spans="1:105">
      <c r="A43" s="203" t="str">
        <f>Income!A73</f>
        <v>Own crops sold</v>
      </c>
      <c r="F43" s="212">
        <f t="shared" ref="F43:AK43" si="39">IF(F$22&lt;=$E$24,IF(F$22&lt;=$D$24,IF(F$22&lt;=$C$24,IF(F$22&lt;=$B$24,$B109,($C26-$B26)/($C$24-$B$24)),($D26-$C26)/($D$24-$C$24)),($E26-$D26)/($E$24-$D$24)),$F109)</f>
        <v>340.26</v>
      </c>
      <c r="G43" s="212">
        <f t="shared" si="39"/>
        <v>340.26</v>
      </c>
      <c r="H43" s="212">
        <f t="shared" si="39"/>
        <v>340.26</v>
      </c>
      <c r="I43" s="212">
        <f t="shared" si="39"/>
        <v>340.26</v>
      </c>
      <c r="J43" s="212">
        <f t="shared" si="39"/>
        <v>340.26</v>
      </c>
      <c r="K43" s="212">
        <f t="shared" si="39"/>
        <v>340.26</v>
      </c>
      <c r="L43" s="212">
        <f>IF(L$22&lt;=$E$24,IF(L$22&lt;=$D$24,IF(L$22&lt;=$C$24,IF(L$22&lt;=$B$24,$B109,($C26-$B26)/($C$24-$B$24)),($D26-$C26)/($D$24-$C$24)),($E26-$D26)/($E$24-$D$24)),$F109)</f>
        <v>340.26</v>
      </c>
      <c r="M43" s="212">
        <f t="shared" si="39"/>
        <v>340.26</v>
      </c>
      <c r="N43" s="212">
        <f t="shared" si="39"/>
        <v>340.26</v>
      </c>
      <c r="O43" s="212">
        <f t="shared" si="39"/>
        <v>340.26</v>
      </c>
      <c r="P43" s="212">
        <f t="shared" si="39"/>
        <v>340.26</v>
      </c>
      <c r="Q43" s="212">
        <f t="shared" si="39"/>
        <v>340.26</v>
      </c>
      <c r="R43" s="212">
        <f t="shared" si="39"/>
        <v>340.26</v>
      </c>
      <c r="S43" s="212">
        <f t="shared" si="39"/>
        <v>13.176470588235292</v>
      </c>
      <c r="T43" s="212">
        <f t="shared" si="39"/>
        <v>13.176470588235292</v>
      </c>
      <c r="U43" s="212">
        <f t="shared" si="39"/>
        <v>13.176470588235292</v>
      </c>
      <c r="V43" s="212">
        <f t="shared" si="39"/>
        <v>13.176470588235292</v>
      </c>
      <c r="W43" s="212">
        <f t="shared" si="39"/>
        <v>13.176470588235292</v>
      </c>
      <c r="X43" s="212">
        <f t="shared" si="39"/>
        <v>13.176470588235292</v>
      </c>
      <c r="Y43" s="212">
        <f t="shared" si="39"/>
        <v>13.176470588235292</v>
      </c>
      <c r="Z43" s="212">
        <f t="shared" si="39"/>
        <v>13.176470588235292</v>
      </c>
      <c r="AA43" s="212">
        <f t="shared" si="39"/>
        <v>13.176470588235292</v>
      </c>
      <c r="AB43" s="212">
        <f t="shared" si="39"/>
        <v>13.176470588235292</v>
      </c>
      <c r="AC43" s="212">
        <f t="shared" si="39"/>
        <v>13.176470588235292</v>
      </c>
      <c r="AD43" s="212">
        <f t="shared" si="39"/>
        <v>13.176470588235292</v>
      </c>
      <c r="AE43" s="212">
        <f t="shared" si="39"/>
        <v>13.176470588235292</v>
      </c>
      <c r="AF43" s="212">
        <f t="shared" si="39"/>
        <v>13.176470588235292</v>
      </c>
      <c r="AG43" s="212">
        <f t="shared" si="39"/>
        <v>13.176470588235292</v>
      </c>
      <c r="AH43" s="212">
        <f t="shared" si="39"/>
        <v>13.176470588235292</v>
      </c>
      <c r="AI43" s="212">
        <f t="shared" si="39"/>
        <v>13.176470588235292</v>
      </c>
      <c r="AJ43" s="212">
        <f t="shared" si="39"/>
        <v>13.176470588235292</v>
      </c>
      <c r="AK43" s="212">
        <f t="shared" si="39"/>
        <v>13.176470588235292</v>
      </c>
      <c r="AL43" s="212">
        <f t="shared" ref="AL43:BQ43" si="40">IF(AL$22&lt;=$E$24,IF(AL$22&lt;=$D$24,IF(AL$22&lt;=$C$24,IF(AL$22&lt;=$B$24,$B109,($C26-$B26)/($C$24-$B$24)),($D26-$C26)/($D$24-$C$24)),($E26-$D26)/($E$24-$D$24)),$F109)</f>
        <v>13.176470588235292</v>
      </c>
      <c r="AM43" s="212">
        <f t="shared" si="40"/>
        <v>13.176470588235292</v>
      </c>
      <c r="AN43" s="212">
        <f t="shared" si="40"/>
        <v>13.176470588235292</v>
      </c>
      <c r="AO43" s="212">
        <f t="shared" si="40"/>
        <v>13.176470588235292</v>
      </c>
      <c r="AP43" s="212">
        <f t="shared" si="40"/>
        <v>13.176470588235292</v>
      </c>
      <c r="AQ43" s="212">
        <f t="shared" si="40"/>
        <v>13.176470588235292</v>
      </c>
      <c r="AR43" s="212">
        <f t="shared" si="40"/>
        <v>13.176470588235292</v>
      </c>
      <c r="AS43" s="212">
        <f t="shared" si="40"/>
        <v>13.176470588235292</v>
      </c>
      <c r="AT43" s="212">
        <f t="shared" si="40"/>
        <v>13.176470588235292</v>
      </c>
      <c r="AU43" s="212">
        <f t="shared" si="40"/>
        <v>13.176470588235292</v>
      </c>
      <c r="AV43" s="212">
        <f t="shared" si="40"/>
        <v>13.176470588235292</v>
      </c>
      <c r="AW43" s="212">
        <f t="shared" si="40"/>
        <v>13.176470588235292</v>
      </c>
      <c r="AX43" s="212">
        <f t="shared" si="40"/>
        <v>13.176470588235292</v>
      </c>
      <c r="AY43" s="212">
        <f t="shared" si="40"/>
        <v>13.176470588235292</v>
      </c>
      <c r="AZ43" s="212">
        <f t="shared" si="40"/>
        <v>13.176470588235292</v>
      </c>
      <c r="BA43" s="212">
        <f t="shared" si="40"/>
        <v>100.62351515151514</v>
      </c>
      <c r="BB43" s="212">
        <f t="shared" si="40"/>
        <v>100.62351515151514</v>
      </c>
      <c r="BC43" s="212">
        <f t="shared" si="40"/>
        <v>100.62351515151514</v>
      </c>
      <c r="BD43" s="212">
        <f t="shared" si="40"/>
        <v>100.62351515151514</v>
      </c>
      <c r="BE43" s="212">
        <f t="shared" si="40"/>
        <v>100.62351515151514</v>
      </c>
      <c r="BF43" s="212">
        <f t="shared" si="40"/>
        <v>100.62351515151514</v>
      </c>
      <c r="BG43" s="212">
        <f t="shared" si="40"/>
        <v>100.62351515151514</v>
      </c>
      <c r="BH43" s="212">
        <f t="shared" si="40"/>
        <v>100.62351515151514</v>
      </c>
      <c r="BI43" s="212">
        <f t="shared" si="40"/>
        <v>100.62351515151514</v>
      </c>
      <c r="BJ43" s="212">
        <f t="shared" si="40"/>
        <v>100.62351515151514</v>
      </c>
      <c r="BK43" s="212">
        <f t="shared" si="40"/>
        <v>100.62351515151514</v>
      </c>
      <c r="BL43" s="212">
        <f t="shared" si="40"/>
        <v>100.62351515151514</v>
      </c>
      <c r="BM43" s="212">
        <f t="shared" si="40"/>
        <v>100.62351515151514</v>
      </c>
      <c r="BN43" s="212">
        <f t="shared" si="40"/>
        <v>100.62351515151514</v>
      </c>
      <c r="BO43" s="212">
        <f t="shared" si="40"/>
        <v>100.62351515151514</v>
      </c>
      <c r="BP43" s="212">
        <f t="shared" si="40"/>
        <v>100.62351515151514</v>
      </c>
      <c r="BQ43" s="212">
        <f t="shared" si="40"/>
        <v>100.62351515151514</v>
      </c>
      <c r="BR43" s="212">
        <f t="shared" ref="BR43:DA43" si="41">IF(BR$22&lt;=$E$24,IF(BR$22&lt;=$D$24,IF(BR$22&lt;=$C$24,IF(BR$22&lt;=$B$24,$B109,($C26-$B26)/($C$24-$B$24)),($D26-$C26)/($D$24-$C$24)),($E26-$D26)/($E$24-$D$24)),$F109)</f>
        <v>100.62351515151514</v>
      </c>
      <c r="BS43" s="212">
        <f t="shared" si="41"/>
        <v>100.62351515151514</v>
      </c>
      <c r="BT43" s="212">
        <f t="shared" si="41"/>
        <v>100.62351515151514</v>
      </c>
      <c r="BU43" s="212">
        <f t="shared" si="41"/>
        <v>100.62351515151514</v>
      </c>
      <c r="BV43" s="212">
        <f t="shared" si="41"/>
        <v>100.62351515151514</v>
      </c>
      <c r="BW43" s="212">
        <f t="shared" si="41"/>
        <v>100.62351515151514</v>
      </c>
      <c r="BX43" s="212">
        <f t="shared" si="41"/>
        <v>100.62351515151514</v>
      </c>
      <c r="BY43" s="212">
        <f t="shared" si="41"/>
        <v>100.62351515151514</v>
      </c>
      <c r="BZ43" s="212">
        <f t="shared" si="41"/>
        <v>100.62351515151514</v>
      </c>
      <c r="CA43" s="212">
        <f t="shared" si="41"/>
        <v>100.62351515151514</v>
      </c>
      <c r="CB43" s="212">
        <f t="shared" si="41"/>
        <v>100.62351515151514</v>
      </c>
      <c r="CC43" s="212">
        <f t="shared" si="41"/>
        <v>100.62351515151514</v>
      </c>
      <c r="CD43" s="212">
        <f t="shared" si="41"/>
        <v>100.62351515151514</v>
      </c>
      <c r="CE43" s="212">
        <f t="shared" si="41"/>
        <v>100.62351515151514</v>
      </c>
      <c r="CF43" s="212">
        <f t="shared" si="41"/>
        <v>100.62351515151514</v>
      </c>
      <c r="CG43" s="212">
        <f t="shared" si="41"/>
        <v>100.62351515151514</v>
      </c>
      <c r="CH43" s="212">
        <f t="shared" si="41"/>
        <v>453.26400000000001</v>
      </c>
      <c r="CI43" s="212">
        <f t="shared" si="41"/>
        <v>453.26400000000001</v>
      </c>
      <c r="CJ43" s="212">
        <f t="shared" si="41"/>
        <v>453.26400000000001</v>
      </c>
      <c r="CK43" s="212">
        <f t="shared" si="41"/>
        <v>453.26400000000001</v>
      </c>
      <c r="CL43" s="212">
        <f t="shared" si="41"/>
        <v>453.26400000000001</v>
      </c>
      <c r="CM43" s="212">
        <f t="shared" si="41"/>
        <v>453.26400000000001</v>
      </c>
      <c r="CN43" s="212">
        <f t="shared" si="41"/>
        <v>453.26400000000001</v>
      </c>
      <c r="CO43" s="212">
        <f t="shared" si="41"/>
        <v>453.26400000000001</v>
      </c>
      <c r="CP43" s="212">
        <f t="shared" si="41"/>
        <v>453.26400000000001</v>
      </c>
      <c r="CQ43" s="212">
        <f t="shared" si="41"/>
        <v>453.26400000000001</v>
      </c>
      <c r="CR43" s="212">
        <f t="shared" si="41"/>
        <v>453.26400000000001</v>
      </c>
      <c r="CS43" s="212">
        <f t="shared" si="41"/>
        <v>453.26400000000001</v>
      </c>
      <c r="CT43" s="212">
        <f t="shared" si="41"/>
        <v>453.26400000000001</v>
      </c>
      <c r="CU43" s="212">
        <f t="shared" si="41"/>
        <v>453.26400000000001</v>
      </c>
      <c r="CV43" s="212">
        <f t="shared" si="41"/>
        <v>453.26400000000001</v>
      </c>
      <c r="CW43" s="212">
        <f t="shared" si="41"/>
        <v>453.26400000000001</v>
      </c>
      <c r="CX43" s="212">
        <f t="shared" si="41"/>
        <v>724.86000000000013</v>
      </c>
      <c r="CY43" s="212">
        <f t="shared" si="41"/>
        <v>724.86000000000013</v>
      </c>
      <c r="CZ43" s="212">
        <f t="shared" si="41"/>
        <v>724.86000000000013</v>
      </c>
      <c r="DA43" s="212">
        <f t="shared" si="41"/>
        <v>724.86000000000013</v>
      </c>
    </row>
    <row r="44" spans="1:105">
      <c r="A44" s="203" t="str">
        <f>Income!A74</f>
        <v>Animal products consumed</v>
      </c>
      <c r="F44" s="212">
        <f t="shared" ref="F44:AK44" si="42">IF(F$22&lt;=$E$24,IF(F$22&lt;=$D$24,IF(F$22&lt;=$C$24,IF(F$22&lt;=$B$24,$B110,($C27-$B27)/($C$24-$B$24)),($D27-$C27)/($D$24-$C$24)),($E27-$D27)/($E$24-$D$24)),$F110)</f>
        <v>0</v>
      </c>
      <c r="G44" s="212">
        <f t="shared" si="42"/>
        <v>0</v>
      </c>
      <c r="H44" s="212">
        <f t="shared" si="42"/>
        <v>0</v>
      </c>
      <c r="I44" s="212">
        <f t="shared" si="42"/>
        <v>0</v>
      </c>
      <c r="J44" s="212">
        <f t="shared" si="42"/>
        <v>0</v>
      </c>
      <c r="K44" s="212">
        <f t="shared" si="42"/>
        <v>0</v>
      </c>
      <c r="L44" s="212">
        <f t="shared" si="42"/>
        <v>0</v>
      </c>
      <c r="M44" s="212">
        <f t="shared" si="42"/>
        <v>0</v>
      </c>
      <c r="N44" s="212">
        <f t="shared" si="42"/>
        <v>0</v>
      </c>
      <c r="O44" s="212">
        <f t="shared" si="42"/>
        <v>0</v>
      </c>
      <c r="P44" s="212">
        <f t="shared" si="42"/>
        <v>0</v>
      </c>
      <c r="Q44" s="212">
        <f t="shared" si="42"/>
        <v>0</v>
      </c>
      <c r="R44" s="212">
        <f t="shared" si="42"/>
        <v>0</v>
      </c>
      <c r="S44" s="212">
        <f t="shared" si="42"/>
        <v>1.7474484318746146</v>
      </c>
      <c r="T44" s="212">
        <f t="shared" si="42"/>
        <v>1.7474484318746146</v>
      </c>
      <c r="U44" s="212">
        <f t="shared" si="42"/>
        <v>1.7474484318746146</v>
      </c>
      <c r="V44" s="212">
        <f t="shared" si="42"/>
        <v>1.7474484318746146</v>
      </c>
      <c r="W44" s="212">
        <f t="shared" si="42"/>
        <v>1.7474484318746146</v>
      </c>
      <c r="X44" s="212">
        <f t="shared" si="42"/>
        <v>1.7474484318746146</v>
      </c>
      <c r="Y44" s="212">
        <f t="shared" si="42"/>
        <v>1.7474484318746146</v>
      </c>
      <c r="Z44" s="212">
        <f t="shared" si="42"/>
        <v>1.7474484318746146</v>
      </c>
      <c r="AA44" s="212">
        <f t="shared" si="42"/>
        <v>1.7474484318746146</v>
      </c>
      <c r="AB44" s="212">
        <f t="shared" si="42"/>
        <v>1.7474484318746146</v>
      </c>
      <c r="AC44" s="212">
        <f t="shared" si="42"/>
        <v>1.7474484318746146</v>
      </c>
      <c r="AD44" s="212">
        <f t="shared" si="42"/>
        <v>1.7474484318746146</v>
      </c>
      <c r="AE44" s="212">
        <f t="shared" si="42"/>
        <v>1.7474484318746146</v>
      </c>
      <c r="AF44" s="212">
        <f t="shared" si="42"/>
        <v>1.7474484318746146</v>
      </c>
      <c r="AG44" s="212">
        <f t="shared" si="42"/>
        <v>1.7474484318746146</v>
      </c>
      <c r="AH44" s="212">
        <f t="shared" si="42"/>
        <v>1.7474484318746146</v>
      </c>
      <c r="AI44" s="212">
        <f t="shared" si="42"/>
        <v>1.7474484318746146</v>
      </c>
      <c r="AJ44" s="212">
        <f t="shared" si="42"/>
        <v>1.7474484318746146</v>
      </c>
      <c r="AK44" s="212">
        <f t="shared" si="42"/>
        <v>1.7474484318746146</v>
      </c>
      <c r="AL44" s="212">
        <f t="shared" ref="AL44:BQ44" si="43">IF(AL$22&lt;=$E$24,IF(AL$22&lt;=$D$24,IF(AL$22&lt;=$C$24,IF(AL$22&lt;=$B$24,$B110,($C27-$B27)/($C$24-$B$24)),($D27-$C27)/($D$24-$C$24)),($E27-$D27)/($E$24-$D$24)),$F110)</f>
        <v>1.7474484318746146</v>
      </c>
      <c r="AM44" s="212">
        <f t="shared" si="43"/>
        <v>1.7474484318746146</v>
      </c>
      <c r="AN44" s="212">
        <f t="shared" si="43"/>
        <v>1.7474484318746146</v>
      </c>
      <c r="AO44" s="212">
        <f t="shared" si="43"/>
        <v>1.7474484318746146</v>
      </c>
      <c r="AP44" s="212">
        <f t="shared" si="43"/>
        <v>1.7474484318746146</v>
      </c>
      <c r="AQ44" s="212">
        <f t="shared" si="43"/>
        <v>1.7474484318746146</v>
      </c>
      <c r="AR44" s="212">
        <f t="shared" si="43"/>
        <v>1.7474484318746146</v>
      </c>
      <c r="AS44" s="212">
        <f t="shared" si="43"/>
        <v>1.7474484318746146</v>
      </c>
      <c r="AT44" s="212">
        <f t="shared" si="43"/>
        <v>1.7474484318746146</v>
      </c>
      <c r="AU44" s="212">
        <f t="shared" si="43"/>
        <v>1.7474484318746146</v>
      </c>
      <c r="AV44" s="212">
        <f t="shared" si="43"/>
        <v>1.7474484318746146</v>
      </c>
      <c r="AW44" s="212">
        <f t="shared" si="43"/>
        <v>1.7474484318746146</v>
      </c>
      <c r="AX44" s="212">
        <f t="shared" si="43"/>
        <v>1.7474484318746146</v>
      </c>
      <c r="AY44" s="212">
        <f t="shared" si="43"/>
        <v>1.7474484318746146</v>
      </c>
      <c r="AZ44" s="212">
        <f t="shared" si="43"/>
        <v>1.7474484318746146</v>
      </c>
      <c r="BA44" s="212">
        <f t="shared" si="43"/>
        <v>8.8807016690229759</v>
      </c>
      <c r="BB44" s="212">
        <f t="shared" si="43"/>
        <v>8.8807016690229759</v>
      </c>
      <c r="BC44" s="212">
        <f t="shared" si="43"/>
        <v>8.8807016690229759</v>
      </c>
      <c r="BD44" s="212">
        <f t="shared" si="43"/>
        <v>8.8807016690229759</v>
      </c>
      <c r="BE44" s="212">
        <f t="shared" si="43"/>
        <v>8.8807016690229759</v>
      </c>
      <c r="BF44" s="212">
        <f t="shared" si="43"/>
        <v>8.8807016690229759</v>
      </c>
      <c r="BG44" s="212">
        <f t="shared" si="43"/>
        <v>8.8807016690229759</v>
      </c>
      <c r="BH44" s="212">
        <f t="shared" si="43"/>
        <v>8.8807016690229759</v>
      </c>
      <c r="BI44" s="212">
        <f t="shared" si="43"/>
        <v>8.8807016690229759</v>
      </c>
      <c r="BJ44" s="212">
        <f t="shared" si="43"/>
        <v>8.8807016690229759</v>
      </c>
      <c r="BK44" s="212">
        <f t="shared" si="43"/>
        <v>8.8807016690229759</v>
      </c>
      <c r="BL44" s="212">
        <f t="shared" si="43"/>
        <v>8.8807016690229759</v>
      </c>
      <c r="BM44" s="212">
        <f t="shared" si="43"/>
        <v>8.8807016690229759</v>
      </c>
      <c r="BN44" s="212">
        <f t="shared" si="43"/>
        <v>8.8807016690229759</v>
      </c>
      <c r="BO44" s="212">
        <f t="shared" si="43"/>
        <v>8.8807016690229759</v>
      </c>
      <c r="BP44" s="212">
        <f t="shared" si="43"/>
        <v>8.8807016690229759</v>
      </c>
      <c r="BQ44" s="212">
        <f t="shared" si="43"/>
        <v>8.8807016690229759</v>
      </c>
      <c r="BR44" s="212">
        <f t="shared" ref="BR44:DA44" si="44">IF(BR$22&lt;=$E$24,IF(BR$22&lt;=$D$24,IF(BR$22&lt;=$C$24,IF(BR$22&lt;=$B$24,$B110,($C27-$B27)/($C$24-$B$24)),($D27-$C27)/($D$24-$C$24)),($E27-$D27)/($E$24-$D$24)),$F110)</f>
        <v>8.8807016690229759</v>
      </c>
      <c r="BS44" s="212">
        <f t="shared" si="44"/>
        <v>8.8807016690229759</v>
      </c>
      <c r="BT44" s="212">
        <f t="shared" si="44"/>
        <v>8.8807016690229759</v>
      </c>
      <c r="BU44" s="212">
        <f t="shared" si="44"/>
        <v>8.8807016690229759</v>
      </c>
      <c r="BV44" s="212">
        <f t="shared" si="44"/>
        <v>8.8807016690229759</v>
      </c>
      <c r="BW44" s="212">
        <f t="shared" si="44"/>
        <v>8.8807016690229759</v>
      </c>
      <c r="BX44" s="212">
        <f t="shared" si="44"/>
        <v>8.8807016690229759</v>
      </c>
      <c r="BY44" s="212">
        <f t="shared" si="44"/>
        <v>8.8807016690229759</v>
      </c>
      <c r="BZ44" s="212">
        <f t="shared" si="44"/>
        <v>8.8807016690229759</v>
      </c>
      <c r="CA44" s="212">
        <f t="shared" si="44"/>
        <v>8.8807016690229759</v>
      </c>
      <c r="CB44" s="212">
        <f t="shared" si="44"/>
        <v>8.8807016690229759</v>
      </c>
      <c r="CC44" s="212">
        <f t="shared" si="44"/>
        <v>8.8807016690229759</v>
      </c>
      <c r="CD44" s="212">
        <f t="shared" si="44"/>
        <v>8.8807016690229759</v>
      </c>
      <c r="CE44" s="212">
        <f t="shared" si="44"/>
        <v>8.8807016690229759</v>
      </c>
      <c r="CF44" s="212">
        <f t="shared" si="44"/>
        <v>8.8807016690229759</v>
      </c>
      <c r="CG44" s="212">
        <f t="shared" si="44"/>
        <v>8.8807016690229759</v>
      </c>
      <c r="CH44" s="212">
        <f t="shared" si="44"/>
        <v>9.6588508635664709</v>
      </c>
      <c r="CI44" s="212">
        <f t="shared" si="44"/>
        <v>9.6588508635664709</v>
      </c>
      <c r="CJ44" s="212">
        <f t="shared" si="44"/>
        <v>9.6588508635664709</v>
      </c>
      <c r="CK44" s="212">
        <f t="shared" si="44"/>
        <v>9.6588508635664709</v>
      </c>
      <c r="CL44" s="212">
        <f t="shared" si="44"/>
        <v>9.6588508635664709</v>
      </c>
      <c r="CM44" s="212">
        <f t="shared" si="44"/>
        <v>9.6588508635664709</v>
      </c>
      <c r="CN44" s="212">
        <f t="shared" si="44"/>
        <v>9.6588508635664709</v>
      </c>
      <c r="CO44" s="212">
        <f t="shared" si="44"/>
        <v>9.6588508635664709</v>
      </c>
      <c r="CP44" s="212">
        <f t="shared" si="44"/>
        <v>9.6588508635664709</v>
      </c>
      <c r="CQ44" s="212">
        <f t="shared" si="44"/>
        <v>9.6588508635664709</v>
      </c>
      <c r="CR44" s="212">
        <f t="shared" si="44"/>
        <v>9.6588508635664709</v>
      </c>
      <c r="CS44" s="212">
        <f t="shared" si="44"/>
        <v>9.6588508635664709</v>
      </c>
      <c r="CT44" s="212">
        <f t="shared" si="44"/>
        <v>9.6588508635664709</v>
      </c>
      <c r="CU44" s="212">
        <f t="shared" si="44"/>
        <v>9.6588508635664709</v>
      </c>
      <c r="CV44" s="212">
        <f t="shared" si="44"/>
        <v>9.6588508635664709</v>
      </c>
      <c r="CW44" s="212">
        <f t="shared" si="44"/>
        <v>9.6588508635664709</v>
      </c>
      <c r="CX44" s="212">
        <f t="shared" si="44"/>
        <v>8.4310000000000009</v>
      </c>
      <c r="CY44" s="212">
        <f t="shared" si="44"/>
        <v>8.4310000000000009</v>
      </c>
      <c r="CZ44" s="212">
        <f t="shared" si="44"/>
        <v>8.4310000000000009</v>
      </c>
      <c r="DA44" s="212">
        <f t="shared" si="44"/>
        <v>8.4310000000000009</v>
      </c>
    </row>
    <row r="45" spans="1:105">
      <c r="A45" s="203" t="str">
        <f>Income!A75</f>
        <v>Animal products sold</v>
      </c>
      <c r="F45" s="212">
        <f t="shared" ref="F45:AK45" si="45">IF(F$22&lt;=$E$24,IF(F$22&lt;=$D$24,IF(F$22&lt;=$C$24,IF(F$22&lt;=$B$24,$B111,($C28-$B28)/($C$24-$B$24)),($D28-$C28)/($D$24-$C$24)),($E28-$D28)/($E$24-$D$24)),$F111)</f>
        <v>0</v>
      </c>
      <c r="G45" s="212">
        <f t="shared" si="45"/>
        <v>0</v>
      </c>
      <c r="H45" s="212">
        <f t="shared" si="45"/>
        <v>0</v>
      </c>
      <c r="I45" s="212">
        <f t="shared" si="45"/>
        <v>0</v>
      </c>
      <c r="J45" s="212">
        <f t="shared" si="45"/>
        <v>0</v>
      </c>
      <c r="K45" s="212">
        <f t="shared" si="45"/>
        <v>0</v>
      </c>
      <c r="L45" s="212">
        <f t="shared" si="45"/>
        <v>0</v>
      </c>
      <c r="M45" s="212">
        <f t="shared" si="45"/>
        <v>0</v>
      </c>
      <c r="N45" s="212">
        <f t="shared" si="45"/>
        <v>0</v>
      </c>
      <c r="O45" s="212">
        <f t="shared" si="45"/>
        <v>0</v>
      </c>
      <c r="P45" s="212">
        <f t="shared" si="45"/>
        <v>0</v>
      </c>
      <c r="Q45" s="212">
        <f t="shared" si="45"/>
        <v>0</v>
      </c>
      <c r="R45" s="212">
        <f t="shared" si="45"/>
        <v>0</v>
      </c>
      <c r="S45" s="212">
        <f t="shared" si="45"/>
        <v>0</v>
      </c>
      <c r="T45" s="212">
        <f t="shared" si="45"/>
        <v>0</v>
      </c>
      <c r="U45" s="212">
        <f t="shared" si="45"/>
        <v>0</v>
      </c>
      <c r="V45" s="212">
        <f t="shared" si="45"/>
        <v>0</v>
      </c>
      <c r="W45" s="212">
        <f t="shared" si="45"/>
        <v>0</v>
      </c>
      <c r="X45" s="212">
        <f t="shared" si="45"/>
        <v>0</v>
      </c>
      <c r="Y45" s="212">
        <f t="shared" si="45"/>
        <v>0</v>
      </c>
      <c r="Z45" s="212">
        <f t="shared" si="45"/>
        <v>0</v>
      </c>
      <c r="AA45" s="212">
        <f t="shared" si="45"/>
        <v>0</v>
      </c>
      <c r="AB45" s="212">
        <f t="shared" si="45"/>
        <v>0</v>
      </c>
      <c r="AC45" s="212">
        <f t="shared" si="45"/>
        <v>0</v>
      </c>
      <c r="AD45" s="212">
        <f t="shared" si="45"/>
        <v>0</v>
      </c>
      <c r="AE45" s="212">
        <f t="shared" si="45"/>
        <v>0</v>
      </c>
      <c r="AF45" s="212">
        <f t="shared" si="45"/>
        <v>0</v>
      </c>
      <c r="AG45" s="212">
        <f t="shared" si="45"/>
        <v>0</v>
      </c>
      <c r="AH45" s="212">
        <f t="shared" si="45"/>
        <v>0</v>
      </c>
      <c r="AI45" s="212">
        <f t="shared" si="45"/>
        <v>0</v>
      </c>
      <c r="AJ45" s="212">
        <f t="shared" si="45"/>
        <v>0</v>
      </c>
      <c r="AK45" s="212">
        <f t="shared" si="45"/>
        <v>0</v>
      </c>
      <c r="AL45" s="212">
        <f t="shared" ref="AL45:BQ45" si="46">IF(AL$22&lt;=$E$24,IF(AL$22&lt;=$D$24,IF(AL$22&lt;=$C$24,IF(AL$22&lt;=$B$24,$B111,($C28-$B28)/($C$24-$B$24)),($D28-$C28)/($D$24-$C$24)),($E28-$D28)/($E$24-$D$24)),$F111)</f>
        <v>0</v>
      </c>
      <c r="AM45" s="212">
        <f t="shared" si="46"/>
        <v>0</v>
      </c>
      <c r="AN45" s="212">
        <f t="shared" si="46"/>
        <v>0</v>
      </c>
      <c r="AO45" s="212">
        <f t="shared" si="46"/>
        <v>0</v>
      </c>
      <c r="AP45" s="212">
        <f t="shared" si="46"/>
        <v>0</v>
      </c>
      <c r="AQ45" s="212">
        <f t="shared" si="46"/>
        <v>0</v>
      </c>
      <c r="AR45" s="212">
        <f t="shared" si="46"/>
        <v>0</v>
      </c>
      <c r="AS45" s="212">
        <f t="shared" si="46"/>
        <v>0</v>
      </c>
      <c r="AT45" s="212">
        <f t="shared" si="46"/>
        <v>0</v>
      </c>
      <c r="AU45" s="212">
        <f t="shared" si="46"/>
        <v>0</v>
      </c>
      <c r="AV45" s="212">
        <f t="shared" si="46"/>
        <v>0</v>
      </c>
      <c r="AW45" s="212">
        <f t="shared" si="46"/>
        <v>0</v>
      </c>
      <c r="AX45" s="212">
        <f t="shared" si="46"/>
        <v>0</v>
      </c>
      <c r="AY45" s="212">
        <f t="shared" si="46"/>
        <v>0</v>
      </c>
      <c r="AZ45" s="212">
        <f t="shared" si="46"/>
        <v>0</v>
      </c>
      <c r="BA45" s="212">
        <f t="shared" si="46"/>
        <v>0</v>
      </c>
      <c r="BB45" s="212">
        <f t="shared" si="46"/>
        <v>0</v>
      </c>
      <c r="BC45" s="212">
        <f t="shared" si="46"/>
        <v>0</v>
      </c>
      <c r="BD45" s="212">
        <f t="shared" si="46"/>
        <v>0</v>
      </c>
      <c r="BE45" s="212">
        <f t="shared" si="46"/>
        <v>0</v>
      </c>
      <c r="BF45" s="212">
        <f t="shared" si="46"/>
        <v>0</v>
      </c>
      <c r="BG45" s="212">
        <f t="shared" si="46"/>
        <v>0</v>
      </c>
      <c r="BH45" s="212">
        <f t="shared" si="46"/>
        <v>0</v>
      </c>
      <c r="BI45" s="212">
        <f t="shared" si="46"/>
        <v>0</v>
      </c>
      <c r="BJ45" s="212">
        <f t="shared" si="46"/>
        <v>0</v>
      </c>
      <c r="BK45" s="212">
        <f t="shared" si="46"/>
        <v>0</v>
      </c>
      <c r="BL45" s="212">
        <f t="shared" si="46"/>
        <v>0</v>
      </c>
      <c r="BM45" s="212">
        <f t="shared" si="46"/>
        <v>0</v>
      </c>
      <c r="BN45" s="212">
        <f t="shared" si="46"/>
        <v>0</v>
      </c>
      <c r="BO45" s="212">
        <f t="shared" si="46"/>
        <v>0</v>
      </c>
      <c r="BP45" s="212">
        <f t="shared" si="46"/>
        <v>0</v>
      </c>
      <c r="BQ45" s="212">
        <f t="shared" si="46"/>
        <v>0</v>
      </c>
      <c r="BR45" s="212">
        <f t="shared" ref="BR45:DA45" si="47">IF(BR$22&lt;=$E$24,IF(BR$22&lt;=$D$24,IF(BR$22&lt;=$C$24,IF(BR$22&lt;=$B$24,$B111,($C28-$B28)/($C$24-$B$24)),($D28-$C28)/($D$24-$C$24)),($E28-$D28)/($E$24-$D$24)),$F111)</f>
        <v>0</v>
      </c>
      <c r="BS45" s="212">
        <f t="shared" si="47"/>
        <v>0</v>
      </c>
      <c r="BT45" s="212">
        <f t="shared" si="47"/>
        <v>0</v>
      </c>
      <c r="BU45" s="212">
        <f t="shared" si="47"/>
        <v>0</v>
      </c>
      <c r="BV45" s="212">
        <f t="shared" si="47"/>
        <v>0</v>
      </c>
      <c r="BW45" s="212">
        <f t="shared" si="47"/>
        <v>0</v>
      </c>
      <c r="BX45" s="212">
        <f t="shared" si="47"/>
        <v>0</v>
      </c>
      <c r="BY45" s="212">
        <f t="shared" si="47"/>
        <v>0</v>
      </c>
      <c r="BZ45" s="212">
        <f t="shared" si="47"/>
        <v>0</v>
      </c>
      <c r="CA45" s="212">
        <f t="shared" si="47"/>
        <v>0</v>
      </c>
      <c r="CB45" s="212">
        <f t="shared" si="47"/>
        <v>0</v>
      </c>
      <c r="CC45" s="212">
        <f t="shared" si="47"/>
        <v>0</v>
      </c>
      <c r="CD45" s="212">
        <f t="shared" si="47"/>
        <v>0</v>
      </c>
      <c r="CE45" s="212">
        <f t="shared" si="47"/>
        <v>0</v>
      </c>
      <c r="CF45" s="212">
        <f t="shared" si="47"/>
        <v>0</v>
      </c>
      <c r="CG45" s="212">
        <f t="shared" si="47"/>
        <v>0</v>
      </c>
      <c r="CH45" s="212">
        <f t="shared" si="47"/>
        <v>0</v>
      </c>
      <c r="CI45" s="212">
        <f t="shared" si="47"/>
        <v>0</v>
      </c>
      <c r="CJ45" s="212">
        <f t="shared" si="47"/>
        <v>0</v>
      </c>
      <c r="CK45" s="212">
        <f t="shared" si="47"/>
        <v>0</v>
      </c>
      <c r="CL45" s="212">
        <f t="shared" si="47"/>
        <v>0</v>
      </c>
      <c r="CM45" s="212">
        <f t="shared" si="47"/>
        <v>0</v>
      </c>
      <c r="CN45" s="212">
        <f t="shared" si="47"/>
        <v>0</v>
      </c>
      <c r="CO45" s="212">
        <f t="shared" si="47"/>
        <v>0</v>
      </c>
      <c r="CP45" s="212">
        <f t="shared" si="47"/>
        <v>0</v>
      </c>
      <c r="CQ45" s="212">
        <f t="shared" si="47"/>
        <v>0</v>
      </c>
      <c r="CR45" s="212">
        <f t="shared" si="47"/>
        <v>0</v>
      </c>
      <c r="CS45" s="212">
        <f t="shared" si="47"/>
        <v>0</v>
      </c>
      <c r="CT45" s="212">
        <f t="shared" si="47"/>
        <v>0</v>
      </c>
      <c r="CU45" s="212">
        <f t="shared" si="47"/>
        <v>0</v>
      </c>
      <c r="CV45" s="212">
        <f t="shared" si="47"/>
        <v>0</v>
      </c>
      <c r="CW45" s="212">
        <f t="shared" si="47"/>
        <v>0</v>
      </c>
      <c r="CX45" s="212">
        <f t="shared" si="47"/>
        <v>0</v>
      </c>
      <c r="CY45" s="212">
        <f t="shared" si="47"/>
        <v>0</v>
      </c>
      <c r="CZ45" s="212">
        <f t="shared" si="47"/>
        <v>0</v>
      </c>
      <c r="DA45" s="212">
        <f t="shared" si="47"/>
        <v>0</v>
      </c>
    </row>
    <row r="46" spans="1:105">
      <c r="A46" s="203" t="str">
        <f>Income!A76</f>
        <v>Animals sold</v>
      </c>
      <c r="F46" s="212">
        <f t="shared" ref="F46:AK46" si="48">IF(F$22&lt;=$E$24,IF(F$22&lt;=$D$24,IF(F$22&lt;=$C$24,IF(F$22&lt;=$B$24,$B112,($C29-$B29)/($C$24-$B$24)),($D29-$C29)/($D$24-$C$24)),($E29-$D29)/($E$24-$D$24)),$F112)</f>
        <v>0</v>
      </c>
      <c r="G46" s="212">
        <f t="shared" si="48"/>
        <v>0</v>
      </c>
      <c r="H46" s="212">
        <f t="shared" si="48"/>
        <v>0</v>
      </c>
      <c r="I46" s="212">
        <f t="shared" si="48"/>
        <v>0</v>
      </c>
      <c r="J46" s="212">
        <f t="shared" si="48"/>
        <v>0</v>
      </c>
      <c r="K46" s="212">
        <f t="shared" si="48"/>
        <v>0</v>
      </c>
      <c r="L46" s="212">
        <f t="shared" si="48"/>
        <v>0</v>
      </c>
      <c r="M46" s="212">
        <f t="shared" si="48"/>
        <v>0</v>
      </c>
      <c r="N46" s="212">
        <f t="shared" si="48"/>
        <v>0</v>
      </c>
      <c r="O46" s="212">
        <f t="shared" si="48"/>
        <v>0</v>
      </c>
      <c r="P46" s="212">
        <f t="shared" si="48"/>
        <v>0</v>
      </c>
      <c r="Q46" s="212">
        <f t="shared" si="48"/>
        <v>0</v>
      </c>
      <c r="R46" s="212">
        <f t="shared" si="48"/>
        <v>0</v>
      </c>
      <c r="S46" s="212">
        <f t="shared" si="48"/>
        <v>122.82117647058824</v>
      </c>
      <c r="T46" s="212">
        <f t="shared" si="48"/>
        <v>122.82117647058824</v>
      </c>
      <c r="U46" s="212">
        <f t="shared" si="48"/>
        <v>122.82117647058824</v>
      </c>
      <c r="V46" s="212">
        <f t="shared" si="48"/>
        <v>122.82117647058824</v>
      </c>
      <c r="W46" s="212">
        <f t="shared" si="48"/>
        <v>122.82117647058824</v>
      </c>
      <c r="X46" s="212">
        <f t="shared" si="48"/>
        <v>122.82117647058824</v>
      </c>
      <c r="Y46" s="212">
        <f t="shared" si="48"/>
        <v>122.82117647058824</v>
      </c>
      <c r="Z46" s="212">
        <f t="shared" si="48"/>
        <v>122.82117647058824</v>
      </c>
      <c r="AA46" s="212">
        <f t="shared" si="48"/>
        <v>122.82117647058824</v>
      </c>
      <c r="AB46" s="212">
        <f t="shared" si="48"/>
        <v>122.82117647058824</v>
      </c>
      <c r="AC46" s="212">
        <f t="shared" si="48"/>
        <v>122.82117647058824</v>
      </c>
      <c r="AD46" s="212">
        <f t="shared" si="48"/>
        <v>122.82117647058824</v>
      </c>
      <c r="AE46" s="212">
        <f t="shared" si="48"/>
        <v>122.82117647058824</v>
      </c>
      <c r="AF46" s="212">
        <f t="shared" si="48"/>
        <v>122.82117647058824</v>
      </c>
      <c r="AG46" s="212">
        <f t="shared" si="48"/>
        <v>122.82117647058824</v>
      </c>
      <c r="AH46" s="212">
        <f t="shared" si="48"/>
        <v>122.82117647058824</v>
      </c>
      <c r="AI46" s="212">
        <f t="shared" si="48"/>
        <v>122.82117647058824</v>
      </c>
      <c r="AJ46" s="212">
        <f t="shared" si="48"/>
        <v>122.82117647058824</v>
      </c>
      <c r="AK46" s="212">
        <f t="shared" si="48"/>
        <v>122.82117647058824</v>
      </c>
      <c r="AL46" s="212">
        <f t="shared" ref="AL46:BQ46" si="49">IF(AL$22&lt;=$E$24,IF(AL$22&lt;=$D$24,IF(AL$22&lt;=$C$24,IF(AL$22&lt;=$B$24,$B112,($C29-$B29)/($C$24-$B$24)),($D29-$C29)/($D$24-$C$24)),($E29-$D29)/($E$24-$D$24)),$F112)</f>
        <v>122.82117647058824</v>
      </c>
      <c r="AM46" s="212">
        <f t="shared" si="49"/>
        <v>122.82117647058824</v>
      </c>
      <c r="AN46" s="212">
        <f t="shared" si="49"/>
        <v>122.82117647058824</v>
      </c>
      <c r="AO46" s="212">
        <f t="shared" si="49"/>
        <v>122.82117647058824</v>
      </c>
      <c r="AP46" s="212">
        <f t="shared" si="49"/>
        <v>122.82117647058824</v>
      </c>
      <c r="AQ46" s="212">
        <f t="shared" si="49"/>
        <v>122.82117647058824</v>
      </c>
      <c r="AR46" s="212">
        <f t="shared" si="49"/>
        <v>122.82117647058824</v>
      </c>
      <c r="AS46" s="212">
        <f t="shared" si="49"/>
        <v>122.82117647058824</v>
      </c>
      <c r="AT46" s="212">
        <f t="shared" si="49"/>
        <v>122.82117647058824</v>
      </c>
      <c r="AU46" s="212">
        <f t="shared" si="49"/>
        <v>122.82117647058824</v>
      </c>
      <c r="AV46" s="212">
        <f t="shared" si="49"/>
        <v>122.82117647058824</v>
      </c>
      <c r="AW46" s="212">
        <f t="shared" si="49"/>
        <v>122.82117647058824</v>
      </c>
      <c r="AX46" s="212">
        <f t="shared" si="49"/>
        <v>122.82117647058824</v>
      </c>
      <c r="AY46" s="212">
        <f t="shared" si="49"/>
        <v>122.82117647058824</v>
      </c>
      <c r="AZ46" s="212">
        <f t="shared" si="49"/>
        <v>122.82117647058824</v>
      </c>
      <c r="BA46" s="212">
        <f t="shared" si="49"/>
        <v>223.71151515151513</v>
      </c>
      <c r="BB46" s="212">
        <f t="shared" si="49"/>
        <v>223.71151515151513</v>
      </c>
      <c r="BC46" s="212">
        <f t="shared" si="49"/>
        <v>223.71151515151513</v>
      </c>
      <c r="BD46" s="212">
        <f t="shared" si="49"/>
        <v>223.71151515151513</v>
      </c>
      <c r="BE46" s="212">
        <f t="shared" si="49"/>
        <v>223.71151515151513</v>
      </c>
      <c r="BF46" s="212">
        <f t="shared" si="49"/>
        <v>223.71151515151513</v>
      </c>
      <c r="BG46" s="212">
        <f t="shared" si="49"/>
        <v>223.71151515151513</v>
      </c>
      <c r="BH46" s="212">
        <f t="shared" si="49"/>
        <v>223.71151515151513</v>
      </c>
      <c r="BI46" s="212">
        <f t="shared" si="49"/>
        <v>223.71151515151513</v>
      </c>
      <c r="BJ46" s="212">
        <f t="shared" si="49"/>
        <v>223.71151515151513</v>
      </c>
      <c r="BK46" s="212">
        <f t="shared" si="49"/>
        <v>223.71151515151513</v>
      </c>
      <c r="BL46" s="212">
        <f t="shared" si="49"/>
        <v>223.71151515151513</v>
      </c>
      <c r="BM46" s="212">
        <f t="shared" si="49"/>
        <v>223.71151515151513</v>
      </c>
      <c r="BN46" s="212">
        <f t="shared" si="49"/>
        <v>223.71151515151513</v>
      </c>
      <c r="BO46" s="212">
        <f t="shared" si="49"/>
        <v>223.71151515151513</v>
      </c>
      <c r="BP46" s="212">
        <f t="shared" si="49"/>
        <v>223.71151515151513</v>
      </c>
      <c r="BQ46" s="212">
        <f t="shared" si="49"/>
        <v>223.71151515151513</v>
      </c>
      <c r="BR46" s="212">
        <f t="shared" ref="BR46:DA46" si="50">IF(BR$22&lt;=$E$24,IF(BR$22&lt;=$D$24,IF(BR$22&lt;=$C$24,IF(BR$22&lt;=$B$24,$B112,($C29-$B29)/($C$24-$B$24)),($D29-$C29)/($D$24-$C$24)),($E29-$D29)/($E$24-$D$24)),$F112)</f>
        <v>223.71151515151513</v>
      </c>
      <c r="BS46" s="212">
        <f t="shared" si="50"/>
        <v>223.71151515151513</v>
      </c>
      <c r="BT46" s="212">
        <f t="shared" si="50"/>
        <v>223.71151515151513</v>
      </c>
      <c r="BU46" s="212">
        <f t="shared" si="50"/>
        <v>223.71151515151513</v>
      </c>
      <c r="BV46" s="212">
        <f t="shared" si="50"/>
        <v>223.71151515151513</v>
      </c>
      <c r="BW46" s="212">
        <f t="shared" si="50"/>
        <v>223.71151515151513</v>
      </c>
      <c r="BX46" s="212">
        <f t="shared" si="50"/>
        <v>223.71151515151513</v>
      </c>
      <c r="BY46" s="212">
        <f t="shared" si="50"/>
        <v>223.71151515151513</v>
      </c>
      <c r="BZ46" s="212">
        <f t="shared" si="50"/>
        <v>223.71151515151513</v>
      </c>
      <c r="CA46" s="212">
        <f t="shared" si="50"/>
        <v>223.71151515151513</v>
      </c>
      <c r="CB46" s="212">
        <f t="shared" si="50"/>
        <v>223.71151515151513</v>
      </c>
      <c r="CC46" s="212">
        <f t="shared" si="50"/>
        <v>223.71151515151513</v>
      </c>
      <c r="CD46" s="212">
        <f t="shared" si="50"/>
        <v>223.71151515151513</v>
      </c>
      <c r="CE46" s="212">
        <f t="shared" si="50"/>
        <v>223.71151515151513</v>
      </c>
      <c r="CF46" s="212">
        <f t="shared" si="50"/>
        <v>223.71151515151513</v>
      </c>
      <c r="CG46" s="212">
        <f t="shared" si="50"/>
        <v>223.71151515151513</v>
      </c>
      <c r="CH46" s="212">
        <f t="shared" si="50"/>
        <v>100.79999999999984</v>
      </c>
      <c r="CI46" s="212">
        <f t="shared" si="50"/>
        <v>100.79999999999984</v>
      </c>
      <c r="CJ46" s="212">
        <f t="shared" si="50"/>
        <v>100.79999999999984</v>
      </c>
      <c r="CK46" s="212">
        <f t="shared" si="50"/>
        <v>100.79999999999984</v>
      </c>
      <c r="CL46" s="212">
        <f t="shared" si="50"/>
        <v>100.79999999999984</v>
      </c>
      <c r="CM46" s="212">
        <f t="shared" si="50"/>
        <v>100.79999999999984</v>
      </c>
      <c r="CN46" s="212">
        <f t="shared" si="50"/>
        <v>100.79999999999984</v>
      </c>
      <c r="CO46" s="212">
        <f t="shared" si="50"/>
        <v>100.79999999999984</v>
      </c>
      <c r="CP46" s="212">
        <f t="shared" si="50"/>
        <v>100.79999999999984</v>
      </c>
      <c r="CQ46" s="212">
        <f t="shared" si="50"/>
        <v>100.79999999999984</v>
      </c>
      <c r="CR46" s="212">
        <f t="shared" si="50"/>
        <v>100.79999999999984</v>
      </c>
      <c r="CS46" s="212">
        <f t="shared" si="50"/>
        <v>100.79999999999984</v>
      </c>
      <c r="CT46" s="212">
        <f t="shared" si="50"/>
        <v>100.79999999999984</v>
      </c>
      <c r="CU46" s="212">
        <f t="shared" si="50"/>
        <v>100.79999999999984</v>
      </c>
      <c r="CV46" s="212">
        <f t="shared" si="50"/>
        <v>100.79999999999984</v>
      </c>
      <c r="CW46" s="212">
        <f t="shared" si="50"/>
        <v>100.79999999999984</v>
      </c>
      <c r="CX46" s="212">
        <f t="shared" si="50"/>
        <v>0</v>
      </c>
      <c r="CY46" s="212">
        <f t="shared" si="50"/>
        <v>0</v>
      </c>
      <c r="CZ46" s="212">
        <f t="shared" si="50"/>
        <v>0</v>
      </c>
      <c r="DA46" s="212">
        <f t="shared" si="50"/>
        <v>0</v>
      </c>
    </row>
    <row r="47" spans="1:105">
      <c r="A47" s="203" t="str">
        <f>Income!A77</f>
        <v>Wild foods consumed and sold</v>
      </c>
      <c r="F47" s="212">
        <f t="shared" ref="F47:AK47" si="51">IF(F$22&lt;=$E$24,IF(F$22&lt;=$D$24,IF(F$22&lt;=$C$24,IF(F$22&lt;=$B$24,$B113,($C30-$B30)/($C$24-$B$24)),($D30-$C30)/($D$24-$C$24)),($E30-$D30)/($E$24-$D$24)),$F113)</f>
        <v>0</v>
      </c>
      <c r="G47" s="212">
        <f t="shared" si="51"/>
        <v>0</v>
      </c>
      <c r="H47" s="212">
        <f t="shared" si="51"/>
        <v>0</v>
      </c>
      <c r="I47" s="212">
        <f t="shared" si="51"/>
        <v>0</v>
      </c>
      <c r="J47" s="212">
        <f t="shared" si="51"/>
        <v>0</v>
      </c>
      <c r="K47" s="212">
        <f t="shared" si="51"/>
        <v>0</v>
      </c>
      <c r="L47" s="212">
        <f t="shared" si="51"/>
        <v>0</v>
      </c>
      <c r="M47" s="212">
        <f t="shared" si="51"/>
        <v>0</v>
      </c>
      <c r="N47" s="212">
        <f t="shared" si="51"/>
        <v>0</v>
      </c>
      <c r="O47" s="212">
        <f t="shared" si="51"/>
        <v>0</v>
      </c>
      <c r="P47" s="212">
        <f t="shared" si="51"/>
        <v>0</v>
      </c>
      <c r="Q47" s="212">
        <f t="shared" si="51"/>
        <v>0</v>
      </c>
      <c r="R47" s="212">
        <f t="shared" si="51"/>
        <v>0</v>
      </c>
      <c r="S47" s="212">
        <f t="shared" si="51"/>
        <v>0</v>
      </c>
      <c r="T47" s="212">
        <f t="shared" si="51"/>
        <v>0</v>
      </c>
      <c r="U47" s="212">
        <f t="shared" si="51"/>
        <v>0</v>
      </c>
      <c r="V47" s="212">
        <f t="shared" si="51"/>
        <v>0</v>
      </c>
      <c r="W47" s="212">
        <f t="shared" si="51"/>
        <v>0</v>
      </c>
      <c r="X47" s="212">
        <f t="shared" si="51"/>
        <v>0</v>
      </c>
      <c r="Y47" s="212">
        <f t="shared" si="51"/>
        <v>0</v>
      </c>
      <c r="Z47" s="212">
        <f t="shared" si="51"/>
        <v>0</v>
      </c>
      <c r="AA47" s="212">
        <f t="shared" si="51"/>
        <v>0</v>
      </c>
      <c r="AB47" s="212">
        <f t="shared" si="51"/>
        <v>0</v>
      </c>
      <c r="AC47" s="212">
        <f t="shared" si="51"/>
        <v>0</v>
      </c>
      <c r="AD47" s="212">
        <f t="shared" si="51"/>
        <v>0</v>
      </c>
      <c r="AE47" s="212">
        <f t="shared" si="51"/>
        <v>0</v>
      </c>
      <c r="AF47" s="212">
        <f t="shared" si="51"/>
        <v>0</v>
      </c>
      <c r="AG47" s="212">
        <f t="shared" si="51"/>
        <v>0</v>
      </c>
      <c r="AH47" s="212">
        <f t="shared" si="51"/>
        <v>0</v>
      </c>
      <c r="AI47" s="212">
        <f t="shared" si="51"/>
        <v>0</v>
      </c>
      <c r="AJ47" s="212">
        <f t="shared" si="51"/>
        <v>0</v>
      </c>
      <c r="AK47" s="212">
        <f t="shared" si="51"/>
        <v>0</v>
      </c>
      <c r="AL47" s="212">
        <f t="shared" ref="AL47:BQ47" si="52">IF(AL$22&lt;=$E$24,IF(AL$22&lt;=$D$24,IF(AL$22&lt;=$C$24,IF(AL$22&lt;=$B$24,$B113,($C30-$B30)/($C$24-$B$24)),($D30-$C30)/($D$24-$C$24)),($E30-$D30)/($E$24-$D$24)),$F113)</f>
        <v>0</v>
      </c>
      <c r="AM47" s="212">
        <f t="shared" si="52"/>
        <v>0</v>
      </c>
      <c r="AN47" s="212">
        <f t="shared" si="52"/>
        <v>0</v>
      </c>
      <c r="AO47" s="212">
        <f t="shared" si="52"/>
        <v>0</v>
      </c>
      <c r="AP47" s="212">
        <f t="shared" si="52"/>
        <v>0</v>
      </c>
      <c r="AQ47" s="212">
        <f t="shared" si="52"/>
        <v>0</v>
      </c>
      <c r="AR47" s="212">
        <f t="shared" si="52"/>
        <v>0</v>
      </c>
      <c r="AS47" s="212">
        <f t="shared" si="52"/>
        <v>0</v>
      </c>
      <c r="AT47" s="212">
        <f t="shared" si="52"/>
        <v>0</v>
      </c>
      <c r="AU47" s="212">
        <f t="shared" si="52"/>
        <v>0</v>
      </c>
      <c r="AV47" s="212">
        <f t="shared" si="52"/>
        <v>0</v>
      </c>
      <c r="AW47" s="212">
        <f t="shared" si="52"/>
        <v>0</v>
      </c>
      <c r="AX47" s="212">
        <f t="shared" si="52"/>
        <v>0</v>
      </c>
      <c r="AY47" s="212">
        <f t="shared" si="52"/>
        <v>0</v>
      </c>
      <c r="AZ47" s="212">
        <f t="shared" si="52"/>
        <v>0</v>
      </c>
      <c r="BA47" s="212">
        <f t="shared" si="52"/>
        <v>0</v>
      </c>
      <c r="BB47" s="212">
        <f t="shared" si="52"/>
        <v>0</v>
      </c>
      <c r="BC47" s="212">
        <f t="shared" si="52"/>
        <v>0</v>
      </c>
      <c r="BD47" s="212">
        <f t="shared" si="52"/>
        <v>0</v>
      </c>
      <c r="BE47" s="212">
        <f t="shared" si="52"/>
        <v>0</v>
      </c>
      <c r="BF47" s="212">
        <f t="shared" si="52"/>
        <v>0</v>
      </c>
      <c r="BG47" s="212">
        <f t="shared" si="52"/>
        <v>0</v>
      </c>
      <c r="BH47" s="212">
        <f t="shared" si="52"/>
        <v>0</v>
      </c>
      <c r="BI47" s="212">
        <f t="shared" si="52"/>
        <v>0</v>
      </c>
      <c r="BJ47" s="212">
        <f t="shared" si="52"/>
        <v>0</v>
      </c>
      <c r="BK47" s="212">
        <f t="shared" si="52"/>
        <v>0</v>
      </c>
      <c r="BL47" s="212">
        <f t="shared" si="52"/>
        <v>0</v>
      </c>
      <c r="BM47" s="212">
        <f t="shared" si="52"/>
        <v>0</v>
      </c>
      <c r="BN47" s="212">
        <f t="shared" si="52"/>
        <v>0</v>
      </c>
      <c r="BO47" s="212">
        <f t="shared" si="52"/>
        <v>0</v>
      </c>
      <c r="BP47" s="212">
        <f t="shared" si="52"/>
        <v>0</v>
      </c>
      <c r="BQ47" s="212">
        <f t="shared" si="52"/>
        <v>0</v>
      </c>
      <c r="BR47" s="212">
        <f t="shared" ref="BR47:DA47" si="53">IF(BR$22&lt;=$E$24,IF(BR$22&lt;=$D$24,IF(BR$22&lt;=$C$24,IF(BR$22&lt;=$B$24,$B113,($C30-$B30)/($C$24-$B$24)),($D30-$C30)/($D$24-$C$24)),($E30-$D30)/($E$24-$D$24)),$F113)</f>
        <v>0</v>
      </c>
      <c r="BS47" s="212">
        <f t="shared" si="53"/>
        <v>0</v>
      </c>
      <c r="BT47" s="212">
        <f t="shared" si="53"/>
        <v>0</v>
      </c>
      <c r="BU47" s="212">
        <f t="shared" si="53"/>
        <v>0</v>
      </c>
      <c r="BV47" s="212">
        <f t="shared" si="53"/>
        <v>0</v>
      </c>
      <c r="BW47" s="212">
        <f t="shared" si="53"/>
        <v>0</v>
      </c>
      <c r="BX47" s="212">
        <f t="shared" si="53"/>
        <v>0</v>
      </c>
      <c r="BY47" s="212">
        <f t="shared" si="53"/>
        <v>0</v>
      </c>
      <c r="BZ47" s="212">
        <f t="shared" si="53"/>
        <v>0</v>
      </c>
      <c r="CA47" s="212">
        <f t="shared" si="53"/>
        <v>0</v>
      </c>
      <c r="CB47" s="212">
        <f t="shared" si="53"/>
        <v>0</v>
      </c>
      <c r="CC47" s="212">
        <f t="shared" si="53"/>
        <v>0</v>
      </c>
      <c r="CD47" s="212">
        <f t="shared" si="53"/>
        <v>0</v>
      </c>
      <c r="CE47" s="212">
        <f t="shared" si="53"/>
        <v>0</v>
      </c>
      <c r="CF47" s="212">
        <f t="shared" si="53"/>
        <v>0</v>
      </c>
      <c r="CG47" s="212">
        <f t="shared" si="53"/>
        <v>0</v>
      </c>
      <c r="CH47" s="212">
        <f t="shared" si="53"/>
        <v>0</v>
      </c>
      <c r="CI47" s="212">
        <f t="shared" si="53"/>
        <v>0</v>
      </c>
      <c r="CJ47" s="212">
        <f t="shared" si="53"/>
        <v>0</v>
      </c>
      <c r="CK47" s="212">
        <f t="shared" si="53"/>
        <v>0</v>
      </c>
      <c r="CL47" s="212">
        <f t="shared" si="53"/>
        <v>0</v>
      </c>
      <c r="CM47" s="212">
        <f t="shared" si="53"/>
        <v>0</v>
      </c>
      <c r="CN47" s="212">
        <f t="shared" si="53"/>
        <v>0</v>
      </c>
      <c r="CO47" s="212">
        <f t="shared" si="53"/>
        <v>0</v>
      </c>
      <c r="CP47" s="212">
        <f t="shared" si="53"/>
        <v>0</v>
      </c>
      <c r="CQ47" s="212">
        <f t="shared" si="53"/>
        <v>0</v>
      </c>
      <c r="CR47" s="212">
        <f t="shared" si="53"/>
        <v>0</v>
      </c>
      <c r="CS47" s="212">
        <f t="shared" si="53"/>
        <v>0</v>
      </c>
      <c r="CT47" s="212">
        <f t="shared" si="53"/>
        <v>0</v>
      </c>
      <c r="CU47" s="212">
        <f t="shared" si="53"/>
        <v>0</v>
      </c>
      <c r="CV47" s="212">
        <f t="shared" si="53"/>
        <v>0</v>
      </c>
      <c r="CW47" s="212">
        <f t="shared" si="53"/>
        <v>0</v>
      </c>
      <c r="CX47" s="212">
        <f t="shared" si="53"/>
        <v>52.189999999999884</v>
      </c>
      <c r="CY47" s="212">
        <f t="shared" si="53"/>
        <v>52.189999999999884</v>
      </c>
      <c r="CZ47" s="212">
        <f t="shared" si="53"/>
        <v>52.189999999999884</v>
      </c>
      <c r="DA47" s="212">
        <f t="shared" si="53"/>
        <v>52.189999999999884</v>
      </c>
    </row>
    <row r="48" spans="1:105">
      <c r="A48" s="203" t="str">
        <f>Income!A78</f>
        <v>Labour - casual</v>
      </c>
      <c r="F48" s="212">
        <f t="shared" ref="F48:AK48" si="54">IF(F$22&lt;=$E$24,IF(F$22&lt;=$D$24,IF(F$22&lt;=$C$24,IF(F$22&lt;=$B$24,$B114,($C31-$B31)/($C$24-$B$24)),($D31-$C31)/($D$24-$C$24)),($E31-$D31)/($E$24-$D$24)),$F114)</f>
        <v>0</v>
      </c>
      <c r="G48" s="212">
        <f t="shared" si="54"/>
        <v>0</v>
      </c>
      <c r="H48" s="212">
        <f t="shared" si="54"/>
        <v>0</v>
      </c>
      <c r="I48" s="212">
        <f t="shared" si="54"/>
        <v>0</v>
      </c>
      <c r="J48" s="212">
        <f t="shared" si="54"/>
        <v>0</v>
      </c>
      <c r="K48" s="212">
        <f t="shared" si="54"/>
        <v>0</v>
      </c>
      <c r="L48" s="212">
        <f t="shared" si="54"/>
        <v>0</v>
      </c>
      <c r="M48" s="212">
        <f t="shared" si="54"/>
        <v>0</v>
      </c>
      <c r="N48" s="212">
        <f t="shared" si="54"/>
        <v>0</v>
      </c>
      <c r="O48" s="212">
        <f t="shared" si="54"/>
        <v>0</v>
      </c>
      <c r="P48" s="212">
        <f t="shared" si="54"/>
        <v>0</v>
      </c>
      <c r="Q48" s="212">
        <f t="shared" si="54"/>
        <v>0</v>
      </c>
      <c r="R48" s="212">
        <f t="shared" si="54"/>
        <v>0</v>
      </c>
      <c r="S48" s="212">
        <f t="shared" si="54"/>
        <v>185.86103347416315</v>
      </c>
      <c r="T48" s="212">
        <f t="shared" si="54"/>
        <v>185.86103347416315</v>
      </c>
      <c r="U48" s="212">
        <f t="shared" si="54"/>
        <v>185.86103347416315</v>
      </c>
      <c r="V48" s="212">
        <f t="shared" si="54"/>
        <v>185.86103347416315</v>
      </c>
      <c r="W48" s="212">
        <f t="shared" si="54"/>
        <v>185.86103347416315</v>
      </c>
      <c r="X48" s="212">
        <f t="shared" si="54"/>
        <v>185.86103347416315</v>
      </c>
      <c r="Y48" s="212">
        <f t="shared" si="54"/>
        <v>185.86103347416315</v>
      </c>
      <c r="Z48" s="212">
        <f t="shared" si="54"/>
        <v>185.86103347416315</v>
      </c>
      <c r="AA48" s="212">
        <f t="shared" si="54"/>
        <v>185.86103347416315</v>
      </c>
      <c r="AB48" s="212">
        <f t="shared" si="54"/>
        <v>185.86103347416315</v>
      </c>
      <c r="AC48" s="212">
        <f t="shared" si="54"/>
        <v>185.86103347416315</v>
      </c>
      <c r="AD48" s="212">
        <f t="shared" si="54"/>
        <v>185.86103347416315</v>
      </c>
      <c r="AE48" s="212">
        <f t="shared" si="54"/>
        <v>185.86103347416315</v>
      </c>
      <c r="AF48" s="212">
        <f t="shared" si="54"/>
        <v>185.86103347416315</v>
      </c>
      <c r="AG48" s="212">
        <f t="shared" si="54"/>
        <v>185.86103347416315</v>
      </c>
      <c r="AH48" s="212">
        <f t="shared" si="54"/>
        <v>185.86103347416315</v>
      </c>
      <c r="AI48" s="212">
        <f t="shared" si="54"/>
        <v>185.86103347416315</v>
      </c>
      <c r="AJ48" s="212">
        <f t="shared" si="54"/>
        <v>185.86103347416315</v>
      </c>
      <c r="AK48" s="212">
        <f t="shared" si="54"/>
        <v>185.86103347416315</v>
      </c>
      <c r="AL48" s="212">
        <f t="shared" ref="AL48:BQ48" si="55">IF(AL$22&lt;=$E$24,IF(AL$22&lt;=$D$24,IF(AL$22&lt;=$C$24,IF(AL$22&lt;=$B$24,$B114,($C31-$B31)/($C$24-$B$24)),($D31-$C31)/($D$24-$C$24)),($E31-$D31)/($E$24-$D$24)),$F114)</f>
        <v>185.86103347416315</v>
      </c>
      <c r="AM48" s="212">
        <f t="shared" si="55"/>
        <v>185.86103347416315</v>
      </c>
      <c r="AN48" s="212">
        <f t="shared" si="55"/>
        <v>185.86103347416315</v>
      </c>
      <c r="AO48" s="212">
        <f t="shared" si="55"/>
        <v>185.86103347416315</v>
      </c>
      <c r="AP48" s="212">
        <f t="shared" si="55"/>
        <v>185.86103347416315</v>
      </c>
      <c r="AQ48" s="212">
        <f t="shared" si="55"/>
        <v>185.86103347416315</v>
      </c>
      <c r="AR48" s="212">
        <f t="shared" si="55"/>
        <v>185.86103347416315</v>
      </c>
      <c r="AS48" s="212">
        <f t="shared" si="55"/>
        <v>185.86103347416315</v>
      </c>
      <c r="AT48" s="212">
        <f t="shared" si="55"/>
        <v>185.86103347416315</v>
      </c>
      <c r="AU48" s="212">
        <f t="shared" si="55"/>
        <v>185.86103347416315</v>
      </c>
      <c r="AV48" s="212">
        <f t="shared" si="55"/>
        <v>185.86103347416315</v>
      </c>
      <c r="AW48" s="212">
        <f t="shared" si="55"/>
        <v>185.86103347416315</v>
      </c>
      <c r="AX48" s="212">
        <f t="shared" si="55"/>
        <v>185.86103347416315</v>
      </c>
      <c r="AY48" s="212">
        <f t="shared" si="55"/>
        <v>185.86103347416315</v>
      </c>
      <c r="AZ48" s="212">
        <f t="shared" si="55"/>
        <v>185.86103347416315</v>
      </c>
      <c r="BA48" s="212">
        <f t="shared" si="55"/>
        <v>-448.75379206428926</v>
      </c>
      <c r="BB48" s="212">
        <f t="shared" si="55"/>
        <v>-448.75379206428926</v>
      </c>
      <c r="BC48" s="212">
        <f t="shared" si="55"/>
        <v>-448.75379206428926</v>
      </c>
      <c r="BD48" s="212">
        <f t="shared" si="55"/>
        <v>-448.75379206428926</v>
      </c>
      <c r="BE48" s="212">
        <f t="shared" si="55"/>
        <v>-448.75379206428926</v>
      </c>
      <c r="BF48" s="212">
        <f t="shared" si="55"/>
        <v>-448.75379206428926</v>
      </c>
      <c r="BG48" s="212">
        <f t="shared" si="55"/>
        <v>-448.75379206428926</v>
      </c>
      <c r="BH48" s="212">
        <f t="shared" si="55"/>
        <v>-448.75379206428926</v>
      </c>
      <c r="BI48" s="212">
        <f t="shared" si="55"/>
        <v>-448.75379206428926</v>
      </c>
      <c r="BJ48" s="212">
        <f t="shared" si="55"/>
        <v>-448.75379206428926</v>
      </c>
      <c r="BK48" s="212">
        <f t="shared" si="55"/>
        <v>-448.75379206428926</v>
      </c>
      <c r="BL48" s="212">
        <f t="shared" si="55"/>
        <v>-448.75379206428926</v>
      </c>
      <c r="BM48" s="212">
        <f t="shared" si="55"/>
        <v>-448.75379206428926</v>
      </c>
      <c r="BN48" s="212">
        <f t="shared" si="55"/>
        <v>-448.75379206428926</v>
      </c>
      <c r="BO48" s="212">
        <f t="shared" si="55"/>
        <v>-448.75379206428926</v>
      </c>
      <c r="BP48" s="212">
        <f t="shared" si="55"/>
        <v>-448.75379206428926</v>
      </c>
      <c r="BQ48" s="212">
        <f t="shared" si="55"/>
        <v>-448.75379206428926</v>
      </c>
      <c r="BR48" s="212">
        <f t="shared" ref="BR48:DA48" si="56">IF(BR$22&lt;=$E$24,IF(BR$22&lt;=$D$24,IF(BR$22&lt;=$C$24,IF(BR$22&lt;=$B$24,$B114,($C31-$B31)/($C$24-$B$24)),($D31-$C31)/($D$24-$C$24)),($E31-$D31)/($E$24-$D$24)),$F114)</f>
        <v>-448.75379206428926</v>
      </c>
      <c r="BS48" s="212">
        <f t="shared" si="56"/>
        <v>-448.75379206428926</v>
      </c>
      <c r="BT48" s="212">
        <f t="shared" si="56"/>
        <v>-448.75379206428926</v>
      </c>
      <c r="BU48" s="212">
        <f t="shared" si="56"/>
        <v>-448.75379206428926</v>
      </c>
      <c r="BV48" s="212">
        <f t="shared" si="56"/>
        <v>-448.75379206428926</v>
      </c>
      <c r="BW48" s="212">
        <f t="shared" si="56"/>
        <v>-448.75379206428926</v>
      </c>
      <c r="BX48" s="212">
        <f t="shared" si="56"/>
        <v>-448.75379206428926</v>
      </c>
      <c r="BY48" s="212">
        <f t="shared" si="56"/>
        <v>-448.75379206428926</v>
      </c>
      <c r="BZ48" s="212">
        <f t="shared" si="56"/>
        <v>-448.75379206428926</v>
      </c>
      <c r="CA48" s="212">
        <f t="shared" si="56"/>
        <v>-448.75379206428926</v>
      </c>
      <c r="CB48" s="212">
        <f t="shared" si="56"/>
        <v>-448.75379206428926</v>
      </c>
      <c r="CC48" s="212">
        <f t="shared" si="56"/>
        <v>-448.75379206428926</v>
      </c>
      <c r="CD48" s="212">
        <f t="shared" si="56"/>
        <v>-448.75379206428926</v>
      </c>
      <c r="CE48" s="212">
        <f t="shared" si="56"/>
        <v>-448.75379206428926</v>
      </c>
      <c r="CF48" s="212">
        <f t="shared" si="56"/>
        <v>-448.75379206428926</v>
      </c>
      <c r="CG48" s="212">
        <f t="shared" si="56"/>
        <v>-448.75379206428926</v>
      </c>
      <c r="CH48" s="212">
        <f t="shared" si="56"/>
        <v>0</v>
      </c>
      <c r="CI48" s="212">
        <f t="shared" si="56"/>
        <v>0</v>
      </c>
      <c r="CJ48" s="212">
        <f t="shared" si="56"/>
        <v>0</v>
      </c>
      <c r="CK48" s="212">
        <f t="shared" si="56"/>
        <v>0</v>
      </c>
      <c r="CL48" s="212">
        <f t="shared" si="56"/>
        <v>0</v>
      </c>
      <c r="CM48" s="212">
        <f t="shared" si="56"/>
        <v>0</v>
      </c>
      <c r="CN48" s="212">
        <f t="shared" si="56"/>
        <v>0</v>
      </c>
      <c r="CO48" s="212">
        <f t="shared" si="56"/>
        <v>0</v>
      </c>
      <c r="CP48" s="212">
        <f t="shared" si="56"/>
        <v>0</v>
      </c>
      <c r="CQ48" s="212">
        <f t="shared" si="56"/>
        <v>0</v>
      </c>
      <c r="CR48" s="212">
        <f t="shared" si="56"/>
        <v>0</v>
      </c>
      <c r="CS48" s="212">
        <f t="shared" si="56"/>
        <v>0</v>
      </c>
      <c r="CT48" s="212">
        <f t="shared" si="56"/>
        <v>0</v>
      </c>
      <c r="CU48" s="212">
        <f t="shared" si="56"/>
        <v>0</v>
      </c>
      <c r="CV48" s="212">
        <f t="shared" si="56"/>
        <v>0</v>
      </c>
      <c r="CW48" s="212">
        <f t="shared" si="56"/>
        <v>0</v>
      </c>
      <c r="CX48" s="212">
        <f t="shared" si="56"/>
        <v>0</v>
      </c>
      <c r="CY48" s="212">
        <f t="shared" si="56"/>
        <v>0</v>
      </c>
      <c r="CZ48" s="212">
        <f t="shared" si="56"/>
        <v>0</v>
      </c>
      <c r="DA48" s="212">
        <f t="shared" si="56"/>
        <v>0</v>
      </c>
    </row>
    <row r="49" spans="1:105">
      <c r="A49" s="203" t="str">
        <f>Income!A79</f>
        <v>Labour - formal emp</v>
      </c>
      <c r="F49" s="212">
        <f t="shared" ref="F49:AK49" si="57">IF(F$22&lt;=$E$24,IF(F$22&lt;=$D$24,IF(F$22&lt;=$C$24,IF(F$22&lt;=$B$24,$B115,($C32-$B32)/($C$24-$B$24)),($D32-$C32)/($D$24-$C$24)),($E32-$D32)/($E$24-$D$24)),$F115)</f>
        <v>0</v>
      </c>
      <c r="G49" s="212">
        <f t="shared" si="57"/>
        <v>0</v>
      </c>
      <c r="H49" s="212">
        <f t="shared" si="57"/>
        <v>0</v>
      </c>
      <c r="I49" s="212">
        <f t="shared" si="57"/>
        <v>0</v>
      </c>
      <c r="J49" s="212">
        <f t="shared" si="57"/>
        <v>0</v>
      </c>
      <c r="K49" s="212">
        <f t="shared" si="57"/>
        <v>0</v>
      </c>
      <c r="L49" s="212">
        <f t="shared" si="57"/>
        <v>0</v>
      </c>
      <c r="M49" s="212">
        <f t="shared" si="57"/>
        <v>0</v>
      </c>
      <c r="N49" s="212">
        <f t="shared" si="57"/>
        <v>0</v>
      </c>
      <c r="O49" s="212">
        <f t="shared" si="57"/>
        <v>0</v>
      </c>
      <c r="P49" s="212">
        <f t="shared" si="57"/>
        <v>0</v>
      </c>
      <c r="Q49" s="212">
        <f t="shared" si="57"/>
        <v>0</v>
      </c>
      <c r="R49" s="212">
        <f t="shared" si="57"/>
        <v>0</v>
      </c>
      <c r="S49" s="212">
        <f t="shared" si="57"/>
        <v>395.29411764705878</v>
      </c>
      <c r="T49" s="212">
        <f t="shared" si="57"/>
        <v>395.29411764705878</v>
      </c>
      <c r="U49" s="212">
        <f t="shared" si="57"/>
        <v>395.29411764705878</v>
      </c>
      <c r="V49" s="212">
        <f t="shared" si="57"/>
        <v>395.29411764705878</v>
      </c>
      <c r="W49" s="212">
        <f t="shared" si="57"/>
        <v>395.29411764705878</v>
      </c>
      <c r="X49" s="212">
        <f t="shared" si="57"/>
        <v>395.29411764705878</v>
      </c>
      <c r="Y49" s="212">
        <f t="shared" si="57"/>
        <v>395.29411764705878</v>
      </c>
      <c r="Z49" s="212">
        <f t="shared" si="57"/>
        <v>395.29411764705878</v>
      </c>
      <c r="AA49" s="212">
        <f t="shared" si="57"/>
        <v>395.29411764705878</v>
      </c>
      <c r="AB49" s="212">
        <f t="shared" si="57"/>
        <v>395.29411764705878</v>
      </c>
      <c r="AC49" s="212">
        <f t="shared" si="57"/>
        <v>395.29411764705878</v>
      </c>
      <c r="AD49" s="212">
        <f t="shared" si="57"/>
        <v>395.29411764705878</v>
      </c>
      <c r="AE49" s="212">
        <f t="shared" si="57"/>
        <v>395.29411764705878</v>
      </c>
      <c r="AF49" s="212">
        <f t="shared" si="57"/>
        <v>395.29411764705878</v>
      </c>
      <c r="AG49" s="212">
        <f t="shared" si="57"/>
        <v>395.29411764705878</v>
      </c>
      <c r="AH49" s="212">
        <f t="shared" si="57"/>
        <v>395.29411764705878</v>
      </c>
      <c r="AI49" s="212">
        <f t="shared" si="57"/>
        <v>395.29411764705878</v>
      </c>
      <c r="AJ49" s="212">
        <f t="shared" si="57"/>
        <v>395.29411764705878</v>
      </c>
      <c r="AK49" s="212">
        <f t="shared" si="57"/>
        <v>395.29411764705878</v>
      </c>
      <c r="AL49" s="212">
        <f t="shared" ref="AL49:BQ49" si="58">IF(AL$22&lt;=$E$24,IF(AL$22&lt;=$D$24,IF(AL$22&lt;=$C$24,IF(AL$22&lt;=$B$24,$B115,($C32-$B32)/($C$24-$B$24)),($D32-$C32)/($D$24-$C$24)),($E32-$D32)/($E$24-$D$24)),$F115)</f>
        <v>395.29411764705878</v>
      </c>
      <c r="AM49" s="212">
        <f t="shared" si="58"/>
        <v>395.29411764705878</v>
      </c>
      <c r="AN49" s="212">
        <f t="shared" si="58"/>
        <v>395.29411764705878</v>
      </c>
      <c r="AO49" s="212">
        <f t="shared" si="58"/>
        <v>395.29411764705878</v>
      </c>
      <c r="AP49" s="212">
        <f t="shared" si="58"/>
        <v>395.29411764705878</v>
      </c>
      <c r="AQ49" s="212">
        <f t="shared" si="58"/>
        <v>395.29411764705878</v>
      </c>
      <c r="AR49" s="212">
        <f t="shared" si="58"/>
        <v>395.29411764705878</v>
      </c>
      <c r="AS49" s="212">
        <f t="shared" si="58"/>
        <v>395.29411764705878</v>
      </c>
      <c r="AT49" s="212">
        <f t="shared" si="58"/>
        <v>395.29411764705878</v>
      </c>
      <c r="AU49" s="212">
        <f t="shared" si="58"/>
        <v>395.29411764705878</v>
      </c>
      <c r="AV49" s="212">
        <f t="shared" si="58"/>
        <v>395.29411764705878</v>
      </c>
      <c r="AW49" s="212">
        <f t="shared" si="58"/>
        <v>395.29411764705878</v>
      </c>
      <c r="AX49" s="212">
        <f t="shared" si="58"/>
        <v>395.29411764705878</v>
      </c>
      <c r="AY49" s="212">
        <f t="shared" si="58"/>
        <v>395.29411764705878</v>
      </c>
      <c r="AZ49" s="212">
        <f t="shared" si="58"/>
        <v>395.29411764705878</v>
      </c>
      <c r="BA49" s="212">
        <f t="shared" si="58"/>
        <v>4724.3636363636342</v>
      </c>
      <c r="BB49" s="212">
        <f t="shared" si="58"/>
        <v>4724.3636363636342</v>
      </c>
      <c r="BC49" s="212">
        <f t="shared" si="58"/>
        <v>4724.3636363636342</v>
      </c>
      <c r="BD49" s="212">
        <f t="shared" si="58"/>
        <v>4724.3636363636342</v>
      </c>
      <c r="BE49" s="212">
        <f t="shared" si="58"/>
        <v>4724.3636363636342</v>
      </c>
      <c r="BF49" s="212">
        <f t="shared" si="58"/>
        <v>4724.3636363636342</v>
      </c>
      <c r="BG49" s="212">
        <f t="shared" si="58"/>
        <v>4724.3636363636342</v>
      </c>
      <c r="BH49" s="212">
        <f t="shared" si="58"/>
        <v>4724.3636363636342</v>
      </c>
      <c r="BI49" s="212">
        <f t="shared" si="58"/>
        <v>4724.3636363636342</v>
      </c>
      <c r="BJ49" s="212">
        <f t="shared" si="58"/>
        <v>4724.3636363636342</v>
      </c>
      <c r="BK49" s="212">
        <f t="shared" si="58"/>
        <v>4724.3636363636342</v>
      </c>
      <c r="BL49" s="212">
        <f t="shared" si="58"/>
        <v>4724.3636363636342</v>
      </c>
      <c r="BM49" s="212">
        <f t="shared" si="58"/>
        <v>4724.3636363636342</v>
      </c>
      <c r="BN49" s="212">
        <f t="shared" si="58"/>
        <v>4724.3636363636342</v>
      </c>
      <c r="BO49" s="212">
        <f t="shared" si="58"/>
        <v>4724.3636363636342</v>
      </c>
      <c r="BP49" s="212">
        <f t="shared" si="58"/>
        <v>4724.3636363636342</v>
      </c>
      <c r="BQ49" s="212">
        <f t="shared" si="58"/>
        <v>4724.3636363636342</v>
      </c>
      <c r="BR49" s="212">
        <f t="shared" ref="BR49:DA49" si="59">IF(BR$22&lt;=$E$24,IF(BR$22&lt;=$D$24,IF(BR$22&lt;=$C$24,IF(BR$22&lt;=$B$24,$B115,($C32-$B32)/($C$24-$B$24)),($D32-$C32)/($D$24-$C$24)),($E32-$D32)/($E$24-$D$24)),$F115)</f>
        <v>4724.3636363636342</v>
      </c>
      <c r="BS49" s="212">
        <f t="shared" si="59"/>
        <v>4724.3636363636342</v>
      </c>
      <c r="BT49" s="212">
        <f t="shared" si="59"/>
        <v>4724.3636363636342</v>
      </c>
      <c r="BU49" s="212">
        <f t="shared" si="59"/>
        <v>4724.3636363636342</v>
      </c>
      <c r="BV49" s="212">
        <f t="shared" si="59"/>
        <v>4724.3636363636342</v>
      </c>
      <c r="BW49" s="212">
        <f t="shared" si="59"/>
        <v>4724.3636363636342</v>
      </c>
      <c r="BX49" s="212">
        <f t="shared" si="59"/>
        <v>4724.3636363636342</v>
      </c>
      <c r="BY49" s="212">
        <f t="shared" si="59"/>
        <v>4724.3636363636342</v>
      </c>
      <c r="BZ49" s="212">
        <f t="shared" si="59"/>
        <v>4724.3636363636342</v>
      </c>
      <c r="CA49" s="212">
        <f t="shared" si="59"/>
        <v>4724.3636363636342</v>
      </c>
      <c r="CB49" s="212">
        <f t="shared" si="59"/>
        <v>4724.3636363636342</v>
      </c>
      <c r="CC49" s="212">
        <f t="shared" si="59"/>
        <v>4724.3636363636342</v>
      </c>
      <c r="CD49" s="212">
        <f t="shared" si="59"/>
        <v>4724.3636363636342</v>
      </c>
      <c r="CE49" s="212">
        <f t="shared" si="59"/>
        <v>4724.3636363636342</v>
      </c>
      <c r="CF49" s="212">
        <f t="shared" si="59"/>
        <v>4724.3636363636342</v>
      </c>
      <c r="CG49" s="212">
        <f t="shared" si="59"/>
        <v>4724.3636363636342</v>
      </c>
      <c r="CH49" s="212">
        <f t="shared" si="59"/>
        <v>3528.0000000000036</v>
      </c>
      <c r="CI49" s="212">
        <f t="shared" si="59"/>
        <v>3528.0000000000036</v>
      </c>
      <c r="CJ49" s="212">
        <f t="shared" si="59"/>
        <v>3528.0000000000036</v>
      </c>
      <c r="CK49" s="212">
        <f t="shared" si="59"/>
        <v>3528.0000000000036</v>
      </c>
      <c r="CL49" s="212">
        <f t="shared" si="59"/>
        <v>3528.0000000000036</v>
      </c>
      <c r="CM49" s="212">
        <f t="shared" si="59"/>
        <v>3528.0000000000036</v>
      </c>
      <c r="CN49" s="212">
        <f t="shared" si="59"/>
        <v>3528.0000000000036</v>
      </c>
      <c r="CO49" s="212">
        <f t="shared" si="59"/>
        <v>3528.0000000000036</v>
      </c>
      <c r="CP49" s="212">
        <f t="shared" si="59"/>
        <v>3528.0000000000036</v>
      </c>
      <c r="CQ49" s="212">
        <f t="shared" si="59"/>
        <v>3528.0000000000036</v>
      </c>
      <c r="CR49" s="212">
        <f t="shared" si="59"/>
        <v>3528.0000000000036</v>
      </c>
      <c r="CS49" s="212">
        <f t="shared" si="59"/>
        <v>3528.0000000000036</v>
      </c>
      <c r="CT49" s="212">
        <f t="shared" si="59"/>
        <v>3528.0000000000036</v>
      </c>
      <c r="CU49" s="212">
        <f t="shared" si="59"/>
        <v>3528.0000000000036</v>
      </c>
      <c r="CV49" s="212">
        <f t="shared" si="59"/>
        <v>3528.0000000000036</v>
      </c>
      <c r="CW49" s="212">
        <f t="shared" si="59"/>
        <v>3528.0000000000036</v>
      </c>
      <c r="CX49" s="212">
        <f t="shared" si="59"/>
        <v>2671.7</v>
      </c>
      <c r="CY49" s="212">
        <f t="shared" si="59"/>
        <v>2671.7</v>
      </c>
      <c r="CZ49" s="212">
        <f t="shared" si="59"/>
        <v>2671.7</v>
      </c>
      <c r="DA49" s="212">
        <f t="shared" si="59"/>
        <v>2671.7</v>
      </c>
    </row>
    <row r="50" spans="1:105">
      <c r="A50" s="203" t="str">
        <f>Income!A81</f>
        <v>Self - employment</v>
      </c>
      <c r="F50" s="212">
        <f t="shared" ref="F50:AK50" si="60">IF(F$22&lt;=$E$24,IF(F$22&lt;=$D$24,IF(F$22&lt;=$C$24,IF(F$22&lt;=$B$24,$B116,($C33-$B33)/($C$24-$B$24)),($D33-$C33)/($D$24-$C$24)),($E33-$D33)/($E$24-$D$24)),$F116)</f>
        <v>0</v>
      </c>
      <c r="G50" s="212">
        <f t="shared" si="60"/>
        <v>0</v>
      </c>
      <c r="H50" s="212">
        <f t="shared" si="60"/>
        <v>0</v>
      </c>
      <c r="I50" s="212">
        <f t="shared" si="60"/>
        <v>0</v>
      </c>
      <c r="J50" s="212">
        <f t="shared" si="60"/>
        <v>0</v>
      </c>
      <c r="K50" s="212">
        <f t="shared" si="60"/>
        <v>0</v>
      </c>
      <c r="L50" s="212">
        <f t="shared" si="60"/>
        <v>0</v>
      </c>
      <c r="M50" s="212">
        <f t="shared" si="60"/>
        <v>0</v>
      </c>
      <c r="N50" s="212">
        <f t="shared" si="60"/>
        <v>0</v>
      </c>
      <c r="O50" s="212">
        <f t="shared" si="60"/>
        <v>0</v>
      </c>
      <c r="P50" s="212">
        <f t="shared" si="60"/>
        <v>0</v>
      </c>
      <c r="Q50" s="212">
        <f t="shared" si="60"/>
        <v>0</v>
      </c>
      <c r="R50" s="212">
        <f t="shared" si="60"/>
        <v>0</v>
      </c>
      <c r="S50" s="212">
        <f t="shared" si="60"/>
        <v>131.69882352941178</v>
      </c>
      <c r="T50" s="212">
        <f t="shared" si="60"/>
        <v>131.69882352941178</v>
      </c>
      <c r="U50" s="212">
        <f t="shared" si="60"/>
        <v>131.69882352941178</v>
      </c>
      <c r="V50" s="212">
        <f t="shared" si="60"/>
        <v>131.69882352941178</v>
      </c>
      <c r="W50" s="212">
        <f t="shared" si="60"/>
        <v>131.69882352941178</v>
      </c>
      <c r="X50" s="212">
        <f t="shared" si="60"/>
        <v>131.69882352941178</v>
      </c>
      <c r="Y50" s="212">
        <f t="shared" si="60"/>
        <v>131.69882352941178</v>
      </c>
      <c r="Z50" s="212">
        <f t="shared" si="60"/>
        <v>131.69882352941178</v>
      </c>
      <c r="AA50" s="212">
        <f t="shared" si="60"/>
        <v>131.69882352941178</v>
      </c>
      <c r="AB50" s="212">
        <f t="shared" si="60"/>
        <v>131.69882352941178</v>
      </c>
      <c r="AC50" s="212">
        <f t="shared" si="60"/>
        <v>131.69882352941178</v>
      </c>
      <c r="AD50" s="212">
        <f t="shared" si="60"/>
        <v>131.69882352941178</v>
      </c>
      <c r="AE50" s="212">
        <f t="shared" si="60"/>
        <v>131.69882352941178</v>
      </c>
      <c r="AF50" s="212">
        <f t="shared" si="60"/>
        <v>131.69882352941178</v>
      </c>
      <c r="AG50" s="212">
        <f t="shared" si="60"/>
        <v>131.69882352941178</v>
      </c>
      <c r="AH50" s="212">
        <f t="shared" si="60"/>
        <v>131.69882352941178</v>
      </c>
      <c r="AI50" s="212">
        <f t="shared" si="60"/>
        <v>131.69882352941178</v>
      </c>
      <c r="AJ50" s="212">
        <f t="shared" si="60"/>
        <v>131.69882352941178</v>
      </c>
      <c r="AK50" s="212">
        <f t="shared" si="60"/>
        <v>131.69882352941178</v>
      </c>
      <c r="AL50" s="212">
        <f t="shared" ref="AL50:BQ50" si="61">IF(AL$22&lt;=$E$24,IF(AL$22&lt;=$D$24,IF(AL$22&lt;=$C$24,IF(AL$22&lt;=$B$24,$B116,($C33-$B33)/($C$24-$B$24)),($D33-$C33)/($D$24-$C$24)),($E33-$D33)/($E$24-$D$24)),$F116)</f>
        <v>131.69882352941178</v>
      </c>
      <c r="AM50" s="212">
        <f t="shared" si="61"/>
        <v>131.69882352941178</v>
      </c>
      <c r="AN50" s="212">
        <f t="shared" si="61"/>
        <v>131.69882352941178</v>
      </c>
      <c r="AO50" s="212">
        <f t="shared" si="61"/>
        <v>131.69882352941178</v>
      </c>
      <c r="AP50" s="212">
        <f t="shared" si="61"/>
        <v>131.69882352941178</v>
      </c>
      <c r="AQ50" s="212">
        <f t="shared" si="61"/>
        <v>131.69882352941178</v>
      </c>
      <c r="AR50" s="212">
        <f t="shared" si="61"/>
        <v>131.69882352941178</v>
      </c>
      <c r="AS50" s="212">
        <f t="shared" si="61"/>
        <v>131.69882352941178</v>
      </c>
      <c r="AT50" s="212">
        <f t="shared" si="61"/>
        <v>131.69882352941178</v>
      </c>
      <c r="AU50" s="212">
        <f t="shared" si="61"/>
        <v>131.69882352941178</v>
      </c>
      <c r="AV50" s="212">
        <f t="shared" si="61"/>
        <v>131.69882352941178</v>
      </c>
      <c r="AW50" s="212">
        <f t="shared" si="61"/>
        <v>131.69882352941178</v>
      </c>
      <c r="AX50" s="212">
        <f t="shared" si="61"/>
        <v>131.69882352941178</v>
      </c>
      <c r="AY50" s="212">
        <f t="shared" si="61"/>
        <v>131.69882352941178</v>
      </c>
      <c r="AZ50" s="212">
        <f t="shared" si="61"/>
        <v>131.69882352941178</v>
      </c>
      <c r="BA50" s="212">
        <f t="shared" si="61"/>
        <v>-213.47878787878787</v>
      </c>
      <c r="BB50" s="212">
        <f t="shared" si="61"/>
        <v>-213.47878787878787</v>
      </c>
      <c r="BC50" s="212">
        <f t="shared" si="61"/>
        <v>-213.47878787878787</v>
      </c>
      <c r="BD50" s="212">
        <f t="shared" si="61"/>
        <v>-213.47878787878787</v>
      </c>
      <c r="BE50" s="212">
        <f t="shared" si="61"/>
        <v>-213.47878787878787</v>
      </c>
      <c r="BF50" s="212">
        <f t="shared" si="61"/>
        <v>-213.47878787878787</v>
      </c>
      <c r="BG50" s="212">
        <f t="shared" si="61"/>
        <v>-213.47878787878787</v>
      </c>
      <c r="BH50" s="212">
        <f t="shared" si="61"/>
        <v>-213.47878787878787</v>
      </c>
      <c r="BI50" s="212">
        <f t="shared" si="61"/>
        <v>-213.47878787878787</v>
      </c>
      <c r="BJ50" s="212">
        <f t="shared" si="61"/>
        <v>-213.47878787878787</v>
      </c>
      <c r="BK50" s="212">
        <f t="shared" si="61"/>
        <v>-213.47878787878787</v>
      </c>
      <c r="BL50" s="212">
        <f t="shared" si="61"/>
        <v>-213.47878787878787</v>
      </c>
      <c r="BM50" s="212">
        <f t="shared" si="61"/>
        <v>-213.47878787878787</v>
      </c>
      <c r="BN50" s="212">
        <f t="shared" si="61"/>
        <v>-213.47878787878787</v>
      </c>
      <c r="BO50" s="212">
        <f t="shared" si="61"/>
        <v>-213.47878787878787</v>
      </c>
      <c r="BP50" s="212">
        <f t="shared" si="61"/>
        <v>-213.47878787878787</v>
      </c>
      <c r="BQ50" s="212">
        <f t="shared" si="61"/>
        <v>-213.47878787878787</v>
      </c>
      <c r="BR50" s="212">
        <f t="shared" ref="BR50:DA50" si="62">IF(BR$22&lt;=$E$24,IF(BR$22&lt;=$D$24,IF(BR$22&lt;=$C$24,IF(BR$22&lt;=$B$24,$B116,($C33-$B33)/($C$24-$B$24)),($D33-$C33)/($D$24-$C$24)),($E33-$D33)/($E$24-$D$24)),$F116)</f>
        <v>-213.47878787878787</v>
      </c>
      <c r="BS50" s="212">
        <f t="shared" si="62"/>
        <v>-213.47878787878787</v>
      </c>
      <c r="BT50" s="212">
        <f t="shared" si="62"/>
        <v>-213.47878787878787</v>
      </c>
      <c r="BU50" s="212">
        <f t="shared" si="62"/>
        <v>-213.47878787878787</v>
      </c>
      <c r="BV50" s="212">
        <f t="shared" si="62"/>
        <v>-213.47878787878787</v>
      </c>
      <c r="BW50" s="212">
        <f t="shared" si="62"/>
        <v>-213.47878787878787</v>
      </c>
      <c r="BX50" s="212">
        <f t="shared" si="62"/>
        <v>-213.47878787878787</v>
      </c>
      <c r="BY50" s="212">
        <f t="shared" si="62"/>
        <v>-213.47878787878787</v>
      </c>
      <c r="BZ50" s="212">
        <f t="shared" si="62"/>
        <v>-213.47878787878787</v>
      </c>
      <c r="CA50" s="212">
        <f t="shared" si="62"/>
        <v>-213.47878787878787</v>
      </c>
      <c r="CB50" s="212">
        <f t="shared" si="62"/>
        <v>-213.47878787878787</v>
      </c>
      <c r="CC50" s="212">
        <f t="shared" si="62"/>
        <v>-213.47878787878787</v>
      </c>
      <c r="CD50" s="212">
        <f t="shared" si="62"/>
        <v>-213.47878787878787</v>
      </c>
      <c r="CE50" s="212">
        <f t="shared" si="62"/>
        <v>-213.47878787878787</v>
      </c>
      <c r="CF50" s="212">
        <f t="shared" si="62"/>
        <v>-213.47878787878787</v>
      </c>
      <c r="CG50" s="212">
        <f t="shared" si="62"/>
        <v>-213.47878787878787</v>
      </c>
      <c r="CH50" s="212">
        <f t="shared" si="62"/>
        <v>0</v>
      </c>
      <c r="CI50" s="212">
        <f t="shared" si="62"/>
        <v>0</v>
      </c>
      <c r="CJ50" s="212">
        <f t="shared" si="62"/>
        <v>0</v>
      </c>
      <c r="CK50" s="212">
        <f t="shared" si="62"/>
        <v>0</v>
      </c>
      <c r="CL50" s="212">
        <f t="shared" si="62"/>
        <v>0</v>
      </c>
      <c r="CM50" s="212">
        <f t="shared" si="62"/>
        <v>0</v>
      </c>
      <c r="CN50" s="212">
        <f t="shared" si="62"/>
        <v>0</v>
      </c>
      <c r="CO50" s="212">
        <f t="shared" si="62"/>
        <v>0</v>
      </c>
      <c r="CP50" s="212">
        <f t="shared" si="62"/>
        <v>0</v>
      </c>
      <c r="CQ50" s="212">
        <f t="shared" si="62"/>
        <v>0</v>
      </c>
      <c r="CR50" s="212">
        <f t="shared" si="62"/>
        <v>0</v>
      </c>
      <c r="CS50" s="212">
        <f t="shared" si="62"/>
        <v>0</v>
      </c>
      <c r="CT50" s="212">
        <f t="shared" si="62"/>
        <v>0</v>
      </c>
      <c r="CU50" s="212">
        <f t="shared" si="62"/>
        <v>0</v>
      </c>
      <c r="CV50" s="212">
        <f t="shared" si="62"/>
        <v>0</v>
      </c>
      <c r="CW50" s="212">
        <f t="shared" si="62"/>
        <v>0</v>
      </c>
      <c r="CX50" s="212">
        <f t="shared" si="62"/>
        <v>829.53</v>
      </c>
      <c r="CY50" s="212">
        <f t="shared" si="62"/>
        <v>829.53</v>
      </c>
      <c r="CZ50" s="212">
        <f t="shared" si="62"/>
        <v>829.53</v>
      </c>
      <c r="DA50" s="212">
        <f t="shared" si="62"/>
        <v>829.53</v>
      </c>
    </row>
    <row r="51" spans="1:105">
      <c r="A51" s="203" t="str">
        <f>Income!A82</f>
        <v>Small business/petty trading</v>
      </c>
      <c r="F51" s="212">
        <f t="shared" ref="F51:AK51" si="63">IF(F$22&lt;=$E$24,IF(F$22&lt;=$D$24,IF(F$22&lt;=$C$24,IF(F$22&lt;=$B$24,$B117,($C34-$B34)/($C$24-$B$24)),($D34-$C34)/($D$24-$C$24)),($E34-$D34)/($E$24-$D$24)),$F117)</f>
        <v>0</v>
      </c>
      <c r="G51" s="212">
        <f t="shared" si="63"/>
        <v>0</v>
      </c>
      <c r="H51" s="212">
        <f t="shared" si="63"/>
        <v>0</v>
      </c>
      <c r="I51" s="212">
        <f t="shared" si="63"/>
        <v>0</v>
      </c>
      <c r="J51" s="212">
        <f t="shared" si="63"/>
        <v>0</v>
      </c>
      <c r="K51" s="212">
        <f t="shared" si="63"/>
        <v>0</v>
      </c>
      <c r="L51" s="212">
        <f t="shared" si="63"/>
        <v>0</v>
      </c>
      <c r="M51" s="212">
        <f t="shared" si="63"/>
        <v>0</v>
      </c>
      <c r="N51" s="212">
        <f t="shared" si="63"/>
        <v>0</v>
      </c>
      <c r="O51" s="212">
        <f t="shared" si="63"/>
        <v>0</v>
      </c>
      <c r="P51" s="212">
        <f t="shared" si="63"/>
        <v>0</v>
      </c>
      <c r="Q51" s="212">
        <f t="shared" si="63"/>
        <v>0</v>
      </c>
      <c r="R51" s="212">
        <f t="shared" si="63"/>
        <v>0</v>
      </c>
      <c r="S51" s="212">
        <f t="shared" si="63"/>
        <v>63.2470588235294</v>
      </c>
      <c r="T51" s="212">
        <f t="shared" si="63"/>
        <v>63.2470588235294</v>
      </c>
      <c r="U51" s="212">
        <f t="shared" si="63"/>
        <v>63.2470588235294</v>
      </c>
      <c r="V51" s="212">
        <f t="shared" si="63"/>
        <v>63.2470588235294</v>
      </c>
      <c r="W51" s="212">
        <f t="shared" si="63"/>
        <v>63.2470588235294</v>
      </c>
      <c r="X51" s="212">
        <f t="shared" si="63"/>
        <v>63.2470588235294</v>
      </c>
      <c r="Y51" s="212">
        <f t="shared" si="63"/>
        <v>63.2470588235294</v>
      </c>
      <c r="Z51" s="212">
        <f t="shared" si="63"/>
        <v>63.2470588235294</v>
      </c>
      <c r="AA51" s="212">
        <f t="shared" si="63"/>
        <v>63.2470588235294</v>
      </c>
      <c r="AB51" s="212">
        <f t="shared" si="63"/>
        <v>63.2470588235294</v>
      </c>
      <c r="AC51" s="212">
        <f t="shared" si="63"/>
        <v>63.2470588235294</v>
      </c>
      <c r="AD51" s="212">
        <f t="shared" si="63"/>
        <v>63.2470588235294</v>
      </c>
      <c r="AE51" s="212">
        <f t="shared" si="63"/>
        <v>63.2470588235294</v>
      </c>
      <c r="AF51" s="212">
        <f t="shared" si="63"/>
        <v>63.2470588235294</v>
      </c>
      <c r="AG51" s="212">
        <f t="shared" si="63"/>
        <v>63.2470588235294</v>
      </c>
      <c r="AH51" s="212">
        <f t="shared" si="63"/>
        <v>63.2470588235294</v>
      </c>
      <c r="AI51" s="212">
        <f t="shared" si="63"/>
        <v>63.2470588235294</v>
      </c>
      <c r="AJ51" s="212">
        <f t="shared" si="63"/>
        <v>63.2470588235294</v>
      </c>
      <c r="AK51" s="212">
        <f t="shared" si="63"/>
        <v>63.2470588235294</v>
      </c>
      <c r="AL51" s="212">
        <f t="shared" ref="AL51:BQ51" si="64">IF(AL$22&lt;=$E$24,IF(AL$22&lt;=$D$24,IF(AL$22&lt;=$C$24,IF(AL$22&lt;=$B$24,$B117,($C34-$B34)/($C$24-$B$24)),($D34-$C34)/($D$24-$C$24)),($E34-$D34)/($E$24-$D$24)),$F117)</f>
        <v>63.2470588235294</v>
      </c>
      <c r="AM51" s="212">
        <f t="shared" si="64"/>
        <v>63.2470588235294</v>
      </c>
      <c r="AN51" s="212">
        <f t="shared" si="64"/>
        <v>63.2470588235294</v>
      </c>
      <c r="AO51" s="212">
        <f t="shared" si="64"/>
        <v>63.2470588235294</v>
      </c>
      <c r="AP51" s="212">
        <f t="shared" si="64"/>
        <v>63.2470588235294</v>
      </c>
      <c r="AQ51" s="212">
        <f t="shared" si="64"/>
        <v>63.2470588235294</v>
      </c>
      <c r="AR51" s="212">
        <f t="shared" si="64"/>
        <v>63.2470588235294</v>
      </c>
      <c r="AS51" s="212">
        <f t="shared" si="64"/>
        <v>63.2470588235294</v>
      </c>
      <c r="AT51" s="212">
        <f t="shared" si="64"/>
        <v>63.2470588235294</v>
      </c>
      <c r="AU51" s="212">
        <f t="shared" si="64"/>
        <v>63.2470588235294</v>
      </c>
      <c r="AV51" s="212">
        <f t="shared" si="64"/>
        <v>63.2470588235294</v>
      </c>
      <c r="AW51" s="212">
        <f t="shared" si="64"/>
        <v>63.2470588235294</v>
      </c>
      <c r="AX51" s="212">
        <f t="shared" si="64"/>
        <v>63.2470588235294</v>
      </c>
      <c r="AY51" s="212">
        <f t="shared" si="64"/>
        <v>63.2470588235294</v>
      </c>
      <c r="AZ51" s="212">
        <f t="shared" si="64"/>
        <v>63.2470588235294</v>
      </c>
      <c r="BA51" s="212">
        <f t="shared" si="64"/>
        <v>1205.5272727272722</v>
      </c>
      <c r="BB51" s="212">
        <f t="shared" si="64"/>
        <v>1205.5272727272722</v>
      </c>
      <c r="BC51" s="212">
        <f t="shared" si="64"/>
        <v>1205.5272727272722</v>
      </c>
      <c r="BD51" s="212">
        <f t="shared" si="64"/>
        <v>1205.5272727272722</v>
      </c>
      <c r="BE51" s="212">
        <f t="shared" si="64"/>
        <v>1205.5272727272722</v>
      </c>
      <c r="BF51" s="212">
        <f t="shared" si="64"/>
        <v>1205.5272727272722</v>
      </c>
      <c r="BG51" s="212">
        <f t="shared" si="64"/>
        <v>1205.5272727272722</v>
      </c>
      <c r="BH51" s="212">
        <f t="shared" si="64"/>
        <v>1205.5272727272722</v>
      </c>
      <c r="BI51" s="212">
        <f t="shared" si="64"/>
        <v>1205.5272727272722</v>
      </c>
      <c r="BJ51" s="212">
        <f t="shared" si="64"/>
        <v>1205.5272727272722</v>
      </c>
      <c r="BK51" s="212">
        <f t="shared" si="64"/>
        <v>1205.5272727272722</v>
      </c>
      <c r="BL51" s="212">
        <f t="shared" si="64"/>
        <v>1205.5272727272722</v>
      </c>
      <c r="BM51" s="212">
        <f t="shared" si="64"/>
        <v>1205.5272727272722</v>
      </c>
      <c r="BN51" s="212">
        <f t="shared" si="64"/>
        <v>1205.5272727272722</v>
      </c>
      <c r="BO51" s="212">
        <f t="shared" si="64"/>
        <v>1205.5272727272722</v>
      </c>
      <c r="BP51" s="212">
        <f t="shared" si="64"/>
        <v>1205.5272727272722</v>
      </c>
      <c r="BQ51" s="212">
        <f t="shared" si="64"/>
        <v>1205.5272727272722</v>
      </c>
      <c r="BR51" s="212">
        <f t="shared" ref="BR51:DA51" si="65">IF(BR$22&lt;=$E$24,IF(BR$22&lt;=$D$24,IF(BR$22&lt;=$C$24,IF(BR$22&lt;=$B$24,$B117,($C34-$B34)/($C$24-$B$24)),($D34-$C34)/($D$24-$C$24)),($E34-$D34)/($E$24-$D$24)),$F117)</f>
        <v>1205.5272727272722</v>
      </c>
      <c r="BS51" s="212">
        <f t="shared" si="65"/>
        <v>1205.5272727272722</v>
      </c>
      <c r="BT51" s="212">
        <f t="shared" si="65"/>
        <v>1205.5272727272722</v>
      </c>
      <c r="BU51" s="212">
        <f t="shared" si="65"/>
        <v>1205.5272727272722</v>
      </c>
      <c r="BV51" s="212">
        <f t="shared" si="65"/>
        <v>1205.5272727272722</v>
      </c>
      <c r="BW51" s="212">
        <f t="shared" si="65"/>
        <v>1205.5272727272722</v>
      </c>
      <c r="BX51" s="212">
        <f t="shared" si="65"/>
        <v>1205.5272727272722</v>
      </c>
      <c r="BY51" s="212">
        <f t="shared" si="65"/>
        <v>1205.5272727272722</v>
      </c>
      <c r="BZ51" s="212">
        <f t="shared" si="65"/>
        <v>1205.5272727272722</v>
      </c>
      <c r="CA51" s="212">
        <f t="shared" si="65"/>
        <v>1205.5272727272722</v>
      </c>
      <c r="CB51" s="212">
        <f t="shared" si="65"/>
        <v>1205.5272727272722</v>
      </c>
      <c r="CC51" s="212">
        <f t="shared" si="65"/>
        <v>1205.5272727272722</v>
      </c>
      <c r="CD51" s="212">
        <f t="shared" si="65"/>
        <v>1205.5272727272722</v>
      </c>
      <c r="CE51" s="212">
        <f t="shared" si="65"/>
        <v>1205.5272727272722</v>
      </c>
      <c r="CF51" s="212">
        <f t="shared" si="65"/>
        <v>1205.5272727272722</v>
      </c>
      <c r="CG51" s="212">
        <f t="shared" si="65"/>
        <v>1205.5272727272722</v>
      </c>
      <c r="CH51" s="212">
        <f t="shared" si="65"/>
        <v>4031.9999999999991</v>
      </c>
      <c r="CI51" s="212">
        <f t="shared" si="65"/>
        <v>4031.9999999999991</v>
      </c>
      <c r="CJ51" s="212">
        <f t="shared" si="65"/>
        <v>4031.9999999999991</v>
      </c>
      <c r="CK51" s="212">
        <f t="shared" si="65"/>
        <v>4031.9999999999991</v>
      </c>
      <c r="CL51" s="212">
        <f t="shared" si="65"/>
        <v>4031.9999999999991</v>
      </c>
      <c r="CM51" s="212">
        <f t="shared" si="65"/>
        <v>4031.9999999999991</v>
      </c>
      <c r="CN51" s="212">
        <f t="shared" si="65"/>
        <v>4031.9999999999991</v>
      </c>
      <c r="CO51" s="212">
        <f t="shared" si="65"/>
        <v>4031.9999999999991</v>
      </c>
      <c r="CP51" s="212">
        <f t="shared" si="65"/>
        <v>4031.9999999999991</v>
      </c>
      <c r="CQ51" s="212">
        <f t="shared" si="65"/>
        <v>4031.9999999999991</v>
      </c>
      <c r="CR51" s="212">
        <f t="shared" si="65"/>
        <v>4031.9999999999991</v>
      </c>
      <c r="CS51" s="212">
        <f t="shared" si="65"/>
        <v>4031.9999999999991</v>
      </c>
      <c r="CT51" s="212">
        <f t="shared" si="65"/>
        <v>4031.9999999999991</v>
      </c>
      <c r="CU51" s="212">
        <f t="shared" si="65"/>
        <v>4031.9999999999991</v>
      </c>
      <c r="CV51" s="212">
        <f t="shared" si="65"/>
        <v>4031.9999999999991</v>
      </c>
      <c r="CW51" s="212">
        <f t="shared" si="65"/>
        <v>4031.9999999999991</v>
      </c>
      <c r="CX51" s="212">
        <f t="shared" si="65"/>
        <v>6203.5</v>
      </c>
      <c r="CY51" s="212">
        <f t="shared" si="65"/>
        <v>6203.5</v>
      </c>
      <c r="CZ51" s="212">
        <f t="shared" si="65"/>
        <v>6203.5</v>
      </c>
      <c r="DA51" s="212">
        <f t="shared" si="65"/>
        <v>6203.5</v>
      </c>
    </row>
    <row r="52" spans="1:105">
      <c r="A52" s="203" t="str">
        <f>Income!A83</f>
        <v>Food transfer - official</v>
      </c>
      <c r="F52" s="212">
        <f t="shared" ref="F52:AK52" si="66">IF(F$22&lt;=$E$24,IF(F$22&lt;=$D$24,IF(F$22&lt;=$C$24,IF(F$22&lt;=$B$24,$B118,($C35-$B35)/($C$24-$B$24)),($D35-$C35)/($D$24-$C$24)),($E35-$D35)/($E$24-$D$24)),$F118)</f>
        <v>0</v>
      </c>
      <c r="G52" s="212">
        <f t="shared" si="66"/>
        <v>0</v>
      </c>
      <c r="H52" s="212">
        <f t="shared" si="66"/>
        <v>0</v>
      </c>
      <c r="I52" s="212">
        <f t="shared" si="66"/>
        <v>0</v>
      </c>
      <c r="J52" s="212">
        <f t="shared" si="66"/>
        <v>0</v>
      </c>
      <c r="K52" s="212">
        <f t="shared" si="66"/>
        <v>0</v>
      </c>
      <c r="L52" s="212">
        <f t="shared" si="66"/>
        <v>0</v>
      </c>
      <c r="M52" s="212">
        <f t="shared" si="66"/>
        <v>0</v>
      </c>
      <c r="N52" s="212">
        <f t="shared" si="66"/>
        <v>0</v>
      </c>
      <c r="O52" s="212">
        <f t="shared" si="66"/>
        <v>0</v>
      </c>
      <c r="P52" s="212">
        <f t="shared" si="66"/>
        <v>0</v>
      </c>
      <c r="Q52" s="212">
        <f t="shared" si="66"/>
        <v>0</v>
      </c>
      <c r="R52" s="212">
        <f t="shared" si="66"/>
        <v>0</v>
      </c>
      <c r="S52" s="212">
        <f t="shared" si="66"/>
        <v>1.8017549561260968</v>
      </c>
      <c r="T52" s="212">
        <f t="shared" si="66"/>
        <v>1.8017549561260968</v>
      </c>
      <c r="U52" s="212">
        <f t="shared" si="66"/>
        <v>1.8017549561260968</v>
      </c>
      <c r="V52" s="212">
        <f t="shared" si="66"/>
        <v>1.8017549561260968</v>
      </c>
      <c r="W52" s="212">
        <f t="shared" si="66"/>
        <v>1.8017549561260968</v>
      </c>
      <c r="X52" s="212">
        <f t="shared" si="66"/>
        <v>1.8017549561260968</v>
      </c>
      <c r="Y52" s="212">
        <f t="shared" si="66"/>
        <v>1.8017549561260968</v>
      </c>
      <c r="Z52" s="212">
        <f t="shared" si="66"/>
        <v>1.8017549561260968</v>
      </c>
      <c r="AA52" s="212">
        <f t="shared" si="66"/>
        <v>1.8017549561260968</v>
      </c>
      <c r="AB52" s="212">
        <f t="shared" si="66"/>
        <v>1.8017549561260968</v>
      </c>
      <c r="AC52" s="212">
        <f t="shared" si="66"/>
        <v>1.8017549561260968</v>
      </c>
      <c r="AD52" s="212">
        <f t="shared" si="66"/>
        <v>1.8017549561260968</v>
      </c>
      <c r="AE52" s="212">
        <f t="shared" si="66"/>
        <v>1.8017549561260968</v>
      </c>
      <c r="AF52" s="212">
        <f t="shared" si="66"/>
        <v>1.8017549561260968</v>
      </c>
      <c r="AG52" s="212">
        <f t="shared" si="66"/>
        <v>1.8017549561260968</v>
      </c>
      <c r="AH52" s="212">
        <f t="shared" si="66"/>
        <v>1.8017549561260968</v>
      </c>
      <c r="AI52" s="212">
        <f t="shared" si="66"/>
        <v>1.8017549561260968</v>
      </c>
      <c r="AJ52" s="212">
        <f t="shared" si="66"/>
        <v>1.8017549561260968</v>
      </c>
      <c r="AK52" s="212">
        <f t="shared" si="66"/>
        <v>1.8017549561260968</v>
      </c>
      <c r="AL52" s="212">
        <f t="shared" ref="AL52:BQ52" si="67">IF(AL$22&lt;=$E$24,IF(AL$22&lt;=$D$24,IF(AL$22&lt;=$C$24,IF(AL$22&lt;=$B$24,$B118,($C35-$B35)/($C$24-$B$24)),($D35-$C35)/($D$24-$C$24)),($E35-$D35)/($E$24-$D$24)),$F118)</f>
        <v>1.8017549561260968</v>
      </c>
      <c r="AM52" s="212">
        <f t="shared" si="67"/>
        <v>1.8017549561260968</v>
      </c>
      <c r="AN52" s="212">
        <f t="shared" si="67"/>
        <v>1.8017549561260968</v>
      </c>
      <c r="AO52" s="212">
        <f t="shared" si="67"/>
        <v>1.8017549561260968</v>
      </c>
      <c r="AP52" s="212">
        <f t="shared" si="67"/>
        <v>1.8017549561260968</v>
      </c>
      <c r="AQ52" s="212">
        <f t="shared" si="67"/>
        <v>1.8017549561260968</v>
      </c>
      <c r="AR52" s="212">
        <f t="shared" si="67"/>
        <v>1.8017549561260968</v>
      </c>
      <c r="AS52" s="212">
        <f t="shared" si="67"/>
        <v>1.8017549561260968</v>
      </c>
      <c r="AT52" s="212">
        <f t="shared" si="67"/>
        <v>1.8017549561260968</v>
      </c>
      <c r="AU52" s="212">
        <f t="shared" si="67"/>
        <v>1.8017549561260968</v>
      </c>
      <c r="AV52" s="212">
        <f t="shared" si="67"/>
        <v>1.8017549561260968</v>
      </c>
      <c r="AW52" s="212">
        <f t="shared" si="67"/>
        <v>1.8017549561260968</v>
      </c>
      <c r="AX52" s="212">
        <f t="shared" si="67"/>
        <v>1.8017549561260968</v>
      </c>
      <c r="AY52" s="212">
        <f t="shared" si="67"/>
        <v>1.8017549561260968</v>
      </c>
      <c r="AZ52" s="212">
        <f t="shared" si="67"/>
        <v>1.8017549561260968</v>
      </c>
      <c r="BA52" s="212">
        <f t="shared" si="67"/>
        <v>0.37127071823204394</v>
      </c>
      <c r="BB52" s="212">
        <f t="shared" si="67"/>
        <v>0.37127071823204394</v>
      </c>
      <c r="BC52" s="212">
        <f t="shared" si="67"/>
        <v>0.37127071823204394</v>
      </c>
      <c r="BD52" s="212">
        <f t="shared" si="67"/>
        <v>0.37127071823204394</v>
      </c>
      <c r="BE52" s="212">
        <f t="shared" si="67"/>
        <v>0.37127071823204394</v>
      </c>
      <c r="BF52" s="212">
        <f t="shared" si="67"/>
        <v>0.37127071823204394</v>
      </c>
      <c r="BG52" s="212">
        <f t="shared" si="67"/>
        <v>0.37127071823204394</v>
      </c>
      <c r="BH52" s="212">
        <f t="shared" si="67"/>
        <v>0.37127071823204394</v>
      </c>
      <c r="BI52" s="212">
        <f t="shared" si="67"/>
        <v>0.37127071823204394</v>
      </c>
      <c r="BJ52" s="212">
        <f t="shared" si="67"/>
        <v>0.37127071823204394</v>
      </c>
      <c r="BK52" s="212">
        <f t="shared" si="67"/>
        <v>0.37127071823204394</v>
      </c>
      <c r="BL52" s="212">
        <f t="shared" si="67"/>
        <v>0.37127071823204394</v>
      </c>
      <c r="BM52" s="212">
        <f t="shared" si="67"/>
        <v>0.37127071823204394</v>
      </c>
      <c r="BN52" s="212">
        <f t="shared" si="67"/>
        <v>0.37127071823204394</v>
      </c>
      <c r="BO52" s="212">
        <f t="shared" si="67"/>
        <v>0.37127071823204394</v>
      </c>
      <c r="BP52" s="212">
        <f t="shared" si="67"/>
        <v>0.37127071823204394</v>
      </c>
      <c r="BQ52" s="212">
        <f t="shared" si="67"/>
        <v>0.37127071823204394</v>
      </c>
      <c r="BR52" s="212">
        <f t="shared" ref="BR52:DA52" si="68">IF(BR$22&lt;=$E$24,IF(BR$22&lt;=$D$24,IF(BR$22&lt;=$C$24,IF(BR$22&lt;=$B$24,$B118,($C35-$B35)/($C$24-$B$24)),($D35-$C35)/($D$24-$C$24)),($E35-$D35)/($E$24-$D$24)),$F118)</f>
        <v>0.37127071823204394</v>
      </c>
      <c r="BS52" s="212">
        <f t="shared" si="68"/>
        <v>0.37127071823204394</v>
      </c>
      <c r="BT52" s="212">
        <f t="shared" si="68"/>
        <v>0.37127071823204394</v>
      </c>
      <c r="BU52" s="212">
        <f t="shared" si="68"/>
        <v>0.37127071823204394</v>
      </c>
      <c r="BV52" s="212">
        <f t="shared" si="68"/>
        <v>0.37127071823204394</v>
      </c>
      <c r="BW52" s="212">
        <f t="shared" si="68"/>
        <v>0.37127071823204394</v>
      </c>
      <c r="BX52" s="212">
        <f t="shared" si="68"/>
        <v>0.37127071823204394</v>
      </c>
      <c r="BY52" s="212">
        <f t="shared" si="68"/>
        <v>0.37127071823204394</v>
      </c>
      <c r="BZ52" s="212">
        <f t="shared" si="68"/>
        <v>0.37127071823204394</v>
      </c>
      <c r="CA52" s="212">
        <f t="shared" si="68"/>
        <v>0.37127071823204394</v>
      </c>
      <c r="CB52" s="212">
        <f t="shared" si="68"/>
        <v>0.37127071823204394</v>
      </c>
      <c r="CC52" s="212">
        <f t="shared" si="68"/>
        <v>0.37127071823204394</v>
      </c>
      <c r="CD52" s="212">
        <f t="shared" si="68"/>
        <v>0.37127071823204394</v>
      </c>
      <c r="CE52" s="212">
        <f t="shared" si="68"/>
        <v>0.37127071823204394</v>
      </c>
      <c r="CF52" s="212">
        <f t="shared" si="68"/>
        <v>0.37127071823204394</v>
      </c>
      <c r="CG52" s="212">
        <f t="shared" si="68"/>
        <v>0.37127071823204394</v>
      </c>
      <c r="CH52" s="212">
        <f t="shared" si="68"/>
        <v>-4.5944751381215463</v>
      </c>
      <c r="CI52" s="212">
        <f t="shared" si="68"/>
        <v>-4.5944751381215463</v>
      </c>
      <c r="CJ52" s="212">
        <f t="shared" si="68"/>
        <v>-4.5944751381215463</v>
      </c>
      <c r="CK52" s="212">
        <f t="shared" si="68"/>
        <v>-4.5944751381215463</v>
      </c>
      <c r="CL52" s="212">
        <f t="shared" si="68"/>
        <v>-4.5944751381215463</v>
      </c>
      <c r="CM52" s="212">
        <f t="shared" si="68"/>
        <v>-4.5944751381215463</v>
      </c>
      <c r="CN52" s="212">
        <f t="shared" si="68"/>
        <v>-4.5944751381215463</v>
      </c>
      <c r="CO52" s="212">
        <f t="shared" si="68"/>
        <v>-4.5944751381215463</v>
      </c>
      <c r="CP52" s="212">
        <f t="shared" si="68"/>
        <v>-4.5944751381215463</v>
      </c>
      <c r="CQ52" s="212">
        <f t="shared" si="68"/>
        <v>-4.5944751381215463</v>
      </c>
      <c r="CR52" s="212">
        <f t="shared" si="68"/>
        <v>-4.5944751381215463</v>
      </c>
      <c r="CS52" s="212">
        <f t="shared" si="68"/>
        <v>-4.5944751381215463</v>
      </c>
      <c r="CT52" s="212">
        <f t="shared" si="68"/>
        <v>-4.5944751381215463</v>
      </c>
      <c r="CU52" s="212">
        <f t="shared" si="68"/>
        <v>-4.5944751381215463</v>
      </c>
      <c r="CV52" s="212">
        <f t="shared" si="68"/>
        <v>-4.5944751381215463</v>
      </c>
      <c r="CW52" s="212">
        <f t="shared" si="68"/>
        <v>-4.5944751381215463</v>
      </c>
      <c r="CX52" s="212">
        <f t="shared" si="68"/>
        <v>14.730000000000004</v>
      </c>
      <c r="CY52" s="212">
        <f t="shared" si="68"/>
        <v>14.730000000000004</v>
      </c>
      <c r="CZ52" s="212">
        <f t="shared" si="68"/>
        <v>14.730000000000004</v>
      </c>
      <c r="DA52" s="212">
        <f t="shared" si="68"/>
        <v>14.730000000000004</v>
      </c>
    </row>
    <row r="53" spans="1:105">
      <c r="A53" s="203" t="str">
        <f>Income!A85</f>
        <v>Cash transfer - official</v>
      </c>
      <c r="F53" s="212">
        <f t="shared" ref="F53:AK53" si="69">IF(F$22&lt;=$E$24,IF(F$22&lt;=$D$24,IF(F$22&lt;=$C$24,IF(F$22&lt;=$B$24,$B119,($C36-$B36)/($C$24-$B$24)),($D36-$C36)/($D$24-$C$24)),($E36-$D36)/($E$24-$D$24)),$F119)</f>
        <v>0</v>
      </c>
      <c r="G53" s="212">
        <f t="shared" si="69"/>
        <v>0</v>
      </c>
      <c r="H53" s="212">
        <f t="shared" si="69"/>
        <v>0</v>
      </c>
      <c r="I53" s="212">
        <f t="shared" si="69"/>
        <v>0</v>
      </c>
      <c r="J53" s="212">
        <f t="shared" si="69"/>
        <v>0</v>
      </c>
      <c r="K53" s="212">
        <f t="shared" si="69"/>
        <v>0</v>
      </c>
      <c r="L53" s="212">
        <f t="shared" si="69"/>
        <v>0</v>
      </c>
      <c r="M53" s="212">
        <f t="shared" si="69"/>
        <v>0</v>
      </c>
      <c r="N53" s="212">
        <f t="shared" si="69"/>
        <v>0</v>
      </c>
      <c r="O53" s="212">
        <f t="shared" si="69"/>
        <v>0</v>
      </c>
      <c r="P53" s="212">
        <f t="shared" si="69"/>
        <v>0</v>
      </c>
      <c r="Q53" s="212">
        <f t="shared" si="69"/>
        <v>0</v>
      </c>
      <c r="R53" s="212">
        <f t="shared" si="69"/>
        <v>0</v>
      </c>
      <c r="S53" s="212">
        <f t="shared" si="69"/>
        <v>0</v>
      </c>
      <c r="T53" s="212">
        <f t="shared" si="69"/>
        <v>0</v>
      </c>
      <c r="U53" s="212">
        <f t="shared" si="69"/>
        <v>0</v>
      </c>
      <c r="V53" s="212">
        <f t="shared" si="69"/>
        <v>0</v>
      </c>
      <c r="W53" s="212">
        <f t="shared" si="69"/>
        <v>0</v>
      </c>
      <c r="X53" s="212">
        <f t="shared" si="69"/>
        <v>0</v>
      </c>
      <c r="Y53" s="212">
        <f t="shared" si="69"/>
        <v>0</v>
      </c>
      <c r="Z53" s="212">
        <f t="shared" si="69"/>
        <v>0</v>
      </c>
      <c r="AA53" s="212">
        <f t="shared" si="69"/>
        <v>0</v>
      </c>
      <c r="AB53" s="212">
        <f t="shared" si="69"/>
        <v>0</v>
      </c>
      <c r="AC53" s="212">
        <f t="shared" si="69"/>
        <v>0</v>
      </c>
      <c r="AD53" s="212">
        <f t="shared" si="69"/>
        <v>0</v>
      </c>
      <c r="AE53" s="212">
        <f t="shared" si="69"/>
        <v>0</v>
      </c>
      <c r="AF53" s="212">
        <f t="shared" si="69"/>
        <v>0</v>
      </c>
      <c r="AG53" s="212">
        <f t="shared" si="69"/>
        <v>0</v>
      </c>
      <c r="AH53" s="212">
        <f t="shared" si="69"/>
        <v>0</v>
      </c>
      <c r="AI53" s="212">
        <f t="shared" si="69"/>
        <v>0</v>
      </c>
      <c r="AJ53" s="212">
        <f t="shared" si="69"/>
        <v>0</v>
      </c>
      <c r="AK53" s="212">
        <f t="shared" si="69"/>
        <v>0</v>
      </c>
      <c r="AL53" s="212">
        <f t="shared" ref="AL53:BQ53" si="70">IF(AL$22&lt;=$E$24,IF(AL$22&lt;=$D$24,IF(AL$22&lt;=$C$24,IF(AL$22&lt;=$B$24,$B119,($C36-$B36)/($C$24-$B$24)),($D36-$C36)/($D$24-$C$24)),($E36-$D36)/($E$24-$D$24)),$F119)</f>
        <v>0</v>
      </c>
      <c r="AM53" s="212">
        <f t="shared" si="70"/>
        <v>0</v>
      </c>
      <c r="AN53" s="212">
        <f t="shared" si="70"/>
        <v>0</v>
      </c>
      <c r="AO53" s="212">
        <f t="shared" si="70"/>
        <v>0</v>
      </c>
      <c r="AP53" s="212">
        <f t="shared" si="70"/>
        <v>0</v>
      </c>
      <c r="AQ53" s="212">
        <f t="shared" si="70"/>
        <v>0</v>
      </c>
      <c r="AR53" s="212">
        <f t="shared" si="70"/>
        <v>0</v>
      </c>
      <c r="AS53" s="212">
        <f t="shared" si="70"/>
        <v>0</v>
      </c>
      <c r="AT53" s="212">
        <f t="shared" si="70"/>
        <v>0</v>
      </c>
      <c r="AU53" s="212">
        <f t="shared" si="70"/>
        <v>0</v>
      </c>
      <c r="AV53" s="212">
        <f t="shared" si="70"/>
        <v>0</v>
      </c>
      <c r="AW53" s="212">
        <f t="shared" si="70"/>
        <v>0</v>
      </c>
      <c r="AX53" s="212">
        <f t="shared" si="70"/>
        <v>0</v>
      </c>
      <c r="AY53" s="212">
        <f t="shared" si="70"/>
        <v>0</v>
      </c>
      <c r="AZ53" s="212">
        <f t="shared" si="70"/>
        <v>0</v>
      </c>
      <c r="BA53" s="212">
        <f t="shared" si="70"/>
        <v>-283.13265597147944</v>
      </c>
      <c r="BB53" s="212">
        <f t="shared" si="70"/>
        <v>-283.13265597147944</v>
      </c>
      <c r="BC53" s="212">
        <f t="shared" si="70"/>
        <v>-283.13265597147944</v>
      </c>
      <c r="BD53" s="212">
        <f t="shared" si="70"/>
        <v>-283.13265597147944</v>
      </c>
      <c r="BE53" s="212">
        <f t="shared" si="70"/>
        <v>-283.13265597147944</v>
      </c>
      <c r="BF53" s="212">
        <f t="shared" si="70"/>
        <v>-283.13265597147944</v>
      </c>
      <c r="BG53" s="212">
        <f t="shared" si="70"/>
        <v>-283.13265597147944</v>
      </c>
      <c r="BH53" s="212">
        <f t="shared" si="70"/>
        <v>-283.13265597147944</v>
      </c>
      <c r="BI53" s="212">
        <f t="shared" si="70"/>
        <v>-283.13265597147944</v>
      </c>
      <c r="BJ53" s="212">
        <f t="shared" si="70"/>
        <v>-283.13265597147944</v>
      </c>
      <c r="BK53" s="212">
        <f t="shared" si="70"/>
        <v>-283.13265597147944</v>
      </c>
      <c r="BL53" s="212">
        <f t="shared" si="70"/>
        <v>-283.13265597147944</v>
      </c>
      <c r="BM53" s="212">
        <f t="shared" si="70"/>
        <v>-283.13265597147944</v>
      </c>
      <c r="BN53" s="212">
        <f t="shared" si="70"/>
        <v>-283.13265597147944</v>
      </c>
      <c r="BO53" s="212">
        <f t="shared" si="70"/>
        <v>-283.13265597147944</v>
      </c>
      <c r="BP53" s="212">
        <f t="shared" si="70"/>
        <v>-283.13265597147944</v>
      </c>
      <c r="BQ53" s="212">
        <f t="shared" si="70"/>
        <v>-283.13265597147944</v>
      </c>
      <c r="BR53" s="212">
        <f t="shared" ref="BR53:DA53" si="71">IF(BR$22&lt;=$E$24,IF(BR$22&lt;=$D$24,IF(BR$22&lt;=$C$24,IF(BR$22&lt;=$B$24,$B119,($C36-$B36)/($C$24-$B$24)),($D36-$C36)/($D$24-$C$24)),($E36-$D36)/($E$24-$D$24)),$F119)</f>
        <v>-283.13265597147944</v>
      </c>
      <c r="BS53" s="212">
        <f t="shared" si="71"/>
        <v>-283.13265597147944</v>
      </c>
      <c r="BT53" s="212">
        <f t="shared" si="71"/>
        <v>-283.13265597147944</v>
      </c>
      <c r="BU53" s="212">
        <f t="shared" si="71"/>
        <v>-283.13265597147944</v>
      </c>
      <c r="BV53" s="212">
        <f t="shared" si="71"/>
        <v>-283.13265597147944</v>
      </c>
      <c r="BW53" s="212">
        <f t="shared" si="71"/>
        <v>-283.13265597147944</v>
      </c>
      <c r="BX53" s="212">
        <f t="shared" si="71"/>
        <v>-283.13265597147944</v>
      </c>
      <c r="BY53" s="212">
        <f t="shared" si="71"/>
        <v>-283.13265597147944</v>
      </c>
      <c r="BZ53" s="212">
        <f t="shared" si="71"/>
        <v>-283.13265597147944</v>
      </c>
      <c r="CA53" s="212">
        <f t="shared" si="71"/>
        <v>-283.13265597147944</v>
      </c>
      <c r="CB53" s="212">
        <f t="shared" si="71"/>
        <v>-283.13265597147944</v>
      </c>
      <c r="CC53" s="212">
        <f t="shared" si="71"/>
        <v>-283.13265597147944</v>
      </c>
      <c r="CD53" s="212">
        <f t="shared" si="71"/>
        <v>-283.13265597147944</v>
      </c>
      <c r="CE53" s="212">
        <f t="shared" si="71"/>
        <v>-283.13265597147944</v>
      </c>
      <c r="CF53" s="212">
        <f t="shared" si="71"/>
        <v>-283.13265597147944</v>
      </c>
      <c r="CG53" s="212">
        <f t="shared" si="71"/>
        <v>-283.13265597147944</v>
      </c>
      <c r="CH53" s="212">
        <f t="shared" si="71"/>
        <v>0</v>
      </c>
      <c r="CI53" s="212">
        <f t="shared" si="71"/>
        <v>0</v>
      </c>
      <c r="CJ53" s="212">
        <f t="shared" si="71"/>
        <v>0</v>
      </c>
      <c r="CK53" s="212">
        <f t="shared" si="71"/>
        <v>0</v>
      </c>
      <c r="CL53" s="212">
        <f t="shared" si="71"/>
        <v>0</v>
      </c>
      <c r="CM53" s="212">
        <f t="shared" si="71"/>
        <v>0</v>
      </c>
      <c r="CN53" s="212">
        <f t="shared" si="71"/>
        <v>0</v>
      </c>
      <c r="CO53" s="212">
        <f t="shared" si="71"/>
        <v>0</v>
      </c>
      <c r="CP53" s="212">
        <f t="shared" si="71"/>
        <v>0</v>
      </c>
      <c r="CQ53" s="212">
        <f t="shared" si="71"/>
        <v>0</v>
      </c>
      <c r="CR53" s="212">
        <f t="shared" si="71"/>
        <v>0</v>
      </c>
      <c r="CS53" s="212">
        <f t="shared" si="71"/>
        <v>0</v>
      </c>
      <c r="CT53" s="212">
        <f t="shared" si="71"/>
        <v>0</v>
      </c>
      <c r="CU53" s="212">
        <f t="shared" si="71"/>
        <v>0</v>
      </c>
      <c r="CV53" s="212">
        <f t="shared" si="71"/>
        <v>0</v>
      </c>
      <c r="CW53" s="212">
        <f t="shared" si="71"/>
        <v>0</v>
      </c>
      <c r="CX53" s="212">
        <f t="shared" si="71"/>
        <v>-1127.83</v>
      </c>
      <c r="CY53" s="212">
        <f t="shared" si="71"/>
        <v>-1127.83</v>
      </c>
      <c r="CZ53" s="212">
        <f t="shared" si="71"/>
        <v>-1127.83</v>
      </c>
      <c r="DA53" s="212">
        <f t="shared" si="71"/>
        <v>-1127.83</v>
      </c>
    </row>
    <row r="54" spans="1:105">
      <c r="A54" s="203" t="str">
        <f>Income!A86</f>
        <v>Cash transfer - gifts</v>
      </c>
      <c r="F54" s="212">
        <f t="shared" ref="F54:AK54" si="72">IF(F$22&lt;=$E$24,IF(F$22&lt;=$D$24,IF(F$22&lt;=$C$24,IF(F$22&lt;=$B$24,$B120,($C37-$B37)/($C$24-$B$24)),($D37-$C37)/($D$24-$C$24)),($E37-$D37)/($E$24-$D$24)),$F120)</f>
        <v>0</v>
      </c>
      <c r="G54" s="212">
        <f t="shared" si="72"/>
        <v>0</v>
      </c>
      <c r="H54" s="212">
        <f t="shared" si="72"/>
        <v>0</v>
      </c>
      <c r="I54" s="212">
        <f t="shared" si="72"/>
        <v>0</v>
      </c>
      <c r="J54" s="212">
        <f t="shared" si="72"/>
        <v>0</v>
      </c>
      <c r="K54" s="212">
        <f t="shared" si="72"/>
        <v>0</v>
      </c>
      <c r="L54" s="212">
        <f t="shared" si="72"/>
        <v>0</v>
      </c>
      <c r="M54" s="212">
        <f t="shared" si="72"/>
        <v>0</v>
      </c>
      <c r="N54" s="212">
        <f t="shared" si="72"/>
        <v>0</v>
      </c>
      <c r="O54" s="212">
        <f t="shared" si="72"/>
        <v>0</v>
      </c>
      <c r="P54" s="212">
        <f t="shared" si="72"/>
        <v>0</v>
      </c>
      <c r="Q54" s="212">
        <f t="shared" si="72"/>
        <v>0</v>
      </c>
      <c r="R54" s="212">
        <f t="shared" si="72"/>
        <v>0</v>
      </c>
      <c r="S54" s="212">
        <f t="shared" si="72"/>
        <v>49.411764705882348</v>
      </c>
      <c r="T54" s="212">
        <f t="shared" si="72"/>
        <v>49.411764705882348</v>
      </c>
      <c r="U54" s="212">
        <f t="shared" si="72"/>
        <v>49.411764705882348</v>
      </c>
      <c r="V54" s="212">
        <f t="shared" si="72"/>
        <v>49.411764705882348</v>
      </c>
      <c r="W54" s="212">
        <f t="shared" si="72"/>
        <v>49.411764705882348</v>
      </c>
      <c r="X54" s="212">
        <f t="shared" si="72"/>
        <v>49.411764705882348</v>
      </c>
      <c r="Y54" s="212">
        <f t="shared" si="72"/>
        <v>49.411764705882348</v>
      </c>
      <c r="Z54" s="212">
        <f t="shared" si="72"/>
        <v>49.411764705882348</v>
      </c>
      <c r="AA54" s="212">
        <f t="shared" si="72"/>
        <v>49.411764705882348</v>
      </c>
      <c r="AB54" s="212">
        <f t="shared" si="72"/>
        <v>49.411764705882348</v>
      </c>
      <c r="AC54" s="212">
        <f t="shared" si="72"/>
        <v>49.411764705882348</v>
      </c>
      <c r="AD54" s="212">
        <f t="shared" si="72"/>
        <v>49.411764705882348</v>
      </c>
      <c r="AE54" s="212">
        <f t="shared" si="72"/>
        <v>49.411764705882348</v>
      </c>
      <c r="AF54" s="212">
        <f t="shared" si="72"/>
        <v>49.411764705882348</v>
      </c>
      <c r="AG54" s="212">
        <f t="shared" si="72"/>
        <v>49.411764705882348</v>
      </c>
      <c r="AH54" s="212">
        <f t="shared" si="72"/>
        <v>49.411764705882348</v>
      </c>
      <c r="AI54" s="212">
        <f t="shared" si="72"/>
        <v>49.411764705882348</v>
      </c>
      <c r="AJ54" s="212">
        <f t="shared" si="72"/>
        <v>49.411764705882348</v>
      </c>
      <c r="AK54" s="212">
        <f t="shared" si="72"/>
        <v>49.411764705882348</v>
      </c>
      <c r="AL54" s="212">
        <f t="shared" ref="AL54:BQ54" si="73">IF(AL$22&lt;=$E$24,IF(AL$22&lt;=$D$24,IF(AL$22&lt;=$C$24,IF(AL$22&lt;=$B$24,$B120,($C37-$B37)/($C$24-$B$24)),($D37-$C37)/($D$24-$C$24)),($E37-$D37)/($E$24-$D$24)),$F120)</f>
        <v>49.411764705882348</v>
      </c>
      <c r="AM54" s="212">
        <f t="shared" si="73"/>
        <v>49.411764705882348</v>
      </c>
      <c r="AN54" s="212">
        <f t="shared" si="73"/>
        <v>49.411764705882348</v>
      </c>
      <c r="AO54" s="212">
        <f t="shared" si="73"/>
        <v>49.411764705882348</v>
      </c>
      <c r="AP54" s="212">
        <f t="shared" si="73"/>
        <v>49.411764705882348</v>
      </c>
      <c r="AQ54" s="212">
        <f t="shared" si="73"/>
        <v>49.411764705882348</v>
      </c>
      <c r="AR54" s="212">
        <f t="shared" si="73"/>
        <v>49.411764705882348</v>
      </c>
      <c r="AS54" s="212">
        <f t="shared" si="73"/>
        <v>49.411764705882348</v>
      </c>
      <c r="AT54" s="212">
        <f t="shared" si="73"/>
        <v>49.411764705882348</v>
      </c>
      <c r="AU54" s="212">
        <f t="shared" si="73"/>
        <v>49.411764705882348</v>
      </c>
      <c r="AV54" s="212">
        <f t="shared" si="73"/>
        <v>49.411764705882348</v>
      </c>
      <c r="AW54" s="212">
        <f t="shared" si="73"/>
        <v>49.411764705882348</v>
      </c>
      <c r="AX54" s="212">
        <f t="shared" si="73"/>
        <v>49.411764705882348</v>
      </c>
      <c r="AY54" s="212">
        <f t="shared" si="73"/>
        <v>49.411764705882348</v>
      </c>
      <c r="AZ54" s="212">
        <f t="shared" si="73"/>
        <v>49.411764705882348</v>
      </c>
      <c r="BA54" s="212">
        <f t="shared" si="73"/>
        <v>-50.909090909090899</v>
      </c>
      <c r="BB54" s="212">
        <f t="shared" si="73"/>
        <v>-50.909090909090899</v>
      </c>
      <c r="BC54" s="212">
        <f t="shared" si="73"/>
        <v>-50.909090909090899</v>
      </c>
      <c r="BD54" s="212">
        <f t="shared" si="73"/>
        <v>-50.909090909090899</v>
      </c>
      <c r="BE54" s="212">
        <f t="shared" si="73"/>
        <v>-50.909090909090899</v>
      </c>
      <c r="BF54" s="212">
        <f t="shared" si="73"/>
        <v>-50.909090909090899</v>
      </c>
      <c r="BG54" s="212">
        <f t="shared" si="73"/>
        <v>-50.909090909090899</v>
      </c>
      <c r="BH54" s="212">
        <f t="shared" si="73"/>
        <v>-50.909090909090899</v>
      </c>
      <c r="BI54" s="212">
        <f t="shared" si="73"/>
        <v>-50.909090909090899</v>
      </c>
      <c r="BJ54" s="212">
        <f t="shared" si="73"/>
        <v>-50.909090909090899</v>
      </c>
      <c r="BK54" s="212">
        <f t="shared" si="73"/>
        <v>-50.909090909090899</v>
      </c>
      <c r="BL54" s="212">
        <f t="shared" si="73"/>
        <v>-50.909090909090899</v>
      </c>
      <c r="BM54" s="212">
        <f t="shared" si="73"/>
        <v>-50.909090909090899</v>
      </c>
      <c r="BN54" s="212">
        <f t="shared" si="73"/>
        <v>-50.909090909090899</v>
      </c>
      <c r="BO54" s="212">
        <f t="shared" si="73"/>
        <v>-50.909090909090899</v>
      </c>
      <c r="BP54" s="212">
        <f t="shared" si="73"/>
        <v>-50.909090909090899</v>
      </c>
      <c r="BQ54" s="212">
        <f t="shared" si="73"/>
        <v>-50.909090909090899</v>
      </c>
      <c r="BR54" s="212">
        <f t="shared" ref="BR54:DA54" si="74">IF(BR$22&lt;=$E$24,IF(BR$22&lt;=$D$24,IF(BR$22&lt;=$C$24,IF(BR$22&lt;=$B$24,$B120,($C37-$B37)/($C$24-$B$24)),($D37-$C37)/($D$24-$C$24)),($E37-$D37)/($E$24-$D$24)),$F120)</f>
        <v>-50.909090909090899</v>
      </c>
      <c r="BS54" s="212">
        <f t="shared" si="74"/>
        <v>-50.909090909090899</v>
      </c>
      <c r="BT54" s="212">
        <f t="shared" si="74"/>
        <v>-50.909090909090899</v>
      </c>
      <c r="BU54" s="212">
        <f t="shared" si="74"/>
        <v>-50.909090909090899</v>
      </c>
      <c r="BV54" s="212">
        <f t="shared" si="74"/>
        <v>-50.909090909090899</v>
      </c>
      <c r="BW54" s="212">
        <f t="shared" si="74"/>
        <v>-50.909090909090899</v>
      </c>
      <c r="BX54" s="212">
        <f t="shared" si="74"/>
        <v>-50.909090909090899</v>
      </c>
      <c r="BY54" s="212">
        <f t="shared" si="74"/>
        <v>-50.909090909090899</v>
      </c>
      <c r="BZ54" s="212">
        <f t="shared" si="74"/>
        <v>-50.909090909090899</v>
      </c>
      <c r="CA54" s="212">
        <f t="shared" si="74"/>
        <v>-50.909090909090899</v>
      </c>
      <c r="CB54" s="212">
        <f t="shared" si="74"/>
        <v>-50.909090909090899</v>
      </c>
      <c r="CC54" s="212">
        <f t="shared" si="74"/>
        <v>-50.909090909090899</v>
      </c>
      <c r="CD54" s="212">
        <f t="shared" si="74"/>
        <v>-50.909090909090899</v>
      </c>
      <c r="CE54" s="212">
        <f t="shared" si="74"/>
        <v>-50.909090909090899</v>
      </c>
      <c r="CF54" s="212">
        <f t="shared" si="74"/>
        <v>-50.909090909090899</v>
      </c>
      <c r="CG54" s="212">
        <f t="shared" si="74"/>
        <v>-50.909090909090899</v>
      </c>
      <c r="CH54" s="212">
        <f t="shared" si="74"/>
        <v>0</v>
      </c>
      <c r="CI54" s="212">
        <f t="shared" si="74"/>
        <v>0</v>
      </c>
      <c r="CJ54" s="212">
        <f t="shared" si="74"/>
        <v>0</v>
      </c>
      <c r="CK54" s="212">
        <f t="shared" si="74"/>
        <v>0</v>
      </c>
      <c r="CL54" s="212">
        <f t="shared" si="74"/>
        <v>0</v>
      </c>
      <c r="CM54" s="212">
        <f t="shared" si="74"/>
        <v>0</v>
      </c>
      <c r="CN54" s="212">
        <f t="shared" si="74"/>
        <v>0</v>
      </c>
      <c r="CO54" s="212">
        <f t="shared" si="74"/>
        <v>0</v>
      </c>
      <c r="CP54" s="212">
        <f t="shared" si="74"/>
        <v>0</v>
      </c>
      <c r="CQ54" s="212">
        <f t="shared" si="74"/>
        <v>0</v>
      </c>
      <c r="CR54" s="212">
        <f t="shared" si="74"/>
        <v>0</v>
      </c>
      <c r="CS54" s="212">
        <f t="shared" si="74"/>
        <v>0</v>
      </c>
      <c r="CT54" s="212">
        <f t="shared" si="74"/>
        <v>0</v>
      </c>
      <c r="CU54" s="212">
        <f t="shared" si="74"/>
        <v>0</v>
      </c>
      <c r="CV54" s="212">
        <f t="shared" si="74"/>
        <v>0</v>
      </c>
      <c r="CW54" s="212">
        <f t="shared" si="74"/>
        <v>0</v>
      </c>
      <c r="CX54" s="212">
        <f t="shared" si="74"/>
        <v>296.33</v>
      </c>
      <c r="CY54" s="212">
        <f t="shared" si="74"/>
        <v>296.33</v>
      </c>
      <c r="CZ54" s="212">
        <f t="shared" si="74"/>
        <v>296.33</v>
      </c>
      <c r="DA54" s="212">
        <f t="shared" si="74"/>
        <v>296.33</v>
      </c>
    </row>
    <row r="55" spans="1:105">
      <c r="A55" s="203" t="str">
        <f>Income!A88</f>
        <v>TOTAL</v>
      </c>
    </row>
    <row r="56" spans="1:105">
      <c r="A56" s="203" t="str">
        <f>Income!A89</f>
        <v>Food Poverty line</v>
      </c>
    </row>
    <row r="57" spans="1:105">
      <c r="A57" s="203" t="str">
        <f>Income!A90</f>
        <v>Lower Bound Poverty line</v>
      </c>
    </row>
    <row r="59" spans="1:105" s="206" customFormat="1">
      <c r="A59" s="206" t="str">
        <f>Income!A72</f>
        <v>Own crops Consumed</v>
      </c>
      <c r="F59" s="206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1200.5294239670377</v>
      </c>
      <c r="G59" s="206">
        <f t="shared" si="75"/>
        <v>1200.5294239670377</v>
      </c>
      <c r="H59" s="206">
        <f t="shared" si="75"/>
        <v>1200.5294239670377</v>
      </c>
      <c r="I59" s="206">
        <f t="shared" si="75"/>
        <v>1200.5294239670377</v>
      </c>
      <c r="J59" s="206">
        <f t="shared" si="75"/>
        <v>1200.5294239670377</v>
      </c>
      <c r="K59" s="206">
        <f t="shared" si="75"/>
        <v>1200.5294239670377</v>
      </c>
      <c r="L59" s="206">
        <f t="shared" si="75"/>
        <v>1200.5294239670377</v>
      </c>
      <c r="M59" s="206">
        <f t="shared" si="75"/>
        <v>1200.5294239670377</v>
      </c>
      <c r="N59" s="206">
        <f t="shared" si="75"/>
        <v>1200.5294239670377</v>
      </c>
      <c r="O59" s="206">
        <f t="shared" si="75"/>
        <v>1200.5294239670377</v>
      </c>
      <c r="P59" s="206">
        <f t="shared" si="75"/>
        <v>1200.5294239670377</v>
      </c>
      <c r="Q59" s="206">
        <f t="shared" si="75"/>
        <v>1200.5294239670377</v>
      </c>
      <c r="R59" s="206">
        <f t="shared" si="75"/>
        <v>1200.5294239670377</v>
      </c>
      <c r="S59" s="206">
        <f t="shared" si="75"/>
        <v>1223.9315079855878</v>
      </c>
      <c r="T59" s="206">
        <f t="shared" si="75"/>
        <v>1270.7356760226883</v>
      </c>
      <c r="U59" s="206">
        <f t="shared" si="75"/>
        <v>1317.5398440597885</v>
      </c>
      <c r="V59" s="206">
        <f t="shared" si="75"/>
        <v>1364.3440120968889</v>
      </c>
      <c r="W59" s="206">
        <f t="shared" si="75"/>
        <v>1411.1481801339892</v>
      </c>
      <c r="X59" s="206">
        <f t="shared" si="75"/>
        <v>1457.9523481710894</v>
      </c>
      <c r="Y59" s="206">
        <f t="shared" si="75"/>
        <v>1504.7565162081899</v>
      </c>
      <c r="Z59" s="206">
        <f t="shared" si="75"/>
        <v>1551.5606842452901</v>
      </c>
      <c r="AA59" s="206">
        <f t="shared" si="75"/>
        <v>1598.3648522823905</v>
      </c>
      <c r="AB59" s="206">
        <f t="shared" si="75"/>
        <v>1645.1690203194908</v>
      </c>
      <c r="AC59" s="206">
        <f t="shared" si="75"/>
        <v>1691.973188356591</v>
      </c>
      <c r="AD59" s="206">
        <f t="shared" si="75"/>
        <v>1738.7773563936914</v>
      </c>
      <c r="AE59" s="206">
        <f t="shared" si="75"/>
        <v>1785.5815244307919</v>
      </c>
      <c r="AF59" s="206">
        <f t="shared" si="75"/>
        <v>1832.3856924678921</v>
      </c>
      <c r="AG59" s="206">
        <f t="shared" si="75"/>
        <v>1879.1898605049923</v>
      </c>
      <c r="AH59" s="206">
        <f t="shared" si="75"/>
        <v>1925.9940285420928</v>
      </c>
      <c r="AI59" s="206">
        <f t="shared" si="75"/>
        <v>1972.798196579193</v>
      </c>
      <c r="AJ59" s="206">
        <f t="shared" si="75"/>
        <v>2019.6023646162935</v>
      </c>
      <c r="AK59" s="206">
        <f t="shared" si="75"/>
        <v>2066.4065326533937</v>
      </c>
      <c r="AL59" s="206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2113.2107006904939</v>
      </c>
      <c r="AM59" s="206">
        <f t="shared" si="76"/>
        <v>2160.0148687275941</v>
      </c>
      <c r="AN59" s="206">
        <f t="shared" si="76"/>
        <v>2206.8190367646948</v>
      </c>
      <c r="AO59" s="206">
        <f t="shared" si="76"/>
        <v>2253.6232048017951</v>
      </c>
      <c r="AP59" s="206">
        <f t="shared" si="76"/>
        <v>2300.4273728388953</v>
      </c>
      <c r="AQ59" s="206">
        <f t="shared" si="76"/>
        <v>2347.231540875996</v>
      </c>
      <c r="AR59" s="206">
        <f t="shared" si="76"/>
        <v>2394.0357089130957</v>
      </c>
      <c r="AS59" s="206">
        <f t="shared" si="76"/>
        <v>2440.8398769501964</v>
      </c>
      <c r="AT59" s="206">
        <f t="shared" si="76"/>
        <v>2487.6440449872966</v>
      </c>
      <c r="AU59" s="206">
        <f t="shared" si="76"/>
        <v>2534.4482130243969</v>
      </c>
      <c r="AV59" s="206">
        <f t="shared" si="76"/>
        <v>2581.2523810614975</v>
      </c>
      <c r="AW59" s="206">
        <f t="shared" si="76"/>
        <v>2628.0565490985973</v>
      </c>
      <c r="AX59" s="206">
        <f t="shared" si="76"/>
        <v>2674.860717135698</v>
      </c>
      <c r="AY59" s="206">
        <f t="shared" si="76"/>
        <v>2721.6648851727982</v>
      </c>
      <c r="AZ59" s="206">
        <f t="shared" si="76"/>
        <v>2768.4690532098984</v>
      </c>
      <c r="BA59" s="206">
        <f t="shared" si="76"/>
        <v>2796.6075280003934</v>
      </c>
      <c r="BB59" s="206">
        <f t="shared" si="76"/>
        <v>2806.0803095442825</v>
      </c>
      <c r="BC59" s="206">
        <f t="shared" si="76"/>
        <v>2815.5530910881721</v>
      </c>
      <c r="BD59" s="206">
        <f t="shared" si="76"/>
        <v>2825.0258726320612</v>
      </c>
      <c r="BE59" s="206">
        <f t="shared" si="76"/>
        <v>2834.4986541759504</v>
      </c>
      <c r="BF59" s="206">
        <f t="shared" si="76"/>
        <v>2843.97143571984</v>
      </c>
      <c r="BG59" s="206">
        <f t="shared" si="76"/>
        <v>2853.4442172637291</v>
      </c>
      <c r="BH59" s="206">
        <f t="shared" si="76"/>
        <v>2862.9169988076183</v>
      </c>
      <c r="BI59" s="206">
        <f t="shared" si="76"/>
        <v>2872.3897803515079</v>
      </c>
      <c r="BJ59" s="206">
        <f t="shared" si="76"/>
        <v>2881.862561895397</v>
      </c>
      <c r="BK59" s="206">
        <f t="shared" si="76"/>
        <v>2891.3353434392861</v>
      </c>
      <c r="BL59" s="206">
        <f t="shared" si="76"/>
        <v>2900.8081249831757</v>
      </c>
      <c r="BM59" s="206">
        <f t="shared" si="76"/>
        <v>2910.2809065270649</v>
      </c>
      <c r="BN59" s="206">
        <f t="shared" si="76"/>
        <v>2919.753688070954</v>
      </c>
      <c r="BO59" s="206">
        <f t="shared" si="76"/>
        <v>2929.2264696148432</v>
      </c>
      <c r="BP59" s="206">
        <f t="shared" si="76"/>
        <v>2938.6992511587327</v>
      </c>
      <c r="BQ59" s="206">
        <f t="shared" si="76"/>
        <v>2948.1720327026219</v>
      </c>
      <c r="BR59" s="206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2957.644814246511</v>
      </c>
      <c r="BS59" s="206">
        <f t="shared" si="77"/>
        <v>2967.1175957904006</v>
      </c>
      <c r="BT59" s="206">
        <f t="shared" si="77"/>
        <v>2976.5903773342898</v>
      </c>
      <c r="BU59" s="206">
        <f t="shared" si="77"/>
        <v>2986.0631588781789</v>
      </c>
      <c r="BV59" s="206">
        <f t="shared" si="77"/>
        <v>2995.5359404220685</v>
      </c>
      <c r="BW59" s="206">
        <f t="shared" si="77"/>
        <v>3005.0087219659576</v>
      </c>
      <c r="BX59" s="206">
        <f t="shared" si="77"/>
        <v>3014.4815035098468</v>
      </c>
      <c r="BY59" s="206">
        <f t="shared" si="77"/>
        <v>3023.9542850537359</v>
      </c>
      <c r="BZ59" s="206">
        <f t="shared" si="77"/>
        <v>3033.4270665976255</v>
      </c>
      <c r="CA59" s="206">
        <f t="shared" si="77"/>
        <v>3042.8998481415147</v>
      </c>
      <c r="CB59" s="206">
        <f t="shared" si="77"/>
        <v>3052.3726296854038</v>
      </c>
      <c r="CC59" s="206">
        <f t="shared" si="77"/>
        <v>3061.8454112292934</v>
      </c>
      <c r="CD59" s="206">
        <f t="shared" si="77"/>
        <v>3071.3181927731825</v>
      </c>
      <c r="CE59" s="206">
        <f t="shared" si="77"/>
        <v>3080.7909743170717</v>
      </c>
      <c r="CF59" s="206">
        <f t="shared" si="77"/>
        <v>3090.2637558609613</v>
      </c>
      <c r="CG59" s="206">
        <f t="shared" si="77"/>
        <v>3099.7365374048504</v>
      </c>
      <c r="CH59" s="206">
        <f t="shared" si="77"/>
        <v>3135.2158839778999</v>
      </c>
      <c r="CI59" s="206">
        <f t="shared" si="77"/>
        <v>3196.7017955801098</v>
      </c>
      <c r="CJ59" s="206">
        <f t="shared" si="77"/>
        <v>3258.1877071823196</v>
      </c>
      <c r="CK59" s="206">
        <f t="shared" si="77"/>
        <v>3319.6736187845295</v>
      </c>
      <c r="CL59" s="206">
        <f t="shared" si="77"/>
        <v>3381.1595303867393</v>
      </c>
      <c r="CM59" s="206">
        <f t="shared" si="77"/>
        <v>3442.6454419889492</v>
      </c>
      <c r="CN59" s="206">
        <f t="shared" si="77"/>
        <v>3504.131353591159</v>
      </c>
      <c r="CO59" s="206">
        <f t="shared" si="77"/>
        <v>3565.6172651933693</v>
      </c>
      <c r="CP59" s="206">
        <f t="shared" si="77"/>
        <v>3627.1031767955792</v>
      </c>
      <c r="CQ59" s="206">
        <f t="shared" si="77"/>
        <v>3688.5890883977891</v>
      </c>
      <c r="CR59" s="206">
        <f t="shared" si="77"/>
        <v>3750.0749999999989</v>
      </c>
      <c r="CS59" s="206">
        <f t="shared" si="77"/>
        <v>3811.5609116022088</v>
      </c>
      <c r="CT59" s="206">
        <f t="shared" si="77"/>
        <v>3873.0468232044186</v>
      </c>
      <c r="CU59" s="206">
        <f t="shared" si="77"/>
        <v>3934.5327348066285</v>
      </c>
      <c r="CV59" s="206">
        <f t="shared" si="77"/>
        <v>3996.0186464088383</v>
      </c>
      <c r="CW59" s="206">
        <f t="shared" si="77"/>
        <v>4057.5045580110482</v>
      </c>
      <c r="CX59" s="206">
        <f t="shared" si="77"/>
        <v>4141.4275138121529</v>
      </c>
      <c r="CY59" s="206">
        <f t="shared" si="77"/>
        <v>4247.7875138121535</v>
      </c>
      <c r="CZ59" s="206">
        <f t="shared" si="77"/>
        <v>4354.1475138121532</v>
      </c>
      <c r="DA59" s="206">
        <f t="shared" si="77"/>
        <v>4460.5075138121538</v>
      </c>
    </row>
    <row r="60" spans="1:105" s="206" customFormat="1">
      <c r="A60" s="206" t="str">
        <f>Income!A73</f>
        <v>Own crops sold</v>
      </c>
      <c r="F60" s="206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6">
        <f t="shared" si="78"/>
        <v>0</v>
      </c>
      <c r="H60" s="206">
        <f t="shared" si="78"/>
        <v>0</v>
      </c>
      <c r="I60" s="206">
        <f t="shared" si="78"/>
        <v>0</v>
      </c>
      <c r="J60" s="206">
        <f t="shared" si="78"/>
        <v>0</v>
      </c>
      <c r="K60" s="206">
        <f t="shared" si="78"/>
        <v>0</v>
      </c>
      <c r="L60" s="206">
        <f t="shared" si="78"/>
        <v>0</v>
      </c>
      <c r="M60" s="206">
        <f t="shared" si="78"/>
        <v>0</v>
      </c>
      <c r="N60" s="206">
        <f t="shared" si="78"/>
        <v>0</v>
      </c>
      <c r="O60" s="206">
        <f t="shared" si="78"/>
        <v>0</v>
      </c>
      <c r="P60" s="206">
        <f t="shared" si="78"/>
        <v>0</v>
      </c>
      <c r="Q60" s="206">
        <f t="shared" si="78"/>
        <v>0</v>
      </c>
      <c r="R60" s="206">
        <f t="shared" si="78"/>
        <v>0</v>
      </c>
      <c r="S60" s="206">
        <f t="shared" si="78"/>
        <v>6.5882352941176459</v>
      </c>
      <c r="T60" s="206">
        <f t="shared" si="78"/>
        <v>19.764705882352938</v>
      </c>
      <c r="U60" s="206">
        <f t="shared" si="78"/>
        <v>32.941176470588232</v>
      </c>
      <c r="V60" s="206">
        <f t="shared" si="78"/>
        <v>46.117647058823522</v>
      </c>
      <c r="W60" s="206">
        <f t="shared" si="78"/>
        <v>59.294117647058812</v>
      </c>
      <c r="X60" s="206">
        <f t="shared" si="78"/>
        <v>72.470588235294102</v>
      </c>
      <c r="Y60" s="206">
        <f t="shared" si="78"/>
        <v>85.647058823529392</v>
      </c>
      <c r="Z60" s="206">
        <f t="shared" si="78"/>
        <v>98.823529411764682</v>
      </c>
      <c r="AA60" s="206">
        <f t="shared" si="78"/>
        <v>111.99999999999999</v>
      </c>
      <c r="AB60" s="206">
        <f t="shared" si="78"/>
        <v>125.17647058823528</v>
      </c>
      <c r="AC60" s="206">
        <f t="shared" si="78"/>
        <v>138.35294117647055</v>
      </c>
      <c r="AD60" s="206">
        <f t="shared" si="78"/>
        <v>151.52941176470586</v>
      </c>
      <c r="AE60" s="206">
        <f t="shared" si="78"/>
        <v>164.70588235294116</v>
      </c>
      <c r="AF60" s="206">
        <f t="shared" si="78"/>
        <v>177.88235294117644</v>
      </c>
      <c r="AG60" s="206">
        <f t="shared" si="78"/>
        <v>191.05882352941174</v>
      </c>
      <c r="AH60" s="206">
        <f t="shared" si="78"/>
        <v>204.23529411764702</v>
      </c>
      <c r="AI60" s="206">
        <f t="shared" si="78"/>
        <v>217.41176470588232</v>
      </c>
      <c r="AJ60" s="206">
        <f t="shared" si="78"/>
        <v>230.5882352941176</v>
      </c>
      <c r="AK60" s="206">
        <f t="shared" si="78"/>
        <v>243.7647058823529</v>
      </c>
      <c r="AL60" s="206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256.94117647058818</v>
      </c>
      <c r="AM60" s="206">
        <f t="shared" si="79"/>
        <v>270.11764705882348</v>
      </c>
      <c r="AN60" s="206">
        <f t="shared" si="79"/>
        <v>283.29411764705878</v>
      </c>
      <c r="AO60" s="206">
        <f t="shared" si="79"/>
        <v>296.47058823529409</v>
      </c>
      <c r="AP60" s="206">
        <f t="shared" si="79"/>
        <v>309.64705882352933</v>
      </c>
      <c r="AQ60" s="206">
        <f t="shared" si="79"/>
        <v>322.82352941176464</v>
      </c>
      <c r="AR60" s="206">
        <f t="shared" si="79"/>
        <v>335.99999999999994</v>
      </c>
      <c r="AS60" s="206">
        <f t="shared" si="79"/>
        <v>349.17647058823525</v>
      </c>
      <c r="AT60" s="206">
        <f t="shared" si="79"/>
        <v>362.35294117647049</v>
      </c>
      <c r="AU60" s="206">
        <f t="shared" si="79"/>
        <v>375.5294117647058</v>
      </c>
      <c r="AV60" s="206">
        <f t="shared" si="79"/>
        <v>388.7058823529411</v>
      </c>
      <c r="AW60" s="206">
        <f t="shared" si="79"/>
        <v>401.88235294117641</v>
      </c>
      <c r="AX60" s="206">
        <f t="shared" si="79"/>
        <v>415.05882352941171</v>
      </c>
      <c r="AY60" s="206">
        <f t="shared" si="79"/>
        <v>428.23529411764696</v>
      </c>
      <c r="AZ60" s="206">
        <f t="shared" si="79"/>
        <v>441.41176470588226</v>
      </c>
      <c r="BA60" s="206">
        <f t="shared" si="79"/>
        <v>498.3117575757575</v>
      </c>
      <c r="BB60" s="206">
        <f t="shared" si="79"/>
        <v>598.9352727272726</v>
      </c>
      <c r="BC60" s="206">
        <f t="shared" si="79"/>
        <v>699.55878787878783</v>
      </c>
      <c r="BD60" s="206">
        <f t="shared" si="79"/>
        <v>800.18230303030293</v>
      </c>
      <c r="BE60" s="206">
        <f t="shared" si="79"/>
        <v>900.80581818181804</v>
      </c>
      <c r="BF60" s="206">
        <f t="shared" si="79"/>
        <v>1001.4293333333333</v>
      </c>
      <c r="BG60" s="206">
        <f t="shared" si="79"/>
        <v>1102.0528484848483</v>
      </c>
      <c r="BH60" s="206">
        <f t="shared" si="79"/>
        <v>1202.6763636363635</v>
      </c>
      <c r="BI60" s="206">
        <f t="shared" si="79"/>
        <v>1303.2998787878787</v>
      </c>
      <c r="BJ60" s="206">
        <f t="shared" si="79"/>
        <v>1403.9233939393937</v>
      </c>
      <c r="BK60" s="206">
        <f t="shared" si="79"/>
        <v>1504.5469090909089</v>
      </c>
      <c r="BL60" s="206">
        <f t="shared" si="79"/>
        <v>1605.1704242424241</v>
      </c>
      <c r="BM60" s="206">
        <f t="shared" si="79"/>
        <v>1705.7939393939391</v>
      </c>
      <c r="BN60" s="206">
        <f t="shared" si="79"/>
        <v>1806.4174545454543</v>
      </c>
      <c r="BO60" s="206">
        <f t="shared" si="79"/>
        <v>1907.0409696969696</v>
      </c>
      <c r="BP60" s="206">
        <f t="shared" si="79"/>
        <v>2007.6644848484846</v>
      </c>
      <c r="BQ60" s="206">
        <f t="shared" si="79"/>
        <v>2108.2879999999996</v>
      </c>
      <c r="BR60" s="206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2208.9115151515148</v>
      </c>
      <c r="BS60" s="206">
        <f t="shared" si="80"/>
        <v>2309.53503030303</v>
      </c>
      <c r="BT60" s="206">
        <f t="shared" si="80"/>
        <v>2410.1585454545452</v>
      </c>
      <c r="BU60" s="206">
        <f t="shared" si="80"/>
        <v>2510.7820606060604</v>
      </c>
      <c r="BV60" s="206">
        <f t="shared" si="80"/>
        <v>2611.4055757575752</v>
      </c>
      <c r="BW60" s="206">
        <f t="shared" si="80"/>
        <v>2712.0290909090904</v>
      </c>
      <c r="BX60" s="206">
        <f t="shared" si="80"/>
        <v>2812.6526060606056</v>
      </c>
      <c r="BY60" s="206">
        <f t="shared" si="80"/>
        <v>2913.2761212121209</v>
      </c>
      <c r="BZ60" s="206">
        <f t="shared" si="80"/>
        <v>3013.8996363636361</v>
      </c>
      <c r="CA60" s="206">
        <f t="shared" si="80"/>
        <v>3114.5231515151513</v>
      </c>
      <c r="CB60" s="206">
        <f t="shared" si="80"/>
        <v>3215.1466666666661</v>
      </c>
      <c r="CC60" s="206">
        <f t="shared" si="80"/>
        <v>3315.7701818181813</v>
      </c>
      <c r="CD60" s="206">
        <f t="shared" si="80"/>
        <v>3416.3936969696965</v>
      </c>
      <c r="CE60" s="206">
        <f t="shared" si="80"/>
        <v>3517.0172121212117</v>
      </c>
      <c r="CF60" s="206">
        <f t="shared" si="80"/>
        <v>3617.640727272727</v>
      </c>
      <c r="CG60" s="206">
        <f t="shared" si="80"/>
        <v>3718.2642424242417</v>
      </c>
      <c r="CH60" s="206">
        <f t="shared" si="80"/>
        <v>3995.2079999999996</v>
      </c>
      <c r="CI60" s="206">
        <f t="shared" si="80"/>
        <v>4448.4719999999998</v>
      </c>
      <c r="CJ60" s="206">
        <f t="shared" si="80"/>
        <v>4901.7359999999999</v>
      </c>
      <c r="CK60" s="206">
        <f t="shared" si="80"/>
        <v>5355</v>
      </c>
      <c r="CL60" s="206">
        <f t="shared" si="80"/>
        <v>5808.2639999999992</v>
      </c>
      <c r="CM60" s="206">
        <f t="shared" si="80"/>
        <v>6261.5280000000002</v>
      </c>
      <c r="CN60" s="206">
        <f t="shared" si="80"/>
        <v>6714.7919999999995</v>
      </c>
      <c r="CO60" s="206">
        <f t="shared" si="80"/>
        <v>7168.0559999999996</v>
      </c>
      <c r="CP60" s="206">
        <f t="shared" si="80"/>
        <v>7621.32</v>
      </c>
      <c r="CQ60" s="206">
        <f t="shared" si="80"/>
        <v>8074.5839999999989</v>
      </c>
      <c r="CR60" s="206">
        <f t="shared" si="80"/>
        <v>8527.848</v>
      </c>
      <c r="CS60" s="206">
        <f t="shared" si="80"/>
        <v>8981.1119999999992</v>
      </c>
      <c r="CT60" s="206">
        <f t="shared" si="80"/>
        <v>9434.3760000000002</v>
      </c>
      <c r="CU60" s="206">
        <f t="shared" si="80"/>
        <v>9887.64</v>
      </c>
      <c r="CV60" s="206">
        <f t="shared" si="80"/>
        <v>10340.904</v>
      </c>
      <c r="CW60" s="206">
        <f t="shared" si="80"/>
        <v>10794.168</v>
      </c>
      <c r="CX60" s="206">
        <f t="shared" si="80"/>
        <v>11383.23</v>
      </c>
      <c r="CY60" s="206">
        <f t="shared" si="80"/>
        <v>12108.09</v>
      </c>
      <c r="CZ60" s="206">
        <f t="shared" si="80"/>
        <v>12832.949999999999</v>
      </c>
      <c r="DA60" s="206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13557.81</v>
      </c>
    </row>
    <row r="61" spans="1:105" s="206" customFormat="1">
      <c r="A61" s="206" t="str">
        <f>Income!A74</f>
        <v>Animal products consumed</v>
      </c>
      <c r="F61" s="206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6">
        <f t="shared" si="81"/>
        <v>0</v>
      </c>
      <c r="H61" s="206">
        <f t="shared" si="81"/>
        <v>0</v>
      </c>
      <c r="I61" s="206">
        <f t="shared" si="81"/>
        <v>0</v>
      </c>
      <c r="J61" s="206">
        <f t="shared" si="81"/>
        <v>0</v>
      </c>
      <c r="K61" s="206">
        <f t="shared" si="81"/>
        <v>0</v>
      </c>
      <c r="L61" s="206">
        <f t="shared" si="81"/>
        <v>0</v>
      </c>
      <c r="M61" s="206">
        <f t="shared" si="81"/>
        <v>0</v>
      </c>
      <c r="N61" s="206">
        <f t="shared" si="81"/>
        <v>0</v>
      </c>
      <c r="O61" s="206">
        <f t="shared" si="81"/>
        <v>0</v>
      </c>
      <c r="P61" s="206">
        <f t="shared" si="81"/>
        <v>0</v>
      </c>
      <c r="Q61" s="206">
        <f t="shared" si="81"/>
        <v>0</v>
      </c>
      <c r="R61" s="206">
        <f t="shared" si="81"/>
        <v>0</v>
      </c>
      <c r="S61" s="206">
        <f t="shared" si="81"/>
        <v>0.87372421593730731</v>
      </c>
      <c r="T61" s="206">
        <f t="shared" si="81"/>
        <v>2.6211726478119219</v>
      </c>
      <c r="U61" s="206">
        <f t="shared" si="81"/>
        <v>4.3686210796865366</v>
      </c>
      <c r="V61" s="206">
        <f t="shared" si="81"/>
        <v>6.1160695115611512</v>
      </c>
      <c r="W61" s="206">
        <f t="shared" si="81"/>
        <v>7.8635179434357658</v>
      </c>
      <c r="X61" s="206">
        <f t="shared" si="81"/>
        <v>9.6109663753103796</v>
      </c>
      <c r="Y61" s="206">
        <f t="shared" si="81"/>
        <v>11.358414807184996</v>
      </c>
      <c r="Z61" s="206">
        <f t="shared" si="81"/>
        <v>13.105863239059609</v>
      </c>
      <c r="AA61" s="206">
        <f t="shared" si="81"/>
        <v>14.853311670934225</v>
      </c>
      <c r="AB61" s="206">
        <f t="shared" si="81"/>
        <v>16.600760102808838</v>
      </c>
      <c r="AC61" s="206">
        <f t="shared" si="81"/>
        <v>18.348208534683454</v>
      </c>
      <c r="AD61" s="206">
        <f t="shared" si="81"/>
        <v>20.095656966558067</v>
      </c>
      <c r="AE61" s="206">
        <f t="shared" si="81"/>
        <v>21.843105398432684</v>
      </c>
      <c r="AF61" s="206">
        <f t="shared" si="81"/>
        <v>23.590553830307297</v>
      </c>
      <c r="AG61" s="206">
        <f t="shared" si="81"/>
        <v>25.338002262181913</v>
      </c>
      <c r="AH61" s="206">
        <f t="shared" si="81"/>
        <v>27.085450694056526</v>
      </c>
      <c r="AI61" s="206">
        <f t="shared" si="81"/>
        <v>28.832899125931142</v>
      </c>
      <c r="AJ61" s="206">
        <f t="shared" si="81"/>
        <v>30.580347557805755</v>
      </c>
      <c r="AK61" s="206">
        <f t="shared" si="81"/>
        <v>32.327795989680368</v>
      </c>
      <c r="AL61" s="206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34.075244421554984</v>
      </c>
      <c r="AM61" s="206">
        <f t="shared" si="82"/>
        <v>35.822692853429601</v>
      </c>
      <c r="AN61" s="206">
        <f t="shared" si="82"/>
        <v>37.570141285304217</v>
      </c>
      <c r="AO61" s="206">
        <f t="shared" si="82"/>
        <v>39.317589717178826</v>
      </c>
      <c r="AP61" s="206">
        <f t="shared" si="82"/>
        <v>41.065038149053443</v>
      </c>
      <c r="AQ61" s="206">
        <f t="shared" si="82"/>
        <v>42.812486580928059</v>
      </c>
      <c r="AR61" s="206">
        <f t="shared" si="82"/>
        <v>44.559935012802676</v>
      </c>
      <c r="AS61" s="206">
        <f t="shared" si="82"/>
        <v>46.307383444677285</v>
      </c>
      <c r="AT61" s="206">
        <f t="shared" si="82"/>
        <v>48.054831876551901</v>
      </c>
      <c r="AU61" s="206">
        <f t="shared" si="82"/>
        <v>49.802280308426518</v>
      </c>
      <c r="AV61" s="206">
        <f t="shared" si="82"/>
        <v>51.549728740301134</v>
      </c>
      <c r="AW61" s="206">
        <f t="shared" si="82"/>
        <v>53.297177172175743</v>
      </c>
      <c r="AX61" s="206">
        <f t="shared" si="82"/>
        <v>55.04462560405036</v>
      </c>
      <c r="AY61" s="206">
        <f t="shared" si="82"/>
        <v>56.792074035924976</v>
      </c>
      <c r="AZ61" s="206">
        <f t="shared" si="82"/>
        <v>58.539522467799593</v>
      </c>
      <c r="BA61" s="206">
        <f t="shared" si="82"/>
        <v>63.853597518248392</v>
      </c>
      <c r="BB61" s="206">
        <f t="shared" si="82"/>
        <v>72.734299187271361</v>
      </c>
      <c r="BC61" s="206">
        <f t="shared" si="82"/>
        <v>81.615000856294344</v>
      </c>
      <c r="BD61" s="206">
        <f t="shared" si="82"/>
        <v>90.495702525317313</v>
      </c>
      <c r="BE61" s="206">
        <f t="shared" si="82"/>
        <v>99.376404194340296</v>
      </c>
      <c r="BF61" s="206">
        <f t="shared" si="82"/>
        <v>108.25710586336326</v>
      </c>
      <c r="BG61" s="206">
        <f t="shared" si="82"/>
        <v>117.13780753238625</v>
      </c>
      <c r="BH61" s="206">
        <f t="shared" si="82"/>
        <v>126.01850920140922</v>
      </c>
      <c r="BI61" s="206">
        <f t="shared" si="82"/>
        <v>134.8992108704322</v>
      </c>
      <c r="BJ61" s="206">
        <f t="shared" si="82"/>
        <v>143.77991253945515</v>
      </c>
      <c r="BK61" s="206">
        <f t="shared" si="82"/>
        <v>152.66061420847814</v>
      </c>
      <c r="BL61" s="206">
        <f t="shared" si="82"/>
        <v>161.54131587750112</v>
      </c>
      <c r="BM61" s="206">
        <f t="shared" si="82"/>
        <v>170.4220175465241</v>
      </c>
      <c r="BN61" s="206">
        <f t="shared" si="82"/>
        <v>179.30271921554709</v>
      </c>
      <c r="BO61" s="206">
        <f t="shared" si="82"/>
        <v>188.18342088457004</v>
      </c>
      <c r="BP61" s="206">
        <f t="shared" si="82"/>
        <v>197.06412255359302</v>
      </c>
      <c r="BQ61" s="206">
        <f t="shared" si="82"/>
        <v>205.94482422261601</v>
      </c>
      <c r="BR61" s="206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214.82552589163899</v>
      </c>
      <c r="BS61" s="206">
        <f t="shared" si="83"/>
        <v>223.70622756066194</v>
      </c>
      <c r="BT61" s="206">
        <f t="shared" si="83"/>
        <v>232.58692922968493</v>
      </c>
      <c r="BU61" s="206">
        <f t="shared" si="83"/>
        <v>241.46763089870791</v>
      </c>
      <c r="BV61" s="206">
        <f t="shared" si="83"/>
        <v>250.34833256773089</v>
      </c>
      <c r="BW61" s="206">
        <f t="shared" si="83"/>
        <v>259.22903423675382</v>
      </c>
      <c r="BX61" s="206">
        <f t="shared" si="83"/>
        <v>268.1097359057768</v>
      </c>
      <c r="BY61" s="206">
        <f t="shared" si="83"/>
        <v>276.99043757479978</v>
      </c>
      <c r="BZ61" s="206">
        <f t="shared" si="83"/>
        <v>285.87113924382277</v>
      </c>
      <c r="CA61" s="206">
        <f t="shared" si="83"/>
        <v>294.75184091284575</v>
      </c>
      <c r="CB61" s="206">
        <f t="shared" si="83"/>
        <v>303.63254258186873</v>
      </c>
      <c r="CC61" s="206">
        <f t="shared" si="83"/>
        <v>312.51324425089172</v>
      </c>
      <c r="CD61" s="206">
        <f t="shared" si="83"/>
        <v>321.3939459199147</v>
      </c>
      <c r="CE61" s="206">
        <f t="shared" si="83"/>
        <v>330.27464758893768</v>
      </c>
      <c r="CF61" s="206">
        <f t="shared" si="83"/>
        <v>339.15534925796067</v>
      </c>
      <c r="CG61" s="206">
        <f t="shared" si="83"/>
        <v>348.03605092698365</v>
      </c>
      <c r="CH61" s="206">
        <f t="shared" si="83"/>
        <v>357.30582719327833</v>
      </c>
      <c r="CI61" s="206">
        <f t="shared" si="83"/>
        <v>366.96467805684478</v>
      </c>
      <c r="CJ61" s="206">
        <f t="shared" si="83"/>
        <v>376.62352892041127</v>
      </c>
      <c r="CK61" s="206">
        <f t="shared" si="83"/>
        <v>386.28237978397772</v>
      </c>
      <c r="CL61" s="206">
        <f t="shared" si="83"/>
        <v>395.94123064754422</v>
      </c>
      <c r="CM61" s="206">
        <f t="shared" si="83"/>
        <v>405.60008151111066</v>
      </c>
      <c r="CN61" s="206">
        <f t="shared" si="83"/>
        <v>415.25893237467716</v>
      </c>
      <c r="CO61" s="206">
        <f t="shared" si="83"/>
        <v>424.9177832382436</v>
      </c>
      <c r="CP61" s="206">
        <f t="shared" si="83"/>
        <v>434.5766341018101</v>
      </c>
      <c r="CQ61" s="206">
        <f t="shared" si="83"/>
        <v>444.23548496537654</v>
      </c>
      <c r="CR61" s="206">
        <f t="shared" si="83"/>
        <v>453.89433582894304</v>
      </c>
      <c r="CS61" s="206">
        <f t="shared" si="83"/>
        <v>463.55318669250948</v>
      </c>
      <c r="CT61" s="206">
        <f t="shared" si="83"/>
        <v>473.21203755607598</v>
      </c>
      <c r="CU61" s="206">
        <f t="shared" si="83"/>
        <v>482.87088841964243</v>
      </c>
      <c r="CV61" s="206">
        <f t="shared" si="83"/>
        <v>492.52973928320893</v>
      </c>
      <c r="CW61" s="206">
        <f t="shared" si="83"/>
        <v>502.18859014677537</v>
      </c>
      <c r="CX61" s="206">
        <f t="shared" si="83"/>
        <v>511.23351557855864</v>
      </c>
      <c r="CY61" s="206">
        <f t="shared" si="83"/>
        <v>519.66451557855862</v>
      </c>
      <c r="CZ61" s="206">
        <f t="shared" si="83"/>
        <v>528.09551557855866</v>
      </c>
      <c r="DA61" s="206">
        <f t="shared" si="83"/>
        <v>536.52651557855859</v>
      </c>
    </row>
    <row r="62" spans="1:105" s="206" customFormat="1">
      <c r="A62" s="206" t="str">
        <f>Income!A75</f>
        <v>Animal products sold</v>
      </c>
      <c r="F62" s="206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6">
        <f t="shared" si="84"/>
        <v>0</v>
      </c>
      <c r="H62" s="206">
        <f t="shared" si="84"/>
        <v>0</v>
      </c>
      <c r="I62" s="206">
        <f t="shared" si="84"/>
        <v>0</v>
      </c>
      <c r="J62" s="206">
        <f t="shared" si="84"/>
        <v>0</v>
      </c>
      <c r="K62" s="206">
        <f t="shared" si="84"/>
        <v>0</v>
      </c>
      <c r="L62" s="206">
        <f t="shared" si="84"/>
        <v>0</v>
      </c>
      <c r="M62" s="206">
        <f t="shared" si="84"/>
        <v>0</v>
      </c>
      <c r="N62" s="206">
        <f t="shared" si="84"/>
        <v>0</v>
      </c>
      <c r="O62" s="206">
        <f t="shared" si="84"/>
        <v>0</v>
      </c>
      <c r="P62" s="206">
        <f t="shared" si="84"/>
        <v>0</v>
      </c>
      <c r="Q62" s="206">
        <f t="shared" si="84"/>
        <v>0</v>
      </c>
      <c r="R62" s="206">
        <f t="shared" si="84"/>
        <v>0</v>
      </c>
      <c r="S62" s="206">
        <f t="shared" si="84"/>
        <v>0</v>
      </c>
      <c r="T62" s="206">
        <f t="shared" si="84"/>
        <v>0</v>
      </c>
      <c r="U62" s="206">
        <f t="shared" si="84"/>
        <v>0</v>
      </c>
      <c r="V62" s="206">
        <f t="shared" si="84"/>
        <v>0</v>
      </c>
      <c r="W62" s="206">
        <f t="shared" si="84"/>
        <v>0</v>
      </c>
      <c r="X62" s="206">
        <f t="shared" si="84"/>
        <v>0</v>
      </c>
      <c r="Y62" s="206">
        <f t="shared" si="84"/>
        <v>0</v>
      </c>
      <c r="Z62" s="206">
        <f t="shared" si="84"/>
        <v>0</v>
      </c>
      <c r="AA62" s="206">
        <f t="shared" si="84"/>
        <v>0</v>
      </c>
      <c r="AB62" s="206">
        <f t="shared" si="84"/>
        <v>0</v>
      </c>
      <c r="AC62" s="206">
        <f t="shared" si="84"/>
        <v>0</v>
      </c>
      <c r="AD62" s="206">
        <f t="shared" si="84"/>
        <v>0</v>
      </c>
      <c r="AE62" s="206">
        <f t="shared" si="84"/>
        <v>0</v>
      </c>
      <c r="AF62" s="206">
        <f t="shared" si="84"/>
        <v>0</v>
      </c>
      <c r="AG62" s="206">
        <f t="shared" si="84"/>
        <v>0</v>
      </c>
      <c r="AH62" s="206">
        <f t="shared" si="84"/>
        <v>0</v>
      </c>
      <c r="AI62" s="206">
        <f t="shared" si="84"/>
        <v>0</v>
      </c>
      <c r="AJ62" s="206">
        <f t="shared" si="84"/>
        <v>0</v>
      </c>
      <c r="AK62" s="206">
        <f t="shared" si="84"/>
        <v>0</v>
      </c>
      <c r="AL62" s="206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6">
        <f t="shared" si="85"/>
        <v>0</v>
      </c>
      <c r="AN62" s="206">
        <f t="shared" si="85"/>
        <v>0</v>
      </c>
      <c r="AO62" s="206">
        <f t="shared" si="85"/>
        <v>0</v>
      </c>
      <c r="AP62" s="206">
        <f t="shared" si="85"/>
        <v>0</v>
      </c>
      <c r="AQ62" s="206">
        <f t="shared" si="85"/>
        <v>0</v>
      </c>
      <c r="AR62" s="206">
        <f t="shared" si="85"/>
        <v>0</v>
      </c>
      <c r="AS62" s="206">
        <f t="shared" si="85"/>
        <v>0</v>
      </c>
      <c r="AT62" s="206">
        <f t="shared" si="85"/>
        <v>0</v>
      </c>
      <c r="AU62" s="206">
        <f t="shared" si="85"/>
        <v>0</v>
      </c>
      <c r="AV62" s="206">
        <f t="shared" si="85"/>
        <v>0</v>
      </c>
      <c r="AW62" s="206">
        <f t="shared" si="85"/>
        <v>0</v>
      </c>
      <c r="AX62" s="206">
        <f t="shared" si="85"/>
        <v>0</v>
      </c>
      <c r="AY62" s="206">
        <f t="shared" si="85"/>
        <v>0</v>
      </c>
      <c r="AZ62" s="206">
        <f t="shared" si="85"/>
        <v>0</v>
      </c>
      <c r="BA62" s="206">
        <f t="shared" si="85"/>
        <v>0</v>
      </c>
      <c r="BB62" s="206">
        <f t="shared" si="85"/>
        <v>0</v>
      </c>
      <c r="BC62" s="206">
        <f t="shared" si="85"/>
        <v>0</v>
      </c>
      <c r="BD62" s="206">
        <f t="shared" si="85"/>
        <v>0</v>
      </c>
      <c r="BE62" s="206">
        <f t="shared" si="85"/>
        <v>0</v>
      </c>
      <c r="BF62" s="206">
        <f t="shared" si="85"/>
        <v>0</v>
      </c>
      <c r="BG62" s="206">
        <f t="shared" si="85"/>
        <v>0</v>
      </c>
      <c r="BH62" s="206">
        <f t="shared" si="85"/>
        <v>0</v>
      </c>
      <c r="BI62" s="206">
        <f t="shared" si="85"/>
        <v>0</v>
      </c>
      <c r="BJ62" s="206">
        <f t="shared" si="85"/>
        <v>0</v>
      </c>
      <c r="BK62" s="206">
        <f t="shared" si="85"/>
        <v>0</v>
      </c>
      <c r="BL62" s="206">
        <f t="shared" si="85"/>
        <v>0</v>
      </c>
      <c r="BM62" s="206">
        <f t="shared" si="85"/>
        <v>0</v>
      </c>
      <c r="BN62" s="206">
        <f t="shared" si="85"/>
        <v>0</v>
      </c>
      <c r="BO62" s="206">
        <f t="shared" si="85"/>
        <v>0</v>
      </c>
      <c r="BP62" s="206">
        <f t="shared" si="85"/>
        <v>0</v>
      </c>
      <c r="BQ62" s="206">
        <f t="shared" si="85"/>
        <v>0</v>
      </c>
      <c r="BR62" s="206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6">
        <f t="shared" si="86"/>
        <v>0</v>
      </c>
      <c r="BT62" s="206">
        <f t="shared" si="86"/>
        <v>0</v>
      </c>
      <c r="BU62" s="206">
        <f t="shared" si="86"/>
        <v>0</v>
      </c>
      <c r="BV62" s="206">
        <f t="shared" si="86"/>
        <v>0</v>
      </c>
      <c r="BW62" s="206">
        <f t="shared" si="86"/>
        <v>0</v>
      </c>
      <c r="BX62" s="206">
        <f t="shared" si="86"/>
        <v>0</v>
      </c>
      <c r="BY62" s="206">
        <f t="shared" si="86"/>
        <v>0</v>
      </c>
      <c r="BZ62" s="206">
        <f t="shared" si="86"/>
        <v>0</v>
      </c>
      <c r="CA62" s="206">
        <f t="shared" si="86"/>
        <v>0</v>
      </c>
      <c r="CB62" s="206">
        <f t="shared" si="86"/>
        <v>0</v>
      </c>
      <c r="CC62" s="206">
        <f t="shared" si="86"/>
        <v>0</v>
      </c>
      <c r="CD62" s="206">
        <f t="shared" si="86"/>
        <v>0</v>
      </c>
      <c r="CE62" s="206">
        <f t="shared" si="86"/>
        <v>0</v>
      </c>
      <c r="CF62" s="206">
        <f t="shared" si="86"/>
        <v>0</v>
      </c>
      <c r="CG62" s="206">
        <f t="shared" si="86"/>
        <v>0</v>
      </c>
      <c r="CH62" s="206">
        <f t="shared" si="86"/>
        <v>0</v>
      </c>
      <c r="CI62" s="206">
        <f t="shared" si="86"/>
        <v>0</v>
      </c>
      <c r="CJ62" s="206">
        <f t="shared" si="86"/>
        <v>0</v>
      </c>
      <c r="CK62" s="206">
        <f t="shared" si="86"/>
        <v>0</v>
      </c>
      <c r="CL62" s="206">
        <f t="shared" si="86"/>
        <v>0</v>
      </c>
      <c r="CM62" s="206">
        <f t="shared" si="86"/>
        <v>0</v>
      </c>
      <c r="CN62" s="206">
        <f t="shared" si="86"/>
        <v>0</v>
      </c>
      <c r="CO62" s="206">
        <f t="shared" si="86"/>
        <v>0</v>
      </c>
      <c r="CP62" s="206">
        <f t="shared" si="86"/>
        <v>0</v>
      </c>
      <c r="CQ62" s="206">
        <f t="shared" si="86"/>
        <v>0</v>
      </c>
      <c r="CR62" s="206">
        <f t="shared" si="86"/>
        <v>0</v>
      </c>
      <c r="CS62" s="206">
        <f t="shared" si="86"/>
        <v>0</v>
      </c>
      <c r="CT62" s="206">
        <f t="shared" si="86"/>
        <v>0</v>
      </c>
      <c r="CU62" s="206">
        <f t="shared" si="86"/>
        <v>0</v>
      </c>
      <c r="CV62" s="206">
        <f t="shared" si="86"/>
        <v>0</v>
      </c>
      <c r="CW62" s="206">
        <f t="shared" si="86"/>
        <v>0</v>
      </c>
      <c r="CX62" s="206">
        <f t="shared" si="86"/>
        <v>0</v>
      </c>
      <c r="CY62" s="206">
        <f t="shared" si="86"/>
        <v>0</v>
      </c>
      <c r="CZ62" s="206">
        <f t="shared" si="86"/>
        <v>0</v>
      </c>
      <c r="DA62" s="206">
        <f t="shared" si="86"/>
        <v>0</v>
      </c>
    </row>
    <row r="63" spans="1:105" s="206" customFormat="1">
      <c r="A63" s="206" t="str">
        <f>Income!A76</f>
        <v>Animals sold</v>
      </c>
      <c r="F63" s="206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6">
        <f t="shared" si="87"/>
        <v>0</v>
      </c>
      <c r="H63" s="206">
        <f t="shared" si="87"/>
        <v>0</v>
      </c>
      <c r="I63" s="206">
        <f t="shared" si="87"/>
        <v>0</v>
      </c>
      <c r="J63" s="206">
        <f t="shared" si="87"/>
        <v>0</v>
      </c>
      <c r="K63" s="206">
        <f t="shared" si="87"/>
        <v>0</v>
      </c>
      <c r="L63" s="206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6">
        <f t="shared" si="87"/>
        <v>0</v>
      </c>
      <c r="N63" s="206">
        <f t="shared" si="87"/>
        <v>0</v>
      </c>
      <c r="O63" s="206">
        <f t="shared" si="87"/>
        <v>0</v>
      </c>
      <c r="P63" s="206">
        <f t="shared" si="87"/>
        <v>0</v>
      </c>
      <c r="Q63" s="206">
        <f t="shared" si="87"/>
        <v>0</v>
      </c>
      <c r="R63" s="206">
        <f t="shared" si="87"/>
        <v>0</v>
      </c>
      <c r="S63" s="206">
        <f t="shared" si="87"/>
        <v>61.410588235294121</v>
      </c>
      <c r="T63" s="206">
        <f t="shared" si="87"/>
        <v>184.23176470588237</v>
      </c>
      <c r="U63" s="206">
        <f t="shared" si="87"/>
        <v>307.0529411764706</v>
      </c>
      <c r="V63" s="206">
        <f t="shared" si="87"/>
        <v>429.87411764705882</v>
      </c>
      <c r="W63" s="206">
        <f t="shared" si="87"/>
        <v>552.69529411764711</v>
      </c>
      <c r="X63" s="206">
        <f t="shared" si="87"/>
        <v>675.51647058823528</v>
      </c>
      <c r="Y63" s="206">
        <f t="shared" si="87"/>
        <v>798.33764705882356</v>
      </c>
      <c r="Z63" s="206">
        <f t="shared" si="87"/>
        <v>921.15882352941185</v>
      </c>
      <c r="AA63" s="206">
        <f t="shared" si="87"/>
        <v>1043.98</v>
      </c>
      <c r="AB63" s="206">
        <f t="shared" si="87"/>
        <v>1166.8011764705882</v>
      </c>
      <c r="AC63" s="206">
        <f t="shared" si="87"/>
        <v>1289.6223529411766</v>
      </c>
      <c r="AD63" s="206">
        <f t="shared" si="87"/>
        <v>1412.4435294117648</v>
      </c>
      <c r="AE63" s="206">
        <f t="shared" si="87"/>
        <v>1535.2647058823529</v>
      </c>
      <c r="AF63" s="206">
        <f t="shared" si="87"/>
        <v>1658.0858823529413</v>
      </c>
      <c r="AG63" s="206">
        <f t="shared" si="87"/>
        <v>1780.9070588235295</v>
      </c>
      <c r="AH63" s="206">
        <f t="shared" si="87"/>
        <v>1903.7282352941177</v>
      </c>
      <c r="AI63" s="206">
        <f t="shared" si="87"/>
        <v>2026.5494117647061</v>
      </c>
      <c r="AJ63" s="206">
        <f t="shared" si="87"/>
        <v>2149.3705882352942</v>
      </c>
      <c r="AK63" s="206">
        <f t="shared" si="87"/>
        <v>2272.1917647058826</v>
      </c>
      <c r="AL63" s="206">
        <f t="shared" si="87"/>
        <v>2395.0129411764706</v>
      </c>
      <c r="AM63" s="206">
        <f t="shared" si="87"/>
        <v>2517.834117647059</v>
      </c>
      <c r="AN63" s="206">
        <f t="shared" si="87"/>
        <v>2640.6552941176474</v>
      </c>
      <c r="AO63" s="206">
        <f t="shared" si="87"/>
        <v>2763.4764705882353</v>
      </c>
      <c r="AP63" s="206">
        <f t="shared" si="87"/>
        <v>2886.2976470588237</v>
      </c>
      <c r="AQ63" s="206">
        <f t="shared" si="87"/>
        <v>3009.1188235294121</v>
      </c>
      <c r="AR63" s="206">
        <f t="shared" si="87"/>
        <v>3131.94</v>
      </c>
      <c r="AS63" s="206">
        <f t="shared" si="87"/>
        <v>3254.7611764705885</v>
      </c>
      <c r="AT63" s="206">
        <f t="shared" si="87"/>
        <v>3377.5823529411769</v>
      </c>
      <c r="AU63" s="206">
        <f t="shared" si="87"/>
        <v>3500.4035294117648</v>
      </c>
      <c r="AV63" s="206">
        <f t="shared" si="87"/>
        <v>3623.2247058823532</v>
      </c>
      <c r="AW63" s="206">
        <f t="shared" si="87"/>
        <v>3746.0458823529416</v>
      </c>
      <c r="AX63" s="206">
        <f t="shared" si="87"/>
        <v>3868.8670588235295</v>
      </c>
      <c r="AY63" s="206">
        <f t="shared" si="87"/>
        <v>3991.6882352941179</v>
      </c>
      <c r="AZ63" s="206">
        <f t="shared" si="87"/>
        <v>4114.5094117647059</v>
      </c>
      <c r="BA63" s="206">
        <f t="shared" si="87"/>
        <v>4287.7757575757578</v>
      </c>
      <c r="BB63" s="206">
        <f t="shared" si="87"/>
        <v>4511.4872727272723</v>
      </c>
      <c r="BC63" s="206">
        <f t="shared" si="87"/>
        <v>4735.1987878787877</v>
      </c>
      <c r="BD63" s="206">
        <f t="shared" si="87"/>
        <v>4958.9103030303031</v>
      </c>
      <c r="BE63" s="206">
        <f t="shared" si="87"/>
        <v>5182.6218181818185</v>
      </c>
      <c r="BF63" s="206">
        <f t="shared" si="87"/>
        <v>5406.333333333333</v>
      </c>
      <c r="BG63" s="206">
        <f t="shared" si="87"/>
        <v>5630.0448484848484</v>
      </c>
      <c r="BH63" s="206">
        <f t="shared" si="87"/>
        <v>5853.7563636363639</v>
      </c>
      <c r="BI63" s="206">
        <f t="shared" si="87"/>
        <v>6077.4678787878784</v>
      </c>
      <c r="BJ63" s="206">
        <f t="shared" si="87"/>
        <v>6301.1793939393938</v>
      </c>
      <c r="BK63" s="206">
        <f t="shared" si="87"/>
        <v>6524.8909090909092</v>
      </c>
      <c r="BL63" s="206">
        <f t="shared" si="87"/>
        <v>6748.6024242424246</v>
      </c>
      <c r="BM63" s="206">
        <f t="shared" si="87"/>
        <v>6972.3139393939391</v>
      </c>
      <c r="BN63" s="206">
        <f t="shared" si="87"/>
        <v>7196.0254545454545</v>
      </c>
      <c r="BO63" s="206">
        <f t="shared" si="87"/>
        <v>7419.736969696969</v>
      </c>
      <c r="BP63" s="206">
        <f t="shared" si="87"/>
        <v>7643.4484848484844</v>
      </c>
      <c r="BQ63" s="206">
        <f t="shared" si="87"/>
        <v>7867.16</v>
      </c>
      <c r="BR63" s="206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8090.8715151515153</v>
      </c>
      <c r="BS63" s="206">
        <f t="shared" si="89"/>
        <v>8314.5830303030307</v>
      </c>
      <c r="BT63" s="206">
        <f t="shared" si="89"/>
        <v>8538.2945454545443</v>
      </c>
      <c r="BU63" s="206">
        <f t="shared" si="89"/>
        <v>8762.0060606060615</v>
      </c>
      <c r="BV63" s="206">
        <f t="shared" si="89"/>
        <v>8985.7175757575751</v>
      </c>
      <c r="BW63" s="206">
        <f t="shared" si="89"/>
        <v>9209.4290909090905</v>
      </c>
      <c r="BX63" s="206">
        <f t="shared" si="89"/>
        <v>9433.1406060606059</v>
      </c>
      <c r="BY63" s="206">
        <f t="shared" si="89"/>
        <v>9656.8521212121195</v>
      </c>
      <c r="BZ63" s="206">
        <f t="shared" si="89"/>
        <v>9880.5636363636368</v>
      </c>
      <c r="CA63" s="206">
        <f t="shared" si="89"/>
        <v>10104.27515151515</v>
      </c>
      <c r="CB63" s="206">
        <f t="shared" si="89"/>
        <v>10327.986666666666</v>
      </c>
      <c r="CC63" s="206">
        <f t="shared" si="89"/>
        <v>10551.698181818181</v>
      </c>
      <c r="CD63" s="206">
        <f t="shared" si="89"/>
        <v>10775.409696969697</v>
      </c>
      <c r="CE63" s="206">
        <f t="shared" si="89"/>
        <v>10999.121212121212</v>
      </c>
      <c r="CF63" s="206">
        <f t="shared" si="89"/>
        <v>11222.832727272726</v>
      </c>
      <c r="CG63" s="206">
        <f t="shared" si="89"/>
        <v>11446.544242424243</v>
      </c>
      <c r="CH63" s="206">
        <f t="shared" si="89"/>
        <v>11608.8</v>
      </c>
      <c r="CI63" s="206">
        <f t="shared" si="89"/>
        <v>11709.599999999999</v>
      </c>
      <c r="CJ63" s="206">
        <f t="shared" si="89"/>
        <v>11810.4</v>
      </c>
      <c r="CK63" s="206">
        <f t="shared" si="89"/>
        <v>11911.199999999999</v>
      </c>
      <c r="CL63" s="206">
        <f t="shared" si="89"/>
        <v>12011.999999999998</v>
      </c>
      <c r="CM63" s="206">
        <f t="shared" si="89"/>
        <v>12112.8</v>
      </c>
      <c r="CN63" s="206">
        <f t="shared" si="89"/>
        <v>12213.599999999999</v>
      </c>
      <c r="CO63" s="206">
        <f t="shared" si="89"/>
        <v>12314.399999999998</v>
      </c>
      <c r="CP63" s="206">
        <f t="shared" si="89"/>
        <v>12415.199999999999</v>
      </c>
      <c r="CQ63" s="206">
        <f t="shared" si="89"/>
        <v>12515.999999999998</v>
      </c>
      <c r="CR63" s="206">
        <f t="shared" si="89"/>
        <v>12616.799999999997</v>
      </c>
      <c r="CS63" s="206">
        <f t="shared" si="89"/>
        <v>12717.599999999999</v>
      </c>
      <c r="CT63" s="206">
        <f t="shared" si="89"/>
        <v>12818.399999999998</v>
      </c>
      <c r="CU63" s="206">
        <f t="shared" si="89"/>
        <v>12919.199999999997</v>
      </c>
      <c r="CV63" s="206">
        <f t="shared" si="89"/>
        <v>13019.999999999996</v>
      </c>
      <c r="CW63" s="206">
        <f t="shared" si="89"/>
        <v>13120.799999999997</v>
      </c>
      <c r="CX63" s="206">
        <f t="shared" si="89"/>
        <v>13171.199999999997</v>
      </c>
      <c r="CY63" s="206">
        <f t="shared" si="89"/>
        <v>13171.199999999997</v>
      </c>
      <c r="CZ63" s="206">
        <f t="shared" si="89"/>
        <v>13171.199999999997</v>
      </c>
      <c r="DA63" s="206">
        <f t="shared" si="89"/>
        <v>13171.199999999997</v>
      </c>
    </row>
    <row r="64" spans="1:105" s="206" customFormat="1">
      <c r="A64" s="206" t="str">
        <f>Income!A77</f>
        <v>Wild foods consumed and sold</v>
      </c>
      <c r="F64" s="206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6">
        <f t="shared" si="90"/>
        <v>0</v>
      </c>
      <c r="H64" s="206">
        <f t="shared" si="90"/>
        <v>0</v>
      </c>
      <c r="I64" s="206">
        <f t="shared" si="90"/>
        <v>0</v>
      </c>
      <c r="J64" s="206">
        <f t="shared" si="90"/>
        <v>0</v>
      </c>
      <c r="K64" s="206">
        <f t="shared" si="90"/>
        <v>0</v>
      </c>
      <c r="L64" s="206">
        <f t="shared" si="88"/>
        <v>0</v>
      </c>
      <c r="M64" s="206">
        <f t="shared" si="90"/>
        <v>0</v>
      </c>
      <c r="N64" s="206">
        <f t="shared" si="90"/>
        <v>0</v>
      </c>
      <c r="O64" s="206">
        <f t="shared" si="90"/>
        <v>0</v>
      </c>
      <c r="P64" s="206">
        <f t="shared" si="90"/>
        <v>0</v>
      </c>
      <c r="Q64" s="206">
        <f t="shared" si="90"/>
        <v>0</v>
      </c>
      <c r="R64" s="206">
        <f t="shared" si="90"/>
        <v>0</v>
      </c>
      <c r="S64" s="206">
        <f t="shared" si="90"/>
        <v>0</v>
      </c>
      <c r="T64" s="206">
        <f t="shared" si="90"/>
        <v>0</v>
      </c>
      <c r="U64" s="206">
        <f t="shared" si="90"/>
        <v>0</v>
      </c>
      <c r="V64" s="206">
        <f t="shared" si="90"/>
        <v>0</v>
      </c>
      <c r="W64" s="206">
        <f t="shared" si="90"/>
        <v>0</v>
      </c>
      <c r="X64" s="206">
        <f t="shared" si="90"/>
        <v>0</v>
      </c>
      <c r="Y64" s="206">
        <f t="shared" si="90"/>
        <v>0</v>
      </c>
      <c r="Z64" s="206">
        <f t="shared" si="90"/>
        <v>0</v>
      </c>
      <c r="AA64" s="206">
        <f t="shared" si="90"/>
        <v>0</v>
      </c>
      <c r="AB64" s="206">
        <f t="shared" si="90"/>
        <v>0</v>
      </c>
      <c r="AC64" s="206">
        <f t="shared" si="90"/>
        <v>0</v>
      </c>
      <c r="AD64" s="206">
        <f t="shared" si="90"/>
        <v>0</v>
      </c>
      <c r="AE64" s="206">
        <f t="shared" si="90"/>
        <v>0</v>
      </c>
      <c r="AF64" s="206">
        <f t="shared" si="90"/>
        <v>0</v>
      </c>
      <c r="AG64" s="206">
        <f t="shared" si="90"/>
        <v>0</v>
      </c>
      <c r="AH64" s="206">
        <f t="shared" si="90"/>
        <v>0</v>
      </c>
      <c r="AI64" s="206">
        <f t="shared" si="90"/>
        <v>0</v>
      </c>
      <c r="AJ64" s="206">
        <f t="shared" si="90"/>
        <v>0</v>
      </c>
      <c r="AK64" s="206">
        <f t="shared" si="90"/>
        <v>0</v>
      </c>
      <c r="AL64" s="206">
        <f t="shared" si="90"/>
        <v>0</v>
      </c>
      <c r="AM64" s="206">
        <f t="shared" si="90"/>
        <v>0</v>
      </c>
      <c r="AN64" s="206">
        <f t="shared" si="90"/>
        <v>0</v>
      </c>
      <c r="AO64" s="206">
        <f t="shared" si="90"/>
        <v>0</v>
      </c>
      <c r="AP64" s="206">
        <f t="shared" si="90"/>
        <v>0</v>
      </c>
      <c r="AQ64" s="206">
        <f t="shared" si="90"/>
        <v>0</v>
      </c>
      <c r="AR64" s="206">
        <f t="shared" si="90"/>
        <v>0</v>
      </c>
      <c r="AS64" s="206">
        <f t="shared" si="90"/>
        <v>0</v>
      </c>
      <c r="AT64" s="206">
        <f t="shared" si="90"/>
        <v>0</v>
      </c>
      <c r="AU64" s="206">
        <f t="shared" si="90"/>
        <v>0</v>
      </c>
      <c r="AV64" s="206">
        <f t="shared" si="90"/>
        <v>0</v>
      </c>
      <c r="AW64" s="206">
        <f t="shared" si="90"/>
        <v>0</v>
      </c>
      <c r="AX64" s="206">
        <f t="shared" si="90"/>
        <v>0</v>
      </c>
      <c r="AY64" s="206">
        <f t="shared" si="90"/>
        <v>0</v>
      </c>
      <c r="AZ64" s="206">
        <f t="shared" si="90"/>
        <v>0</v>
      </c>
      <c r="BA64" s="206">
        <f t="shared" si="90"/>
        <v>0</v>
      </c>
      <c r="BB64" s="206">
        <f t="shared" si="90"/>
        <v>0</v>
      </c>
      <c r="BC64" s="206">
        <f t="shared" si="90"/>
        <v>0</v>
      </c>
      <c r="BD64" s="206">
        <f t="shared" si="90"/>
        <v>0</v>
      </c>
      <c r="BE64" s="206">
        <f t="shared" si="90"/>
        <v>0</v>
      </c>
      <c r="BF64" s="206">
        <f t="shared" si="90"/>
        <v>0</v>
      </c>
      <c r="BG64" s="206">
        <f t="shared" si="90"/>
        <v>0</v>
      </c>
      <c r="BH64" s="206">
        <f t="shared" si="90"/>
        <v>0</v>
      </c>
      <c r="BI64" s="206">
        <f t="shared" si="90"/>
        <v>0</v>
      </c>
      <c r="BJ64" s="206">
        <f t="shared" si="90"/>
        <v>0</v>
      </c>
      <c r="BK64" s="206">
        <f t="shared" si="90"/>
        <v>0</v>
      </c>
      <c r="BL64" s="206">
        <f t="shared" si="90"/>
        <v>0</v>
      </c>
      <c r="BM64" s="206">
        <f t="shared" si="90"/>
        <v>0</v>
      </c>
      <c r="BN64" s="206">
        <f t="shared" si="90"/>
        <v>0</v>
      </c>
      <c r="BO64" s="206">
        <f t="shared" si="90"/>
        <v>0</v>
      </c>
      <c r="BP64" s="206">
        <f t="shared" si="90"/>
        <v>0</v>
      </c>
      <c r="BQ64" s="206">
        <f t="shared" si="90"/>
        <v>0</v>
      </c>
      <c r="BR64" s="206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6">
        <f t="shared" si="91"/>
        <v>0</v>
      </c>
      <c r="BT64" s="206">
        <f t="shared" si="91"/>
        <v>0</v>
      </c>
      <c r="BU64" s="206">
        <f t="shared" si="91"/>
        <v>0</v>
      </c>
      <c r="BV64" s="206">
        <f t="shared" si="91"/>
        <v>0</v>
      </c>
      <c r="BW64" s="206">
        <f t="shared" si="91"/>
        <v>0</v>
      </c>
      <c r="BX64" s="206">
        <f t="shared" si="91"/>
        <v>0</v>
      </c>
      <c r="BY64" s="206">
        <f t="shared" si="91"/>
        <v>0</v>
      </c>
      <c r="BZ64" s="206">
        <f t="shared" si="91"/>
        <v>0</v>
      </c>
      <c r="CA64" s="206">
        <f t="shared" si="91"/>
        <v>0</v>
      </c>
      <c r="CB64" s="206">
        <f t="shared" si="91"/>
        <v>0</v>
      </c>
      <c r="CC64" s="206">
        <f t="shared" si="91"/>
        <v>0</v>
      </c>
      <c r="CD64" s="206">
        <f t="shared" si="91"/>
        <v>0</v>
      </c>
      <c r="CE64" s="206">
        <f t="shared" si="91"/>
        <v>0</v>
      </c>
      <c r="CF64" s="206">
        <f t="shared" si="91"/>
        <v>0</v>
      </c>
      <c r="CG64" s="206">
        <f t="shared" si="91"/>
        <v>0</v>
      </c>
      <c r="CH64" s="206">
        <f t="shared" si="91"/>
        <v>0</v>
      </c>
      <c r="CI64" s="206">
        <f t="shared" si="91"/>
        <v>0</v>
      </c>
      <c r="CJ64" s="206">
        <f t="shared" si="91"/>
        <v>0</v>
      </c>
      <c r="CK64" s="206">
        <f t="shared" si="91"/>
        <v>0</v>
      </c>
      <c r="CL64" s="206">
        <f t="shared" si="91"/>
        <v>0</v>
      </c>
      <c r="CM64" s="206">
        <f t="shared" si="91"/>
        <v>0</v>
      </c>
      <c r="CN64" s="206">
        <f t="shared" si="91"/>
        <v>0</v>
      </c>
      <c r="CO64" s="206">
        <f t="shared" si="91"/>
        <v>0</v>
      </c>
      <c r="CP64" s="206">
        <f t="shared" si="91"/>
        <v>0</v>
      </c>
      <c r="CQ64" s="206">
        <f t="shared" si="91"/>
        <v>0</v>
      </c>
      <c r="CR64" s="206">
        <f t="shared" si="91"/>
        <v>0</v>
      </c>
      <c r="CS64" s="206">
        <f t="shared" si="91"/>
        <v>0</v>
      </c>
      <c r="CT64" s="206">
        <f t="shared" si="91"/>
        <v>0</v>
      </c>
      <c r="CU64" s="206">
        <f t="shared" si="91"/>
        <v>0</v>
      </c>
      <c r="CV64" s="206">
        <f t="shared" si="91"/>
        <v>0</v>
      </c>
      <c r="CW64" s="206">
        <f t="shared" si="91"/>
        <v>0</v>
      </c>
      <c r="CX64" s="206">
        <f t="shared" si="91"/>
        <v>26.094999999999942</v>
      </c>
      <c r="CY64" s="206">
        <f t="shared" si="91"/>
        <v>78.284999999999826</v>
      </c>
      <c r="CZ64" s="206">
        <f t="shared" si="91"/>
        <v>130.47499999999971</v>
      </c>
      <c r="DA64" s="206">
        <f t="shared" si="91"/>
        <v>182.66499999999959</v>
      </c>
    </row>
    <row r="65" spans="1:105" s="206" customFormat="1">
      <c r="A65" s="206" t="str">
        <f>Income!A78</f>
        <v>Labour - casual</v>
      </c>
      <c r="F65" s="206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8489.5999999999985</v>
      </c>
      <c r="G65" s="206">
        <f t="shared" si="92"/>
        <v>8489.5999999999985</v>
      </c>
      <c r="H65" s="206">
        <f t="shared" si="92"/>
        <v>8489.5999999999985</v>
      </c>
      <c r="I65" s="206">
        <f t="shared" si="92"/>
        <v>8489.5999999999985</v>
      </c>
      <c r="J65" s="206">
        <f t="shared" si="92"/>
        <v>8489.5999999999985</v>
      </c>
      <c r="K65" s="206">
        <f t="shared" si="92"/>
        <v>8489.5999999999985</v>
      </c>
      <c r="L65" s="206">
        <f t="shared" si="88"/>
        <v>8489.5999999999985</v>
      </c>
      <c r="M65" s="206">
        <f t="shared" si="92"/>
        <v>8489.5999999999985</v>
      </c>
      <c r="N65" s="206">
        <f t="shared" si="92"/>
        <v>8489.5999999999985</v>
      </c>
      <c r="O65" s="206">
        <f t="shared" si="92"/>
        <v>8489.5999999999985</v>
      </c>
      <c r="P65" s="206">
        <f t="shared" si="92"/>
        <v>8489.5999999999985</v>
      </c>
      <c r="Q65" s="206">
        <f t="shared" si="92"/>
        <v>8489.5999999999985</v>
      </c>
      <c r="R65" s="206">
        <f t="shared" si="92"/>
        <v>8489.5999999999985</v>
      </c>
      <c r="S65" s="206">
        <f t="shared" si="92"/>
        <v>8582.5305167370807</v>
      </c>
      <c r="T65" s="206">
        <f t="shared" si="92"/>
        <v>8768.3915502112432</v>
      </c>
      <c r="U65" s="206">
        <f t="shared" si="92"/>
        <v>8954.2525836854056</v>
      </c>
      <c r="V65" s="206">
        <f t="shared" si="92"/>
        <v>9140.1136171595699</v>
      </c>
      <c r="W65" s="206">
        <f t="shared" si="92"/>
        <v>9325.9746506337324</v>
      </c>
      <c r="X65" s="206">
        <f t="shared" si="92"/>
        <v>9511.8356841078967</v>
      </c>
      <c r="Y65" s="206">
        <f t="shared" si="92"/>
        <v>9697.6967175820591</v>
      </c>
      <c r="Z65" s="206">
        <f t="shared" si="92"/>
        <v>9883.5577510562216</v>
      </c>
      <c r="AA65" s="206">
        <f t="shared" si="92"/>
        <v>10069.418784530386</v>
      </c>
      <c r="AB65" s="206">
        <f t="shared" si="92"/>
        <v>10255.279818004548</v>
      </c>
      <c r="AC65" s="206">
        <f t="shared" si="92"/>
        <v>10441.140851478711</v>
      </c>
      <c r="AD65" s="206">
        <f t="shared" si="92"/>
        <v>10627.001884952875</v>
      </c>
      <c r="AE65" s="206">
        <f t="shared" si="92"/>
        <v>10812.862918427038</v>
      </c>
      <c r="AF65" s="206">
        <f t="shared" si="92"/>
        <v>10998.7239519012</v>
      </c>
      <c r="AG65" s="206">
        <f t="shared" si="92"/>
        <v>11184.584985375364</v>
      </c>
      <c r="AH65" s="206">
        <f t="shared" si="92"/>
        <v>11370.446018849527</v>
      </c>
      <c r="AI65" s="206">
        <f t="shared" si="92"/>
        <v>11556.307052323691</v>
      </c>
      <c r="AJ65" s="206">
        <f t="shared" si="92"/>
        <v>11742.168085797854</v>
      </c>
      <c r="AK65" s="206">
        <f t="shared" si="92"/>
        <v>11928.029119272018</v>
      </c>
      <c r="AL65" s="206">
        <f t="shared" si="92"/>
        <v>12113.89015274618</v>
      </c>
      <c r="AM65" s="206">
        <f t="shared" si="92"/>
        <v>12299.751186220343</v>
      </c>
      <c r="AN65" s="206">
        <f t="shared" si="92"/>
        <v>12485.612219694507</v>
      </c>
      <c r="AO65" s="206">
        <f t="shared" si="92"/>
        <v>12671.47325316867</v>
      </c>
      <c r="AP65" s="206">
        <f t="shared" si="92"/>
        <v>12857.334286642832</v>
      </c>
      <c r="AQ65" s="206">
        <f t="shared" si="92"/>
        <v>13043.195320116996</v>
      </c>
      <c r="AR65" s="206">
        <f t="shared" si="92"/>
        <v>13229.056353591159</v>
      </c>
      <c r="AS65" s="206">
        <f t="shared" si="92"/>
        <v>13414.917387065321</v>
      </c>
      <c r="AT65" s="206">
        <f t="shared" si="92"/>
        <v>13600.778420539486</v>
      </c>
      <c r="AU65" s="206">
        <f t="shared" si="92"/>
        <v>13786.639454013648</v>
      </c>
      <c r="AV65" s="206">
        <f t="shared" si="92"/>
        <v>13972.50048748781</v>
      </c>
      <c r="AW65" s="206">
        <f t="shared" si="92"/>
        <v>14158.361520961975</v>
      </c>
      <c r="AX65" s="206">
        <f t="shared" si="92"/>
        <v>14344.222554436139</v>
      </c>
      <c r="AY65" s="206">
        <f t="shared" si="92"/>
        <v>14530.0835879103</v>
      </c>
      <c r="AZ65" s="206">
        <f t="shared" si="92"/>
        <v>14715.944621384464</v>
      </c>
      <c r="BA65" s="206">
        <f t="shared" si="92"/>
        <v>14584.498242089401</v>
      </c>
      <c r="BB65" s="206">
        <f t="shared" si="92"/>
        <v>14135.744450025111</v>
      </c>
      <c r="BC65" s="206">
        <f t="shared" si="92"/>
        <v>13686.990657960823</v>
      </c>
      <c r="BD65" s="206">
        <f t="shared" si="92"/>
        <v>13238.236865896533</v>
      </c>
      <c r="BE65" s="206">
        <f t="shared" si="92"/>
        <v>12789.483073832245</v>
      </c>
      <c r="BF65" s="206">
        <f t="shared" si="92"/>
        <v>12340.729281767955</v>
      </c>
      <c r="BG65" s="206">
        <f t="shared" si="92"/>
        <v>11891.975489703666</v>
      </c>
      <c r="BH65" s="206">
        <f t="shared" si="92"/>
        <v>11443.221697639376</v>
      </c>
      <c r="BI65" s="206">
        <f t="shared" si="92"/>
        <v>10994.467905575088</v>
      </c>
      <c r="BJ65" s="206">
        <f t="shared" si="92"/>
        <v>10545.7141135108</v>
      </c>
      <c r="BK65" s="206">
        <f t="shared" si="92"/>
        <v>10096.96032144651</v>
      </c>
      <c r="BL65" s="206">
        <f t="shared" si="92"/>
        <v>9648.2065293822197</v>
      </c>
      <c r="BM65" s="206">
        <f t="shared" si="92"/>
        <v>9199.4527373179299</v>
      </c>
      <c r="BN65" s="206">
        <f t="shared" si="92"/>
        <v>8750.69894525364</v>
      </c>
      <c r="BO65" s="206">
        <f t="shared" si="92"/>
        <v>8301.9451531893519</v>
      </c>
      <c r="BP65" s="206">
        <f t="shared" si="92"/>
        <v>7853.1913611250629</v>
      </c>
      <c r="BQ65" s="206">
        <f t="shared" si="92"/>
        <v>7404.4375690607731</v>
      </c>
      <c r="BR65" s="206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6955.6837769964841</v>
      </c>
      <c r="BS65" s="206">
        <f t="shared" si="93"/>
        <v>6506.9299849321942</v>
      </c>
      <c r="BT65" s="206">
        <f t="shared" si="93"/>
        <v>6058.1761928679061</v>
      </c>
      <c r="BU65" s="206">
        <f t="shared" si="93"/>
        <v>5609.4224008036163</v>
      </c>
      <c r="BV65" s="206">
        <f t="shared" si="93"/>
        <v>5160.6686087393264</v>
      </c>
      <c r="BW65" s="206">
        <f t="shared" si="93"/>
        <v>4711.9148166750383</v>
      </c>
      <c r="BX65" s="206">
        <f t="shared" si="93"/>
        <v>4263.1610246107484</v>
      </c>
      <c r="BY65" s="206">
        <f t="shared" si="93"/>
        <v>3814.4072325464585</v>
      </c>
      <c r="BZ65" s="206">
        <f t="shared" si="93"/>
        <v>3365.6534404821705</v>
      </c>
      <c r="CA65" s="206">
        <f t="shared" si="93"/>
        <v>2916.8996484178806</v>
      </c>
      <c r="CB65" s="206">
        <f t="shared" si="93"/>
        <v>2468.1458563535907</v>
      </c>
      <c r="CC65" s="206">
        <f t="shared" si="93"/>
        <v>2019.3920642893027</v>
      </c>
      <c r="CD65" s="206">
        <f t="shared" si="93"/>
        <v>1570.6382722250128</v>
      </c>
      <c r="CE65" s="206">
        <f t="shared" si="93"/>
        <v>1121.8844801607229</v>
      </c>
      <c r="CF65" s="206">
        <f t="shared" si="93"/>
        <v>673.13068809643482</v>
      </c>
      <c r="CG65" s="206">
        <f t="shared" si="93"/>
        <v>224.37689603214494</v>
      </c>
      <c r="CH65" s="206">
        <f t="shared" si="93"/>
        <v>0</v>
      </c>
      <c r="CI65" s="206">
        <f t="shared" si="93"/>
        <v>0</v>
      </c>
      <c r="CJ65" s="206">
        <f t="shared" si="93"/>
        <v>0</v>
      </c>
      <c r="CK65" s="206">
        <f t="shared" si="93"/>
        <v>0</v>
      </c>
      <c r="CL65" s="206">
        <f t="shared" si="93"/>
        <v>0</v>
      </c>
      <c r="CM65" s="206">
        <f t="shared" si="93"/>
        <v>0</v>
      </c>
      <c r="CN65" s="206">
        <f t="shared" si="93"/>
        <v>0</v>
      </c>
      <c r="CO65" s="206">
        <f t="shared" si="93"/>
        <v>0</v>
      </c>
      <c r="CP65" s="206">
        <f t="shared" si="93"/>
        <v>0</v>
      </c>
      <c r="CQ65" s="206">
        <f t="shared" si="93"/>
        <v>0</v>
      </c>
      <c r="CR65" s="206">
        <f t="shared" si="93"/>
        <v>0</v>
      </c>
      <c r="CS65" s="206">
        <f t="shared" si="93"/>
        <v>0</v>
      </c>
      <c r="CT65" s="206">
        <f t="shared" si="93"/>
        <v>0</v>
      </c>
      <c r="CU65" s="206">
        <f t="shared" si="93"/>
        <v>0</v>
      </c>
      <c r="CV65" s="206">
        <f t="shared" si="93"/>
        <v>0</v>
      </c>
      <c r="CW65" s="206">
        <f t="shared" si="93"/>
        <v>0</v>
      </c>
      <c r="CX65" s="206">
        <f t="shared" si="93"/>
        <v>0</v>
      </c>
      <c r="CY65" s="206">
        <f t="shared" si="93"/>
        <v>0</v>
      </c>
      <c r="CZ65" s="206">
        <f t="shared" si="93"/>
        <v>0</v>
      </c>
      <c r="DA65" s="206">
        <f t="shared" si="93"/>
        <v>0</v>
      </c>
    </row>
    <row r="66" spans="1:105" s="206" customFormat="1">
      <c r="A66" s="206" t="str">
        <f>Income!A79</f>
        <v>Labour - formal emp</v>
      </c>
      <c r="F66" s="206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6">
        <f t="shared" si="94"/>
        <v>0</v>
      </c>
      <c r="H66" s="206">
        <f t="shared" si="94"/>
        <v>0</v>
      </c>
      <c r="I66" s="206">
        <f t="shared" si="94"/>
        <v>0</v>
      </c>
      <c r="J66" s="206">
        <f t="shared" si="94"/>
        <v>0</v>
      </c>
      <c r="K66" s="206">
        <f t="shared" si="94"/>
        <v>0</v>
      </c>
      <c r="L66" s="206">
        <f t="shared" si="88"/>
        <v>0</v>
      </c>
      <c r="M66" s="206">
        <f t="shared" si="94"/>
        <v>0</v>
      </c>
      <c r="N66" s="206">
        <f t="shared" si="94"/>
        <v>0</v>
      </c>
      <c r="O66" s="206">
        <f t="shared" si="94"/>
        <v>0</v>
      </c>
      <c r="P66" s="206">
        <f t="shared" si="94"/>
        <v>0</v>
      </c>
      <c r="Q66" s="206">
        <f t="shared" si="94"/>
        <v>0</v>
      </c>
      <c r="R66" s="206">
        <f t="shared" si="94"/>
        <v>0</v>
      </c>
      <c r="S66" s="206">
        <f t="shared" si="94"/>
        <v>197.64705882352939</v>
      </c>
      <c r="T66" s="206">
        <f t="shared" si="94"/>
        <v>592.94117647058818</v>
      </c>
      <c r="U66" s="206">
        <f t="shared" si="94"/>
        <v>988.23529411764696</v>
      </c>
      <c r="V66" s="206">
        <f t="shared" si="94"/>
        <v>1383.5294117647059</v>
      </c>
      <c r="W66" s="206">
        <f t="shared" si="94"/>
        <v>1778.8235294117644</v>
      </c>
      <c r="X66" s="206">
        <f t="shared" si="94"/>
        <v>2174.1176470588234</v>
      </c>
      <c r="Y66" s="206">
        <f t="shared" si="94"/>
        <v>2569.411764705882</v>
      </c>
      <c r="Z66" s="206">
        <f t="shared" si="94"/>
        <v>2964.705882352941</v>
      </c>
      <c r="AA66" s="206">
        <f t="shared" si="94"/>
        <v>3359.9999999999995</v>
      </c>
      <c r="AB66" s="206">
        <f t="shared" si="94"/>
        <v>3755.2941176470586</v>
      </c>
      <c r="AC66" s="206">
        <f t="shared" si="94"/>
        <v>4150.5882352941171</v>
      </c>
      <c r="AD66" s="206">
        <f t="shared" si="94"/>
        <v>4545.8823529411757</v>
      </c>
      <c r="AE66" s="206">
        <f t="shared" si="94"/>
        <v>4941.1764705882351</v>
      </c>
      <c r="AF66" s="206">
        <f t="shared" si="94"/>
        <v>5336.4705882352937</v>
      </c>
      <c r="AG66" s="206">
        <f t="shared" si="94"/>
        <v>5731.7647058823522</v>
      </c>
      <c r="AH66" s="206">
        <f t="shared" si="94"/>
        <v>6127.0588235294108</v>
      </c>
      <c r="AI66" s="206">
        <f t="shared" si="94"/>
        <v>6522.3529411764703</v>
      </c>
      <c r="AJ66" s="206">
        <f t="shared" si="94"/>
        <v>6917.6470588235288</v>
      </c>
      <c r="AK66" s="206">
        <f t="shared" si="94"/>
        <v>7312.9411764705874</v>
      </c>
      <c r="AL66" s="206">
        <f t="shared" si="94"/>
        <v>7708.2352941176459</v>
      </c>
      <c r="AM66" s="206">
        <f t="shared" si="94"/>
        <v>8103.5294117647054</v>
      </c>
      <c r="AN66" s="206">
        <f t="shared" si="94"/>
        <v>8498.823529411764</v>
      </c>
      <c r="AO66" s="206">
        <f t="shared" si="94"/>
        <v>8894.1176470588234</v>
      </c>
      <c r="AP66" s="206">
        <f t="shared" si="94"/>
        <v>9289.4117647058811</v>
      </c>
      <c r="AQ66" s="206">
        <f t="shared" si="94"/>
        <v>9684.7058823529405</v>
      </c>
      <c r="AR66" s="206">
        <f t="shared" si="94"/>
        <v>10079.999999999998</v>
      </c>
      <c r="AS66" s="206">
        <f t="shared" si="94"/>
        <v>10475.294117647058</v>
      </c>
      <c r="AT66" s="206">
        <f t="shared" si="94"/>
        <v>10870.588235294117</v>
      </c>
      <c r="AU66" s="206">
        <f t="shared" si="94"/>
        <v>11265.882352941175</v>
      </c>
      <c r="AV66" s="206">
        <f t="shared" si="94"/>
        <v>11661.176470588234</v>
      </c>
      <c r="AW66" s="206">
        <f t="shared" si="94"/>
        <v>12056.470588235294</v>
      </c>
      <c r="AX66" s="206">
        <f t="shared" si="94"/>
        <v>12451.764705882351</v>
      </c>
      <c r="AY66" s="206">
        <f t="shared" si="94"/>
        <v>12847.058823529411</v>
      </c>
      <c r="AZ66" s="206">
        <f t="shared" si="94"/>
        <v>13242.352941176468</v>
      </c>
      <c r="BA66" s="206">
        <f t="shared" si="94"/>
        <v>15802.181818181816</v>
      </c>
      <c r="BB66" s="206">
        <f t="shared" si="94"/>
        <v>20526.545454545449</v>
      </c>
      <c r="BC66" s="206">
        <f t="shared" si="94"/>
        <v>25250.909090909081</v>
      </c>
      <c r="BD66" s="206">
        <f t="shared" si="94"/>
        <v>29975.272727272721</v>
      </c>
      <c r="BE66" s="206">
        <f t="shared" si="94"/>
        <v>34699.636363636353</v>
      </c>
      <c r="BF66" s="206">
        <f t="shared" si="94"/>
        <v>39423.999999999985</v>
      </c>
      <c r="BG66" s="206">
        <f t="shared" si="94"/>
        <v>44148.363636363618</v>
      </c>
      <c r="BH66" s="206">
        <f t="shared" si="94"/>
        <v>48872.727272727258</v>
      </c>
      <c r="BI66" s="206">
        <f t="shared" si="94"/>
        <v>53597.09090909089</v>
      </c>
      <c r="BJ66" s="206">
        <f t="shared" si="94"/>
        <v>58321.454545454522</v>
      </c>
      <c r="BK66" s="206">
        <f t="shared" si="94"/>
        <v>63045.818181818162</v>
      </c>
      <c r="BL66" s="206">
        <f t="shared" si="94"/>
        <v>67770.181818181794</v>
      </c>
      <c r="BM66" s="206">
        <f t="shared" si="94"/>
        <v>72494.545454545427</v>
      </c>
      <c r="BN66" s="206">
        <f t="shared" si="94"/>
        <v>77218.909090909059</v>
      </c>
      <c r="BO66" s="206">
        <f t="shared" si="94"/>
        <v>81943.272727272692</v>
      </c>
      <c r="BP66" s="206">
        <f t="shared" si="94"/>
        <v>86667.636363636324</v>
      </c>
      <c r="BQ66" s="206">
        <f t="shared" si="94"/>
        <v>91391.999999999971</v>
      </c>
      <c r="BR66" s="206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96116.363636363603</v>
      </c>
      <c r="BS66" s="206">
        <f t="shared" si="95"/>
        <v>100840.72727272724</v>
      </c>
      <c r="BT66" s="206">
        <f t="shared" si="95"/>
        <v>105565.09090909087</v>
      </c>
      <c r="BU66" s="206">
        <f t="shared" si="95"/>
        <v>110289.4545454545</v>
      </c>
      <c r="BV66" s="206">
        <f t="shared" si="95"/>
        <v>115013.81818181813</v>
      </c>
      <c r="BW66" s="206">
        <f t="shared" si="95"/>
        <v>119738.18181818177</v>
      </c>
      <c r="BX66" s="206">
        <f t="shared" si="95"/>
        <v>124462.5454545454</v>
      </c>
      <c r="BY66" s="206">
        <f t="shared" si="95"/>
        <v>129186.90909090904</v>
      </c>
      <c r="BZ66" s="206">
        <f t="shared" si="95"/>
        <v>133911.27272727268</v>
      </c>
      <c r="CA66" s="206">
        <f t="shared" si="95"/>
        <v>138635.63636363629</v>
      </c>
      <c r="CB66" s="206">
        <f t="shared" si="95"/>
        <v>143359.99999999994</v>
      </c>
      <c r="CC66" s="206">
        <f t="shared" si="95"/>
        <v>148084.36363636359</v>
      </c>
      <c r="CD66" s="206">
        <f t="shared" si="95"/>
        <v>152808.72727272721</v>
      </c>
      <c r="CE66" s="206">
        <f t="shared" si="95"/>
        <v>157533.09090909085</v>
      </c>
      <c r="CF66" s="206">
        <f t="shared" si="95"/>
        <v>162257.45454545447</v>
      </c>
      <c r="CG66" s="206">
        <f t="shared" si="95"/>
        <v>166981.81818181812</v>
      </c>
      <c r="CH66" s="206">
        <f t="shared" si="95"/>
        <v>171107.99999999994</v>
      </c>
      <c r="CI66" s="206">
        <f t="shared" si="95"/>
        <v>174635.99999999994</v>
      </c>
      <c r="CJ66" s="206">
        <f t="shared" si="95"/>
        <v>178163.99999999994</v>
      </c>
      <c r="CK66" s="206">
        <f t="shared" si="95"/>
        <v>181691.99999999994</v>
      </c>
      <c r="CL66" s="206">
        <f t="shared" si="95"/>
        <v>185219.99999999997</v>
      </c>
      <c r="CM66" s="206">
        <f t="shared" si="95"/>
        <v>188747.99999999997</v>
      </c>
      <c r="CN66" s="206">
        <f t="shared" si="95"/>
        <v>192275.99999999997</v>
      </c>
      <c r="CO66" s="206">
        <f t="shared" si="95"/>
        <v>195803.99999999997</v>
      </c>
      <c r="CP66" s="206">
        <f t="shared" si="95"/>
        <v>199331.99999999997</v>
      </c>
      <c r="CQ66" s="206">
        <f t="shared" si="95"/>
        <v>202859.99999999997</v>
      </c>
      <c r="CR66" s="206">
        <f t="shared" si="95"/>
        <v>206387.99999999997</v>
      </c>
      <c r="CS66" s="206">
        <f t="shared" si="95"/>
        <v>209916</v>
      </c>
      <c r="CT66" s="206">
        <f t="shared" si="95"/>
        <v>213444</v>
      </c>
      <c r="CU66" s="206">
        <f t="shared" si="95"/>
        <v>216972</v>
      </c>
      <c r="CV66" s="206">
        <f t="shared" si="95"/>
        <v>220500</v>
      </c>
      <c r="CW66" s="206">
        <f t="shared" si="95"/>
        <v>224028</v>
      </c>
      <c r="CX66" s="206">
        <f t="shared" si="95"/>
        <v>227127.85</v>
      </c>
      <c r="CY66" s="206">
        <f t="shared" si="95"/>
        <v>229799.55</v>
      </c>
      <c r="CZ66" s="206">
        <f t="shared" si="95"/>
        <v>232471.25</v>
      </c>
      <c r="DA66" s="206">
        <f t="shared" si="95"/>
        <v>235142.95</v>
      </c>
    </row>
    <row r="67" spans="1:105" s="206" customFormat="1">
      <c r="A67" s="206" t="str">
        <f>Income!A81</f>
        <v>Self - employment</v>
      </c>
      <c r="F67" s="206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2567.0399999999995</v>
      </c>
      <c r="G67" s="206">
        <f t="shared" si="96"/>
        <v>2567.0399999999995</v>
      </c>
      <c r="H67" s="206">
        <f t="shared" si="96"/>
        <v>2567.0399999999995</v>
      </c>
      <c r="I67" s="206">
        <f t="shared" si="96"/>
        <v>2567.0399999999995</v>
      </c>
      <c r="J67" s="206">
        <f t="shared" si="96"/>
        <v>2567.0399999999995</v>
      </c>
      <c r="K67" s="206">
        <f t="shared" si="96"/>
        <v>2567.0399999999995</v>
      </c>
      <c r="L67" s="206">
        <f t="shared" si="88"/>
        <v>2567.0399999999995</v>
      </c>
      <c r="M67" s="206">
        <f t="shared" si="96"/>
        <v>2567.0399999999995</v>
      </c>
      <c r="N67" s="206">
        <f t="shared" si="96"/>
        <v>2567.0399999999995</v>
      </c>
      <c r="O67" s="206">
        <f t="shared" si="96"/>
        <v>2567.0399999999995</v>
      </c>
      <c r="P67" s="206">
        <f t="shared" si="96"/>
        <v>2567.0399999999995</v>
      </c>
      <c r="Q67" s="206">
        <f t="shared" si="96"/>
        <v>2567.0399999999995</v>
      </c>
      <c r="R67" s="206">
        <f t="shared" si="96"/>
        <v>2567.0399999999995</v>
      </c>
      <c r="S67" s="206">
        <f t="shared" si="96"/>
        <v>2632.8894117647055</v>
      </c>
      <c r="T67" s="206">
        <f t="shared" si="96"/>
        <v>2764.5882352941171</v>
      </c>
      <c r="U67" s="206">
        <f t="shared" si="96"/>
        <v>2896.2870588235292</v>
      </c>
      <c r="V67" s="206">
        <f t="shared" si="96"/>
        <v>3027.9858823529407</v>
      </c>
      <c r="W67" s="206">
        <f t="shared" si="96"/>
        <v>3159.6847058823523</v>
      </c>
      <c r="X67" s="206">
        <f t="shared" si="96"/>
        <v>3291.3835294117644</v>
      </c>
      <c r="Y67" s="206">
        <f t="shared" si="96"/>
        <v>3423.0823529411759</v>
      </c>
      <c r="Z67" s="206">
        <f t="shared" si="96"/>
        <v>3554.781176470588</v>
      </c>
      <c r="AA67" s="206">
        <f t="shared" si="96"/>
        <v>3686.4799999999996</v>
      </c>
      <c r="AB67" s="206">
        <f t="shared" si="96"/>
        <v>3818.1788235294116</v>
      </c>
      <c r="AC67" s="206">
        <f t="shared" si="96"/>
        <v>3949.8776470588232</v>
      </c>
      <c r="AD67" s="206">
        <f t="shared" si="96"/>
        <v>4081.5764705882348</v>
      </c>
      <c r="AE67" s="206">
        <f t="shared" si="96"/>
        <v>4213.2752941176468</v>
      </c>
      <c r="AF67" s="206">
        <f t="shared" si="96"/>
        <v>4344.9741176470588</v>
      </c>
      <c r="AG67" s="206">
        <f t="shared" si="96"/>
        <v>4476.67294117647</v>
      </c>
      <c r="AH67" s="206">
        <f t="shared" si="96"/>
        <v>4608.371764705882</v>
      </c>
      <c r="AI67" s="206">
        <f t="shared" si="96"/>
        <v>4740.0705882352941</v>
      </c>
      <c r="AJ67" s="206">
        <f t="shared" si="96"/>
        <v>4871.7694117647061</v>
      </c>
      <c r="AK67" s="206">
        <f t="shared" si="96"/>
        <v>5003.4682352941181</v>
      </c>
      <c r="AL67" s="206">
        <f t="shared" si="96"/>
        <v>5135.1670588235293</v>
      </c>
      <c r="AM67" s="206">
        <f t="shared" si="96"/>
        <v>5266.8658823529404</v>
      </c>
      <c r="AN67" s="206">
        <f t="shared" si="96"/>
        <v>5398.5647058823524</v>
      </c>
      <c r="AO67" s="206">
        <f t="shared" si="96"/>
        <v>5530.2635294117645</v>
      </c>
      <c r="AP67" s="206">
        <f t="shared" si="96"/>
        <v>5661.9623529411765</v>
      </c>
      <c r="AQ67" s="206">
        <f t="shared" si="96"/>
        <v>5793.6611764705885</v>
      </c>
      <c r="AR67" s="206">
        <f t="shared" si="96"/>
        <v>5925.3600000000006</v>
      </c>
      <c r="AS67" s="206">
        <f t="shared" si="96"/>
        <v>6057.0588235294117</v>
      </c>
      <c r="AT67" s="206">
        <f t="shared" si="96"/>
        <v>6188.7576470588237</v>
      </c>
      <c r="AU67" s="206">
        <f t="shared" si="96"/>
        <v>6320.4564705882349</v>
      </c>
      <c r="AV67" s="206">
        <f t="shared" si="96"/>
        <v>6452.1552941176469</v>
      </c>
      <c r="AW67" s="206">
        <f t="shared" si="96"/>
        <v>6583.854117647059</v>
      </c>
      <c r="AX67" s="206">
        <f t="shared" si="96"/>
        <v>6715.552941176471</v>
      </c>
      <c r="AY67" s="206">
        <f t="shared" si="96"/>
        <v>6847.251764705883</v>
      </c>
      <c r="AZ67" s="206">
        <f t="shared" si="96"/>
        <v>6978.9505882352951</v>
      </c>
      <c r="BA67" s="206">
        <f t="shared" si="96"/>
        <v>6938.0606060606051</v>
      </c>
      <c r="BB67" s="206">
        <f t="shared" si="96"/>
        <v>6724.5818181818177</v>
      </c>
      <c r="BC67" s="206">
        <f t="shared" si="96"/>
        <v>6511.1030303030293</v>
      </c>
      <c r="BD67" s="206">
        <f t="shared" si="96"/>
        <v>6297.6242424242419</v>
      </c>
      <c r="BE67" s="206">
        <f t="shared" si="96"/>
        <v>6084.1454545454535</v>
      </c>
      <c r="BF67" s="206">
        <f t="shared" si="96"/>
        <v>5870.6666666666661</v>
      </c>
      <c r="BG67" s="206">
        <f t="shared" si="96"/>
        <v>5657.1878787878777</v>
      </c>
      <c r="BH67" s="206">
        <f t="shared" si="96"/>
        <v>5443.7090909090903</v>
      </c>
      <c r="BI67" s="206">
        <f t="shared" si="96"/>
        <v>5230.2303030303028</v>
      </c>
      <c r="BJ67" s="206">
        <f t="shared" si="96"/>
        <v>5016.7515151515145</v>
      </c>
      <c r="BK67" s="206">
        <f t="shared" si="96"/>
        <v>4803.2727272727261</v>
      </c>
      <c r="BL67" s="206">
        <f t="shared" si="96"/>
        <v>4589.7939393939387</v>
      </c>
      <c r="BM67" s="206">
        <f t="shared" si="96"/>
        <v>4376.3151515151512</v>
      </c>
      <c r="BN67" s="206">
        <f t="shared" si="96"/>
        <v>4162.8363636363629</v>
      </c>
      <c r="BO67" s="206">
        <f t="shared" si="96"/>
        <v>3949.357575757575</v>
      </c>
      <c r="BP67" s="206">
        <f t="shared" si="96"/>
        <v>3735.8787878787871</v>
      </c>
      <c r="BQ67" s="206">
        <f t="shared" si="96"/>
        <v>3522.3999999999996</v>
      </c>
      <c r="BR67" s="206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3308.9212121212117</v>
      </c>
      <c r="BS67" s="206">
        <f t="shared" si="97"/>
        <v>3095.4424242424238</v>
      </c>
      <c r="BT67" s="206">
        <f t="shared" si="97"/>
        <v>2881.9636363636355</v>
      </c>
      <c r="BU67" s="206">
        <f t="shared" si="97"/>
        <v>2668.484848484848</v>
      </c>
      <c r="BV67" s="206">
        <f t="shared" si="97"/>
        <v>2455.0060606060597</v>
      </c>
      <c r="BW67" s="206">
        <f t="shared" si="97"/>
        <v>2241.5272727272722</v>
      </c>
      <c r="BX67" s="206">
        <f t="shared" si="97"/>
        <v>2028.0484848484839</v>
      </c>
      <c r="BY67" s="206">
        <f t="shared" si="97"/>
        <v>1814.5696969696965</v>
      </c>
      <c r="BZ67" s="206">
        <f t="shared" si="97"/>
        <v>1601.090909090909</v>
      </c>
      <c r="CA67" s="206">
        <f t="shared" si="97"/>
        <v>1387.6121212121207</v>
      </c>
      <c r="CB67" s="206">
        <f t="shared" si="97"/>
        <v>1174.1333333333332</v>
      </c>
      <c r="CC67" s="206">
        <f t="shared" si="97"/>
        <v>960.65454545454486</v>
      </c>
      <c r="CD67" s="206">
        <f t="shared" si="97"/>
        <v>747.17575757575742</v>
      </c>
      <c r="CE67" s="206">
        <f t="shared" si="97"/>
        <v>533.69696969696906</v>
      </c>
      <c r="CF67" s="206">
        <f t="shared" si="97"/>
        <v>320.21818181818162</v>
      </c>
      <c r="CG67" s="206">
        <f t="shared" si="97"/>
        <v>106.73939393939327</v>
      </c>
      <c r="CH67" s="206">
        <f t="shared" si="97"/>
        <v>0</v>
      </c>
      <c r="CI67" s="206">
        <f t="shared" si="97"/>
        <v>0</v>
      </c>
      <c r="CJ67" s="206">
        <f t="shared" si="97"/>
        <v>0</v>
      </c>
      <c r="CK67" s="206">
        <f t="shared" si="97"/>
        <v>0</v>
      </c>
      <c r="CL67" s="206">
        <f t="shared" si="97"/>
        <v>0</v>
      </c>
      <c r="CM67" s="206">
        <f t="shared" si="97"/>
        <v>0</v>
      </c>
      <c r="CN67" s="206">
        <f t="shared" si="97"/>
        <v>0</v>
      </c>
      <c r="CO67" s="206">
        <f t="shared" si="97"/>
        <v>0</v>
      </c>
      <c r="CP67" s="206">
        <f t="shared" si="97"/>
        <v>0</v>
      </c>
      <c r="CQ67" s="206">
        <f t="shared" si="97"/>
        <v>0</v>
      </c>
      <c r="CR67" s="206">
        <f t="shared" si="97"/>
        <v>0</v>
      </c>
      <c r="CS67" s="206">
        <f t="shared" si="97"/>
        <v>0</v>
      </c>
      <c r="CT67" s="206">
        <f t="shared" si="97"/>
        <v>0</v>
      </c>
      <c r="CU67" s="206">
        <f t="shared" si="97"/>
        <v>0</v>
      </c>
      <c r="CV67" s="206">
        <f t="shared" si="97"/>
        <v>0</v>
      </c>
      <c r="CW67" s="206">
        <f t="shared" si="97"/>
        <v>0</v>
      </c>
      <c r="CX67" s="206">
        <f t="shared" si="97"/>
        <v>414.76499999999999</v>
      </c>
      <c r="CY67" s="206">
        <f t="shared" si="97"/>
        <v>1244.2950000000001</v>
      </c>
      <c r="CZ67" s="206">
        <f t="shared" si="97"/>
        <v>2073.8249999999998</v>
      </c>
      <c r="DA67" s="206">
        <f t="shared" si="97"/>
        <v>2903.355</v>
      </c>
    </row>
    <row r="68" spans="1:105" s="206" customFormat="1">
      <c r="A68" s="206" t="str">
        <f>Income!A82</f>
        <v>Small business/petty trading</v>
      </c>
      <c r="F68" s="206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6">
        <f t="shared" si="98"/>
        <v>0</v>
      </c>
      <c r="H68" s="206">
        <f t="shared" si="98"/>
        <v>0</v>
      </c>
      <c r="I68" s="206">
        <f t="shared" si="98"/>
        <v>0</v>
      </c>
      <c r="J68" s="206">
        <f t="shared" si="98"/>
        <v>0</v>
      </c>
      <c r="K68" s="206">
        <f t="shared" si="98"/>
        <v>0</v>
      </c>
      <c r="L68" s="206">
        <f t="shared" si="88"/>
        <v>0</v>
      </c>
      <c r="M68" s="206">
        <f t="shared" si="98"/>
        <v>0</v>
      </c>
      <c r="N68" s="206">
        <f t="shared" si="98"/>
        <v>0</v>
      </c>
      <c r="O68" s="206">
        <f t="shared" si="98"/>
        <v>0</v>
      </c>
      <c r="P68" s="206">
        <f t="shared" si="98"/>
        <v>0</v>
      </c>
      <c r="Q68" s="206">
        <f t="shared" si="98"/>
        <v>0</v>
      </c>
      <c r="R68" s="206">
        <f t="shared" si="98"/>
        <v>0</v>
      </c>
      <c r="S68" s="206">
        <f t="shared" si="98"/>
        <v>31.6235294117647</v>
      </c>
      <c r="T68" s="206">
        <f t="shared" si="98"/>
        <v>94.870588235294093</v>
      </c>
      <c r="U68" s="206">
        <f t="shared" si="98"/>
        <v>158.11764705882351</v>
      </c>
      <c r="V68" s="206">
        <f t="shared" si="98"/>
        <v>221.36470588235289</v>
      </c>
      <c r="W68" s="206">
        <f t="shared" si="98"/>
        <v>284.61176470588231</v>
      </c>
      <c r="X68" s="206">
        <f t="shared" si="98"/>
        <v>347.85882352941172</v>
      </c>
      <c r="Y68" s="206">
        <f t="shared" si="98"/>
        <v>411.10588235294108</v>
      </c>
      <c r="Z68" s="206">
        <f t="shared" si="98"/>
        <v>474.35294117647049</v>
      </c>
      <c r="AA68" s="206">
        <f t="shared" si="98"/>
        <v>537.59999999999991</v>
      </c>
      <c r="AB68" s="206">
        <f t="shared" si="98"/>
        <v>600.84705882352932</v>
      </c>
      <c r="AC68" s="206">
        <f t="shared" si="98"/>
        <v>664.09411764705874</v>
      </c>
      <c r="AD68" s="206">
        <f t="shared" si="98"/>
        <v>727.34117647058815</v>
      </c>
      <c r="AE68" s="206">
        <f t="shared" si="98"/>
        <v>790.58823529411745</v>
      </c>
      <c r="AF68" s="206">
        <f t="shared" si="98"/>
        <v>853.83529411764687</v>
      </c>
      <c r="AG68" s="206">
        <f t="shared" si="98"/>
        <v>917.08235294117628</v>
      </c>
      <c r="AH68" s="206">
        <f t="shared" si="98"/>
        <v>980.3294117647057</v>
      </c>
      <c r="AI68" s="206">
        <f t="shared" si="98"/>
        <v>1043.576470588235</v>
      </c>
      <c r="AJ68" s="206">
        <f t="shared" si="98"/>
        <v>1106.8235294117644</v>
      </c>
      <c r="AK68" s="206">
        <f t="shared" si="98"/>
        <v>1170.0705882352938</v>
      </c>
      <c r="AL68" s="206">
        <f t="shared" si="98"/>
        <v>1233.3176470588232</v>
      </c>
      <c r="AM68" s="206">
        <f t="shared" si="98"/>
        <v>1296.5647058823527</v>
      </c>
      <c r="AN68" s="206">
        <f t="shared" si="98"/>
        <v>1359.8117647058821</v>
      </c>
      <c r="AO68" s="206">
        <f t="shared" si="98"/>
        <v>1423.0588235294115</v>
      </c>
      <c r="AP68" s="206">
        <f t="shared" si="98"/>
        <v>1486.3058823529409</v>
      </c>
      <c r="AQ68" s="206">
        <f t="shared" si="98"/>
        <v>1549.5529411764703</v>
      </c>
      <c r="AR68" s="206">
        <f t="shared" si="98"/>
        <v>1612.7999999999997</v>
      </c>
      <c r="AS68" s="206">
        <f t="shared" si="98"/>
        <v>1676.0470588235291</v>
      </c>
      <c r="AT68" s="206">
        <f t="shared" si="98"/>
        <v>1739.2941176470586</v>
      </c>
      <c r="AU68" s="206">
        <f t="shared" si="98"/>
        <v>1802.541176470588</v>
      </c>
      <c r="AV68" s="206">
        <f t="shared" si="98"/>
        <v>1865.7882352941174</v>
      </c>
      <c r="AW68" s="206">
        <f t="shared" si="98"/>
        <v>1929.0352941176468</v>
      </c>
      <c r="AX68" s="206">
        <f t="shared" si="98"/>
        <v>1992.2823529411762</v>
      </c>
      <c r="AY68" s="206">
        <f t="shared" si="98"/>
        <v>2055.5294117647054</v>
      </c>
      <c r="AZ68" s="206">
        <f t="shared" si="98"/>
        <v>2118.776470588235</v>
      </c>
      <c r="BA68" s="206">
        <f t="shared" si="98"/>
        <v>2753.1636363636358</v>
      </c>
      <c r="BB68" s="206">
        <f t="shared" si="98"/>
        <v>3958.690909090908</v>
      </c>
      <c r="BC68" s="206">
        <f t="shared" si="98"/>
        <v>5164.2181818181798</v>
      </c>
      <c r="BD68" s="206">
        <f t="shared" si="98"/>
        <v>6369.745454545453</v>
      </c>
      <c r="BE68" s="206">
        <f t="shared" si="98"/>
        <v>7575.2727272727243</v>
      </c>
      <c r="BF68" s="206">
        <f t="shared" si="98"/>
        <v>8780.7999999999975</v>
      </c>
      <c r="BG68" s="206">
        <f t="shared" si="98"/>
        <v>9986.3272727272688</v>
      </c>
      <c r="BH68" s="206">
        <f t="shared" si="98"/>
        <v>11191.854545454542</v>
      </c>
      <c r="BI68" s="206">
        <f t="shared" si="98"/>
        <v>12397.381818181813</v>
      </c>
      <c r="BJ68" s="206">
        <f t="shared" si="98"/>
        <v>13602.909090909086</v>
      </c>
      <c r="BK68" s="206">
        <f t="shared" si="98"/>
        <v>14808.436363636358</v>
      </c>
      <c r="BL68" s="206">
        <f t="shared" si="98"/>
        <v>16013.963636363631</v>
      </c>
      <c r="BM68" s="206">
        <f t="shared" si="98"/>
        <v>17219.490909090902</v>
      </c>
      <c r="BN68" s="206">
        <f t="shared" si="98"/>
        <v>18425.018181818174</v>
      </c>
      <c r="BO68" s="206">
        <f t="shared" si="98"/>
        <v>19630.545454545449</v>
      </c>
      <c r="BP68" s="206">
        <f t="shared" si="98"/>
        <v>20836.072727272716</v>
      </c>
      <c r="BQ68" s="206">
        <f t="shared" si="98"/>
        <v>22041.599999999991</v>
      </c>
      <c r="BR68" s="206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23247.127272727266</v>
      </c>
      <c r="BS68" s="206">
        <f t="shared" si="99"/>
        <v>24452.654545454534</v>
      </c>
      <c r="BT68" s="206">
        <f t="shared" si="99"/>
        <v>25658.181818181809</v>
      </c>
      <c r="BU68" s="206">
        <f t="shared" si="99"/>
        <v>26863.709090909084</v>
      </c>
      <c r="BV68" s="206">
        <f t="shared" si="99"/>
        <v>28069.236363636352</v>
      </c>
      <c r="BW68" s="206">
        <f t="shared" si="99"/>
        <v>29274.763636363627</v>
      </c>
      <c r="BX68" s="206">
        <f t="shared" si="99"/>
        <v>30480.290909090894</v>
      </c>
      <c r="BY68" s="206">
        <f t="shared" si="99"/>
        <v>31685.818181818169</v>
      </c>
      <c r="BZ68" s="206">
        <f t="shared" si="99"/>
        <v>32891.345454545444</v>
      </c>
      <c r="CA68" s="206">
        <f t="shared" si="99"/>
        <v>34096.872727272712</v>
      </c>
      <c r="CB68" s="206">
        <f t="shared" si="99"/>
        <v>35302.399999999987</v>
      </c>
      <c r="CC68" s="206">
        <f t="shared" si="99"/>
        <v>36507.927272727262</v>
      </c>
      <c r="CD68" s="206">
        <f t="shared" si="99"/>
        <v>37713.45454545453</v>
      </c>
      <c r="CE68" s="206">
        <f t="shared" si="99"/>
        <v>38918.981818181805</v>
      </c>
      <c r="CF68" s="206">
        <f t="shared" si="99"/>
        <v>40124.50909090908</v>
      </c>
      <c r="CG68" s="206">
        <f t="shared" si="99"/>
        <v>41330.036363636347</v>
      </c>
      <c r="CH68" s="206">
        <f t="shared" si="99"/>
        <v>43948.799999999988</v>
      </c>
      <c r="CI68" s="206">
        <f t="shared" si="99"/>
        <v>47980.799999999988</v>
      </c>
      <c r="CJ68" s="206">
        <f t="shared" si="99"/>
        <v>52012.799999999988</v>
      </c>
      <c r="CK68" s="206">
        <f t="shared" si="99"/>
        <v>56044.799999999988</v>
      </c>
      <c r="CL68" s="206">
        <f t="shared" si="99"/>
        <v>60076.799999999988</v>
      </c>
      <c r="CM68" s="206">
        <f t="shared" si="99"/>
        <v>64108.799999999988</v>
      </c>
      <c r="CN68" s="206">
        <f t="shared" si="99"/>
        <v>68140.799999999988</v>
      </c>
      <c r="CO68" s="206">
        <f t="shared" si="99"/>
        <v>72172.799999999988</v>
      </c>
      <c r="CP68" s="206">
        <f t="shared" si="99"/>
        <v>76204.799999999988</v>
      </c>
      <c r="CQ68" s="206">
        <f t="shared" si="99"/>
        <v>80236.799999999988</v>
      </c>
      <c r="CR68" s="206">
        <f t="shared" si="99"/>
        <v>84268.799999999988</v>
      </c>
      <c r="CS68" s="206">
        <f t="shared" si="99"/>
        <v>88300.799999999988</v>
      </c>
      <c r="CT68" s="206">
        <f t="shared" si="99"/>
        <v>92332.799999999974</v>
      </c>
      <c r="CU68" s="206">
        <f t="shared" si="99"/>
        <v>96364.799999999974</v>
      </c>
      <c r="CV68" s="206">
        <f t="shared" si="99"/>
        <v>100396.79999999997</v>
      </c>
      <c r="CW68" s="206">
        <f t="shared" si="99"/>
        <v>104428.79999999997</v>
      </c>
      <c r="CX68" s="206">
        <f t="shared" si="99"/>
        <v>109546.54999999997</v>
      </c>
      <c r="CY68" s="206">
        <f t="shared" si="99"/>
        <v>115750.04999999997</v>
      </c>
      <c r="CZ68" s="206">
        <f t="shared" si="99"/>
        <v>121953.54999999997</v>
      </c>
      <c r="DA68" s="206">
        <f t="shared" si="99"/>
        <v>128157.04999999997</v>
      </c>
    </row>
    <row r="69" spans="1:105" s="206" customFormat="1">
      <c r="A69" s="206" t="str">
        <f>Income!A83</f>
        <v>Food transfer - official</v>
      </c>
      <c r="F69" s="206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6">
        <f t="shared" si="100"/>
        <v>0</v>
      </c>
      <c r="H69" s="206">
        <f t="shared" si="100"/>
        <v>0</v>
      </c>
      <c r="I69" s="206">
        <f t="shared" si="100"/>
        <v>0</v>
      </c>
      <c r="J69" s="206">
        <f t="shared" si="100"/>
        <v>0</v>
      </c>
      <c r="K69" s="206">
        <f t="shared" si="100"/>
        <v>0</v>
      </c>
      <c r="L69" s="206">
        <f t="shared" si="88"/>
        <v>0</v>
      </c>
      <c r="M69" s="206">
        <f t="shared" si="100"/>
        <v>0</v>
      </c>
      <c r="N69" s="206">
        <f t="shared" si="100"/>
        <v>0</v>
      </c>
      <c r="O69" s="206">
        <f t="shared" si="100"/>
        <v>0</v>
      </c>
      <c r="P69" s="206">
        <f t="shared" si="100"/>
        <v>0</v>
      </c>
      <c r="Q69" s="206">
        <f t="shared" si="100"/>
        <v>0</v>
      </c>
      <c r="R69" s="206">
        <f t="shared" si="100"/>
        <v>0</v>
      </c>
      <c r="S69" s="206">
        <f t="shared" si="100"/>
        <v>0.90087747806304841</v>
      </c>
      <c r="T69" s="206">
        <f t="shared" si="100"/>
        <v>2.7026324341891454</v>
      </c>
      <c r="U69" s="206">
        <f t="shared" si="100"/>
        <v>4.5043873903152418</v>
      </c>
      <c r="V69" s="206">
        <f t="shared" si="100"/>
        <v>6.3061423464413391</v>
      </c>
      <c r="W69" s="206">
        <f t="shared" si="100"/>
        <v>8.1078973025674355</v>
      </c>
      <c r="X69" s="206">
        <f t="shared" si="100"/>
        <v>9.9096522586935318</v>
      </c>
      <c r="Y69" s="206">
        <f t="shared" si="100"/>
        <v>11.71140721481963</v>
      </c>
      <c r="Z69" s="206">
        <f t="shared" si="100"/>
        <v>13.513162170945726</v>
      </c>
      <c r="AA69" s="206">
        <f t="shared" si="100"/>
        <v>15.314917127071823</v>
      </c>
      <c r="AB69" s="206">
        <f t="shared" si="100"/>
        <v>17.116672083197919</v>
      </c>
      <c r="AC69" s="206">
        <f t="shared" si="100"/>
        <v>18.918427039324015</v>
      </c>
      <c r="AD69" s="206">
        <f t="shared" si="100"/>
        <v>20.720181995450112</v>
      </c>
      <c r="AE69" s="206">
        <f t="shared" si="100"/>
        <v>22.521936951576212</v>
      </c>
      <c r="AF69" s="206">
        <f t="shared" si="100"/>
        <v>24.323691907702308</v>
      </c>
      <c r="AG69" s="206">
        <f t="shared" si="100"/>
        <v>26.125446863828405</v>
      </c>
      <c r="AH69" s="206">
        <f t="shared" si="100"/>
        <v>27.927201819954501</v>
      </c>
      <c r="AI69" s="206">
        <f t="shared" si="100"/>
        <v>29.728956776080597</v>
      </c>
      <c r="AJ69" s="206">
        <f t="shared" si="100"/>
        <v>31.530711732206694</v>
      </c>
      <c r="AK69" s="206">
        <f t="shared" si="100"/>
        <v>33.332466688332794</v>
      </c>
      <c r="AL69" s="206">
        <f t="shared" si="100"/>
        <v>35.13422164445889</v>
      </c>
      <c r="AM69" s="206">
        <f t="shared" si="100"/>
        <v>36.935976600584986</v>
      </c>
      <c r="AN69" s="206">
        <f t="shared" si="100"/>
        <v>38.737731556711083</v>
      </c>
      <c r="AO69" s="206">
        <f t="shared" si="100"/>
        <v>40.539486512837179</v>
      </c>
      <c r="AP69" s="206">
        <f t="shared" si="100"/>
        <v>42.341241468963275</v>
      </c>
      <c r="AQ69" s="206">
        <f t="shared" si="100"/>
        <v>44.142996425089372</v>
      </c>
      <c r="AR69" s="206">
        <f t="shared" si="100"/>
        <v>45.944751381215468</v>
      </c>
      <c r="AS69" s="206">
        <f t="shared" si="100"/>
        <v>47.746506337341565</v>
      </c>
      <c r="AT69" s="206">
        <f t="shared" si="100"/>
        <v>49.548261293467661</v>
      </c>
      <c r="AU69" s="206">
        <f t="shared" si="100"/>
        <v>51.350016249593757</v>
      </c>
      <c r="AV69" s="206">
        <f t="shared" si="100"/>
        <v>53.151771205719854</v>
      </c>
      <c r="AW69" s="206">
        <f t="shared" si="100"/>
        <v>54.95352616184595</v>
      </c>
      <c r="AX69" s="206">
        <f t="shared" si="100"/>
        <v>56.755281117972046</v>
      </c>
      <c r="AY69" s="206">
        <f t="shared" si="100"/>
        <v>58.55703607409815</v>
      </c>
      <c r="AZ69" s="206">
        <f t="shared" si="100"/>
        <v>60.358791030224246</v>
      </c>
      <c r="BA69" s="206">
        <f t="shared" si="100"/>
        <v>61.445303867403311</v>
      </c>
      <c r="BB69" s="206">
        <f t="shared" si="100"/>
        <v>61.816574585635358</v>
      </c>
      <c r="BC69" s="206">
        <f t="shared" si="100"/>
        <v>62.187845303867398</v>
      </c>
      <c r="BD69" s="206">
        <f t="shared" si="100"/>
        <v>62.559116022099445</v>
      </c>
      <c r="BE69" s="206">
        <f t="shared" si="100"/>
        <v>62.930386740331485</v>
      </c>
      <c r="BF69" s="206">
        <f t="shared" si="100"/>
        <v>63.301657458563533</v>
      </c>
      <c r="BG69" s="206">
        <f t="shared" si="100"/>
        <v>63.67292817679558</v>
      </c>
      <c r="BH69" s="206">
        <f t="shared" si="100"/>
        <v>64.04419889502762</v>
      </c>
      <c r="BI69" s="206">
        <f t="shared" si="100"/>
        <v>64.41546961325966</v>
      </c>
      <c r="BJ69" s="206">
        <f t="shared" si="100"/>
        <v>64.786740331491714</v>
      </c>
      <c r="BK69" s="206">
        <f t="shared" si="100"/>
        <v>65.158011049723754</v>
      </c>
      <c r="BL69" s="206">
        <f t="shared" si="100"/>
        <v>65.529281767955794</v>
      </c>
      <c r="BM69" s="206">
        <f t="shared" si="100"/>
        <v>65.900552486187834</v>
      </c>
      <c r="BN69" s="206">
        <f t="shared" si="100"/>
        <v>66.271823204419888</v>
      </c>
      <c r="BO69" s="206">
        <f t="shared" si="100"/>
        <v>66.643093922651929</v>
      </c>
      <c r="BP69" s="206">
        <f t="shared" si="100"/>
        <v>67.014364640883969</v>
      </c>
      <c r="BQ69" s="206">
        <f t="shared" si="100"/>
        <v>67.385635359116009</v>
      </c>
      <c r="BR69" s="206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67.756906077348063</v>
      </c>
      <c r="BS69" s="206">
        <f t="shared" si="101"/>
        <v>68.128176795580103</v>
      </c>
      <c r="BT69" s="206">
        <f t="shared" si="101"/>
        <v>68.499447513812143</v>
      </c>
      <c r="BU69" s="206">
        <f t="shared" si="101"/>
        <v>68.870718232044197</v>
      </c>
      <c r="BV69" s="206">
        <f t="shared" si="101"/>
        <v>69.241988950276237</v>
      </c>
      <c r="BW69" s="206">
        <f t="shared" si="101"/>
        <v>69.613259668508277</v>
      </c>
      <c r="BX69" s="206">
        <f t="shared" si="101"/>
        <v>69.984530386740317</v>
      </c>
      <c r="BY69" s="206">
        <f t="shared" si="101"/>
        <v>70.355801104972372</v>
      </c>
      <c r="BZ69" s="206">
        <f t="shared" si="101"/>
        <v>70.727071823204412</v>
      </c>
      <c r="CA69" s="206">
        <f t="shared" si="101"/>
        <v>71.098342541436452</v>
      </c>
      <c r="CB69" s="206">
        <f t="shared" si="101"/>
        <v>71.469613259668506</v>
      </c>
      <c r="CC69" s="206">
        <f t="shared" si="101"/>
        <v>71.840883977900546</v>
      </c>
      <c r="CD69" s="206">
        <f t="shared" si="101"/>
        <v>72.212154696132586</v>
      </c>
      <c r="CE69" s="206">
        <f t="shared" si="101"/>
        <v>72.583425414364626</v>
      </c>
      <c r="CF69" s="206">
        <f t="shared" si="101"/>
        <v>72.954696132596681</v>
      </c>
      <c r="CG69" s="206">
        <f t="shared" si="101"/>
        <v>73.325966850828721</v>
      </c>
      <c r="CH69" s="206">
        <f t="shared" si="101"/>
        <v>71.214364640883971</v>
      </c>
      <c r="CI69" s="206">
        <f t="shared" si="101"/>
        <v>66.619889502762419</v>
      </c>
      <c r="CJ69" s="206">
        <f t="shared" si="101"/>
        <v>62.025414364640874</v>
      </c>
      <c r="CK69" s="206">
        <f t="shared" si="101"/>
        <v>57.430939226519328</v>
      </c>
      <c r="CL69" s="206">
        <f t="shared" si="101"/>
        <v>52.836464088397783</v>
      </c>
      <c r="CM69" s="206">
        <f t="shared" si="101"/>
        <v>48.241988950276237</v>
      </c>
      <c r="CN69" s="206">
        <f t="shared" si="101"/>
        <v>43.647513812154685</v>
      </c>
      <c r="CO69" s="206">
        <f t="shared" si="101"/>
        <v>39.053038674033147</v>
      </c>
      <c r="CP69" s="206">
        <f t="shared" si="101"/>
        <v>34.458563535911594</v>
      </c>
      <c r="CQ69" s="206">
        <f t="shared" si="101"/>
        <v>29.864088397790049</v>
      </c>
      <c r="CR69" s="206">
        <f t="shared" si="101"/>
        <v>25.269613259668503</v>
      </c>
      <c r="CS69" s="206">
        <f t="shared" si="101"/>
        <v>20.675138121546958</v>
      </c>
      <c r="CT69" s="206">
        <f t="shared" si="101"/>
        <v>16.080662983425412</v>
      </c>
      <c r="CU69" s="206">
        <f t="shared" si="101"/>
        <v>11.486187845303867</v>
      </c>
      <c r="CV69" s="206">
        <f t="shared" si="101"/>
        <v>6.8917127071823217</v>
      </c>
      <c r="CW69" s="206">
        <f t="shared" si="101"/>
        <v>2.2972375690607691</v>
      </c>
      <c r="CX69" s="206">
        <f t="shared" si="101"/>
        <v>7.365000000000002</v>
      </c>
      <c r="CY69" s="206">
        <f t="shared" si="101"/>
        <v>22.095000000000006</v>
      </c>
      <c r="CZ69" s="206">
        <f t="shared" si="101"/>
        <v>36.82500000000001</v>
      </c>
      <c r="DA69" s="206">
        <f t="shared" si="101"/>
        <v>51.555000000000014</v>
      </c>
    </row>
    <row r="70" spans="1:105" s="206" customFormat="1">
      <c r="A70" s="206" t="str">
        <f>Income!A85</f>
        <v>Cash transfer - official</v>
      </c>
      <c r="F70" s="206">
        <f t="shared" si="100"/>
        <v>18197.817647058822</v>
      </c>
      <c r="G70" s="206">
        <f t="shared" si="100"/>
        <v>18197.817647058822</v>
      </c>
      <c r="H70" s="206">
        <f t="shared" si="100"/>
        <v>18197.817647058822</v>
      </c>
      <c r="I70" s="206">
        <f t="shared" si="100"/>
        <v>18197.817647058822</v>
      </c>
      <c r="J70" s="206">
        <f t="shared" si="100"/>
        <v>18197.817647058822</v>
      </c>
      <c r="K70" s="206">
        <f t="shared" si="100"/>
        <v>18197.817647058822</v>
      </c>
      <c r="L70" s="206">
        <f t="shared" si="100"/>
        <v>18197.817647058822</v>
      </c>
      <c r="M70" s="206">
        <f t="shared" si="100"/>
        <v>18197.817647058822</v>
      </c>
      <c r="N70" s="206">
        <f t="shared" si="100"/>
        <v>18197.817647058822</v>
      </c>
      <c r="O70" s="206">
        <f t="shared" si="100"/>
        <v>18197.817647058822</v>
      </c>
      <c r="P70" s="206">
        <f t="shared" si="100"/>
        <v>18197.817647058822</v>
      </c>
      <c r="Q70" s="206">
        <f t="shared" si="100"/>
        <v>18197.817647058822</v>
      </c>
      <c r="R70" s="206">
        <f t="shared" si="100"/>
        <v>18197.817647058822</v>
      </c>
      <c r="S70" s="206">
        <f t="shared" si="100"/>
        <v>18197.817647058822</v>
      </c>
      <c r="T70" s="206">
        <f t="shared" si="100"/>
        <v>18197.817647058822</v>
      </c>
      <c r="U70" s="206">
        <f t="shared" si="100"/>
        <v>18197.817647058822</v>
      </c>
      <c r="V70" s="206">
        <f t="shared" si="100"/>
        <v>18197.817647058822</v>
      </c>
      <c r="W70" s="206">
        <f t="shared" si="100"/>
        <v>18197.817647058822</v>
      </c>
      <c r="X70" s="206">
        <f t="shared" si="100"/>
        <v>18197.817647058822</v>
      </c>
      <c r="Y70" s="206">
        <f t="shared" si="100"/>
        <v>18197.817647058822</v>
      </c>
      <c r="Z70" s="206">
        <f t="shared" si="100"/>
        <v>18197.817647058822</v>
      </c>
      <c r="AA70" s="206">
        <f t="shared" si="100"/>
        <v>18197.817647058822</v>
      </c>
      <c r="AB70" s="206">
        <f t="shared" si="100"/>
        <v>18197.817647058822</v>
      </c>
      <c r="AC70" s="206">
        <f t="shared" si="100"/>
        <v>18197.817647058822</v>
      </c>
      <c r="AD70" s="206">
        <f t="shared" si="100"/>
        <v>18197.817647058822</v>
      </c>
      <c r="AE70" s="206">
        <f t="shared" si="100"/>
        <v>18197.817647058822</v>
      </c>
      <c r="AF70" s="206">
        <f t="shared" si="100"/>
        <v>18197.817647058822</v>
      </c>
      <c r="AG70" s="206">
        <f t="shared" si="100"/>
        <v>18197.817647058822</v>
      </c>
      <c r="AH70" s="206">
        <f t="shared" si="100"/>
        <v>18197.817647058822</v>
      </c>
      <c r="AI70" s="206">
        <f t="shared" si="100"/>
        <v>18197.817647058822</v>
      </c>
      <c r="AJ70" s="206">
        <f t="shared" si="100"/>
        <v>18197.817647058822</v>
      </c>
      <c r="AK70" s="206">
        <f t="shared" si="100"/>
        <v>18197.817647058822</v>
      </c>
      <c r="AL70" s="206">
        <f t="shared" si="100"/>
        <v>18197.817647058822</v>
      </c>
      <c r="AM70" s="206">
        <f t="shared" si="100"/>
        <v>18197.817647058822</v>
      </c>
      <c r="AN70" s="206">
        <f t="shared" si="100"/>
        <v>18197.817647058822</v>
      </c>
      <c r="AO70" s="206">
        <f t="shared" si="100"/>
        <v>18197.817647058822</v>
      </c>
      <c r="AP70" s="206">
        <f t="shared" si="100"/>
        <v>18197.817647058822</v>
      </c>
      <c r="AQ70" s="206">
        <f t="shared" si="100"/>
        <v>18197.817647058822</v>
      </c>
      <c r="AR70" s="206">
        <f t="shared" si="100"/>
        <v>18197.817647058822</v>
      </c>
      <c r="AS70" s="206">
        <f t="shared" si="100"/>
        <v>18197.817647058822</v>
      </c>
      <c r="AT70" s="206">
        <f t="shared" si="100"/>
        <v>18197.817647058822</v>
      </c>
      <c r="AU70" s="206">
        <f t="shared" si="100"/>
        <v>18197.817647058822</v>
      </c>
      <c r="AV70" s="206">
        <f t="shared" si="100"/>
        <v>18197.817647058822</v>
      </c>
      <c r="AW70" s="206">
        <f t="shared" si="100"/>
        <v>18197.817647058822</v>
      </c>
      <c r="AX70" s="206">
        <f t="shared" si="100"/>
        <v>18197.817647058822</v>
      </c>
      <c r="AY70" s="206">
        <f t="shared" si="100"/>
        <v>18197.817647058822</v>
      </c>
      <c r="AZ70" s="206">
        <f t="shared" si="100"/>
        <v>18197.817647058822</v>
      </c>
      <c r="BA70" s="206">
        <f t="shared" si="100"/>
        <v>18056.251319073082</v>
      </c>
      <c r="BB70" s="206">
        <f t="shared" si="100"/>
        <v>17773.118663101603</v>
      </c>
      <c r="BC70" s="206">
        <f t="shared" si="100"/>
        <v>17489.986007130123</v>
      </c>
      <c r="BD70" s="206">
        <f t="shared" si="100"/>
        <v>17206.853351158643</v>
      </c>
      <c r="BE70" s="206">
        <f t="shared" si="100"/>
        <v>16923.720695187163</v>
      </c>
      <c r="BF70" s="206">
        <f t="shared" si="100"/>
        <v>16640.588039215687</v>
      </c>
      <c r="BG70" s="206">
        <f t="shared" si="100"/>
        <v>16357.455383244205</v>
      </c>
      <c r="BH70" s="206">
        <f t="shared" si="100"/>
        <v>16074.322727272727</v>
      </c>
      <c r="BI70" s="206">
        <f t="shared" si="100"/>
        <v>15791.190071301247</v>
      </c>
      <c r="BJ70" s="206">
        <f t="shared" si="100"/>
        <v>15508.057415329768</v>
      </c>
      <c r="BK70" s="206">
        <f t="shared" si="100"/>
        <v>15224.924759358288</v>
      </c>
      <c r="BL70" s="206">
        <f t="shared" si="100"/>
        <v>14941.792103386808</v>
      </c>
      <c r="BM70" s="206">
        <f t="shared" si="100"/>
        <v>14658.65944741533</v>
      </c>
      <c r="BN70" s="206">
        <f t="shared" si="100"/>
        <v>14375.52679144385</v>
      </c>
      <c r="BO70" s="206">
        <f t="shared" si="100"/>
        <v>14092.39413547237</v>
      </c>
      <c r="BP70" s="206">
        <f t="shared" si="100"/>
        <v>13809.261479500892</v>
      </c>
      <c r="BQ70" s="206">
        <f t="shared" si="100"/>
        <v>13526.128823529412</v>
      </c>
      <c r="BR70" s="206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13242.996167557932</v>
      </c>
      <c r="BS70" s="206">
        <f t="shared" si="102"/>
        <v>12959.863511586453</v>
      </c>
      <c r="BT70" s="206">
        <f t="shared" si="102"/>
        <v>12676.730855614973</v>
      </c>
      <c r="BU70" s="206">
        <f t="shared" si="102"/>
        <v>12393.598199643493</v>
      </c>
      <c r="BV70" s="206">
        <f t="shared" si="102"/>
        <v>12110.465543672013</v>
      </c>
      <c r="BW70" s="206">
        <f t="shared" si="102"/>
        <v>11827.332887700535</v>
      </c>
      <c r="BX70" s="206">
        <f t="shared" si="102"/>
        <v>11544.200231729055</v>
      </c>
      <c r="BY70" s="206">
        <f t="shared" si="102"/>
        <v>11261.067575757577</v>
      </c>
      <c r="BZ70" s="206">
        <f t="shared" si="102"/>
        <v>10977.934919786097</v>
      </c>
      <c r="CA70" s="206">
        <f t="shared" si="102"/>
        <v>10694.802263814618</v>
      </c>
      <c r="CB70" s="206">
        <f t="shared" si="102"/>
        <v>10411.669607843138</v>
      </c>
      <c r="CC70" s="206">
        <f t="shared" si="102"/>
        <v>10128.536951871658</v>
      </c>
      <c r="CD70" s="206">
        <f t="shared" si="102"/>
        <v>9845.4042959001781</v>
      </c>
      <c r="CE70" s="206">
        <f t="shared" si="102"/>
        <v>9562.2716399287001</v>
      </c>
      <c r="CF70" s="206">
        <f t="shared" si="102"/>
        <v>9279.1389839572203</v>
      </c>
      <c r="CG70" s="206">
        <f t="shared" si="102"/>
        <v>8996.0063279857404</v>
      </c>
      <c r="CH70" s="206">
        <f t="shared" si="102"/>
        <v>8854.44</v>
      </c>
      <c r="CI70" s="206">
        <f t="shared" si="102"/>
        <v>8854.44</v>
      </c>
      <c r="CJ70" s="206">
        <f t="shared" si="102"/>
        <v>8854.44</v>
      </c>
      <c r="CK70" s="206">
        <f t="shared" si="102"/>
        <v>8854.44</v>
      </c>
      <c r="CL70" s="206">
        <f t="shared" si="102"/>
        <v>8854.44</v>
      </c>
      <c r="CM70" s="206">
        <f t="shared" si="102"/>
        <v>8854.44</v>
      </c>
      <c r="CN70" s="206">
        <f t="shared" si="102"/>
        <v>8854.44</v>
      </c>
      <c r="CO70" s="206">
        <f t="shared" si="102"/>
        <v>8854.44</v>
      </c>
      <c r="CP70" s="206">
        <f t="shared" si="102"/>
        <v>8854.44</v>
      </c>
      <c r="CQ70" s="206">
        <f t="shared" si="102"/>
        <v>8854.44</v>
      </c>
      <c r="CR70" s="206">
        <f t="shared" si="102"/>
        <v>8854.44</v>
      </c>
      <c r="CS70" s="206">
        <f t="shared" si="102"/>
        <v>8854.44</v>
      </c>
      <c r="CT70" s="206">
        <f t="shared" si="102"/>
        <v>8854.44</v>
      </c>
      <c r="CU70" s="206">
        <f t="shared" si="102"/>
        <v>8854.44</v>
      </c>
      <c r="CV70" s="206">
        <f t="shared" si="102"/>
        <v>8854.44</v>
      </c>
      <c r="CW70" s="206">
        <f t="shared" si="102"/>
        <v>8854.44</v>
      </c>
      <c r="CX70" s="206">
        <f t="shared" si="102"/>
        <v>8290.5250000000015</v>
      </c>
      <c r="CY70" s="206">
        <f t="shared" si="102"/>
        <v>7162.6950000000006</v>
      </c>
      <c r="CZ70" s="206">
        <f t="shared" si="102"/>
        <v>6034.8650000000007</v>
      </c>
      <c r="DA70" s="206">
        <f t="shared" si="102"/>
        <v>4907.0350000000008</v>
      </c>
    </row>
    <row r="71" spans="1:105" s="206" customFormat="1">
      <c r="A71" s="206" t="str">
        <f>Income!A86</f>
        <v>Cash transfer - gifts</v>
      </c>
      <c r="F71" s="206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6">
        <f t="shared" si="103"/>
        <v>0</v>
      </c>
      <c r="H71" s="206">
        <f t="shared" si="103"/>
        <v>0</v>
      </c>
      <c r="I71" s="206">
        <f t="shared" si="103"/>
        <v>0</v>
      </c>
      <c r="J71" s="206">
        <f t="shared" si="103"/>
        <v>0</v>
      </c>
      <c r="K71" s="206">
        <f t="shared" si="103"/>
        <v>0</v>
      </c>
      <c r="L71" s="206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6">
        <f t="shared" si="103"/>
        <v>0</v>
      </c>
      <c r="N71" s="206">
        <f t="shared" si="103"/>
        <v>0</v>
      </c>
      <c r="O71" s="206">
        <f t="shared" si="103"/>
        <v>0</v>
      </c>
      <c r="P71" s="206">
        <f t="shared" si="103"/>
        <v>0</v>
      </c>
      <c r="Q71" s="206">
        <f t="shared" si="103"/>
        <v>0</v>
      </c>
      <c r="R71" s="206">
        <f t="shared" si="103"/>
        <v>0</v>
      </c>
      <c r="S71" s="206">
        <f t="shared" si="103"/>
        <v>24.705882352941174</v>
      </c>
      <c r="T71" s="206">
        <f t="shared" si="103"/>
        <v>74.117647058823522</v>
      </c>
      <c r="U71" s="206">
        <f t="shared" si="103"/>
        <v>123.52941176470587</v>
      </c>
      <c r="V71" s="206">
        <f t="shared" si="103"/>
        <v>172.94117647058823</v>
      </c>
      <c r="W71" s="206">
        <f t="shared" si="103"/>
        <v>222.35294117647055</v>
      </c>
      <c r="X71" s="206">
        <f t="shared" si="103"/>
        <v>271.76470588235293</v>
      </c>
      <c r="Y71" s="206">
        <f t="shared" si="103"/>
        <v>321.17647058823525</v>
      </c>
      <c r="Z71" s="206">
        <f t="shared" si="103"/>
        <v>370.58823529411762</v>
      </c>
      <c r="AA71" s="206">
        <f t="shared" si="103"/>
        <v>419.99999999999994</v>
      </c>
      <c r="AB71" s="206">
        <f t="shared" si="103"/>
        <v>469.41176470588232</v>
      </c>
      <c r="AC71" s="206">
        <f t="shared" si="103"/>
        <v>518.82352941176464</v>
      </c>
      <c r="AD71" s="206">
        <f t="shared" si="103"/>
        <v>568.23529411764696</v>
      </c>
      <c r="AE71" s="206">
        <f t="shared" si="103"/>
        <v>617.64705882352939</v>
      </c>
      <c r="AF71" s="206">
        <f t="shared" si="103"/>
        <v>667.05882352941171</v>
      </c>
      <c r="AG71" s="206">
        <f t="shared" si="103"/>
        <v>716.47058823529403</v>
      </c>
      <c r="AH71" s="206">
        <f t="shared" si="103"/>
        <v>765.88235294117635</v>
      </c>
      <c r="AI71" s="206">
        <f t="shared" si="103"/>
        <v>815.29411764705878</v>
      </c>
      <c r="AJ71" s="206">
        <f t="shared" si="103"/>
        <v>864.7058823529411</v>
      </c>
      <c r="AK71" s="206">
        <f t="shared" si="103"/>
        <v>914.11764705882342</v>
      </c>
      <c r="AL71" s="206">
        <f t="shared" si="103"/>
        <v>963.52941176470574</v>
      </c>
      <c r="AM71" s="206">
        <f t="shared" si="103"/>
        <v>1012.9411764705882</v>
      </c>
      <c r="AN71" s="206">
        <f t="shared" si="103"/>
        <v>1062.3529411764705</v>
      </c>
      <c r="AO71" s="206">
        <f t="shared" si="103"/>
        <v>1111.7647058823529</v>
      </c>
      <c r="AP71" s="206">
        <f t="shared" si="103"/>
        <v>1161.1764705882351</v>
      </c>
      <c r="AQ71" s="206">
        <f t="shared" si="103"/>
        <v>1210.5882352941176</v>
      </c>
      <c r="AR71" s="206">
        <f t="shared" si="103"/>
        <v>1259.9999999999998</v>
      </c>
      <c r="AS71" s="206">
        <f t="shared" si="103"/>
        <v>1309.4117647058822</v>
      </c>
      <c r="AT71" s="206">
        <f t="shared" si="103"/>
        <v>1358.8235294117646</v>
      </c>
      <c r="AU71" s="206">
        <f t="shared" si="103"/>
        <v>1408.2352941176468</v>
      </c>
      <c r="AV71" s="206">
        <f t="shared" si="103"/>
        <v>1457.6470588235293</v>
      </c>
      <c r="AW71" s="206">
        <f t="shared" si="103"/>
        <v>1507.0588235294117</v>
      </c>
      <c r="AX71" s="206">
        <f t="shared" si="103"/>
        <v>1556.4705882352939</v>
      </c>
      <c r="AY71" s="206">
        <f t="shared" si="103"/>
        <v>1605.8823529411764</v>
      </c>
      <c r="AZ71" s="206">
        <f t="shared" si="103"/>
        <v>1655.2941176470586</v>
      </c>
      <c r="BA71" s="206">
        <f t="shared" si="103"/>
        <v>1654.5454545454543</v>
      </c>
      <c r="BB71" s="206">
        <f t="shared" si="103"/>
        <v>1603.6363636363635</v>
      </c>
      <c r="BC71" s="206">
        <f t="shared" si="103"/>
        <v>1552.7272727272725</v>
      </c>
      <c r="BD71" s="206">
        <f t="shared" si="103"/>
        <v>1501.8181818181815</v>
      </c>
      <c r="BE71" s="206">
        <f t="shared" si="103"/>
        <v>1450.9090909090908</v>
      </c>
      <c r="BF71" s="206">
        <f t="shared" si="103"/>
        <v>1399.9999999999998</v>
      </c>
      <c r="BG71" s="206">
        <f t="shared" si="103"/>
        <v>1349.090909090909</v>
      </c>
      <c r="BH71" s="206">
        <f t="shared" si="103"/>
        <v>1298.181818181818</v>
      </c>
      <c r="BI71" s="206">
        <f t="shared" si="103"/>
        <v>1247.272727272727</v>
      </c>
      <c r="BJ71" s="206">
        <f t="shared" si="103"/>
        <v>1196.3636363636363</v>
      </c>
      <c r="BK71" s="206">
        <f t="shared" si="103"/>
        <v>1145.4545454545455</v>
      </c>
      <c r="BL71" s="206">
        <f t="shared" si="103"/>
        <v>1094.5454545454545</v>
      </c>
      <c r="BM71" s="206">
        <f t="shared" si="103"/>
        <v>1043.6363636363635</v>
      </c>
      <c r="BN71" s="206">
        <f t="shared" si="103"/>
        <v>992.72727272727263</v>
      </c>
      <c r="BO71" s="206">
        <f t="shared" si="103"/>
        <v>941.81818181818176</v>
      </c>
      <c r="BP71" s="206">
        <f t="shared" si="103"/>
        <v>890.90909090909088</v>
      </c>
      <c r="BQ71" s="206">
        <f t="shared" si="103"/>
        <v>839.99999999999989</v>
      </c>
      <c r="BR71" s="206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789.09090909090901</v>
      </c>
      <c r="BS71" s="206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738.18181818181813</v>
      </c>
      <c r="BT71" s="206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687.27272727272725</v>
      </c>
      <c r="BU71" s="206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636.36363636363626</v>
      </c>
      <c r="BV71" s="206">
        <f t="shared" si="104"/>
        <v>585.4545454545455</v>
      </c>
      <c r="BW71" s="206">
        <f t="shared" si="104"/>
        <v>534.5454545454545</v>
      </c>
      <c r="BX71" s="206">
        <f t="shared" si="104"/>
        <v>483.63636363636374</v>
      </c>
      <c r="BY71" s="206">
        <f t="shared" si="104"/>
        <v>432.72727272727275</v>
      </c>
      <c r="BZ71" s="206">
        <f t="shared" si="104"/>
        <v>381.81818181818176</v>
      </c>
      <c r="CA71" s="206">
        <f t="shared" si="104"/>
        <v>330.90909090909099</v>
      </c>
      <c r="CB71" s="206">
        <f t="shared" si="104"/>
        <v>280</v>
      </c>
      <c r="CC71" s="206">
        <f t="shared" si="104"/>
        <v>229.09090909090924</v>
      </c>
      <c r="CD71" s="206">
        <f t="shared" si="104"/>
        <v>178.18181818181824</v>
      </c>
      <c r="CE71" s="206">
        <f t="shared" si="104"/>
        <v>127.27272727272725</v>
      </c>
      <c r="CF71" s="206">
        <f t="shared" si="104"/>
        <v>76.363636363636488</v>
      </c>
      <c r="CG71" s="206">
        <f t="shared" si="104"/>
        <v>25.454545454545496</v>
      </c>
      <c r="CH71" s="206">
        <f t="shared" si="104"/>
        <v>0</v>
      </c>
      <c r="CI71" s="206">
        <f t="shared" si="104"/>
        <v>0</v>
      </c>
      <c r="CJ71" s="206">
        <f t="shared" si="104"/>
        <v>0</v>
      </c>
      <c r="CK71" s="206">
        <f t="shared" si="104"/>
        <v>0</v>
      </c>
      <c r="CL71" s="206">
        <f t="shared" si="104"/>
        <v>0</v>
      </c>
      <c r="CM71" s="206">
        <f t="shared" si="104"/>
        <v>0</v>
      </c>
      <c r="CN71" s="206">
        <f t="shared" si="104"/>
        <v>0</v>
      </c>
      <c r="CO71" s="206">
        <f t="shared" si="104"/>
        <v>0</v>
      </c>
      <c r="CP71" s="206">
        <f t="shared" si="104"/>
        <v>0</v>
      </c>
      <c r="CQ71" s="206">
        <f t="shared" si="104"/>
        <v>0</v>
      </c>
      <c r="CR71" s="206">
        <f t="shared" si="104"/>
        <v>0</v>
      </c>
      <c r="CS71" s="206">
        <f t="shared" si="104"/>
        <v>0</v>
      </c>
      <c r="CT71" s="206">
        <f t="shared" si="104"/>
        <v>0</v>
      </c>
      <c r="CU71" s="206">
        <f t="shared" si="104"/>
        <v>0</v>
      </c>
      <c r="CV71" s="206">
        <f t="shared" si="104"/>
        <v>0</v>
      </c>
      <c r="CW71" s="206">
        <f t="shared" si="104"/>
        <v>0</v>
      </c>
      <c r="CX71" s="206">
        <f t="shared" si="104"/>
        <v>148.16499999999999</v>
      </c>
      <c r="CY71" s="206">
        <f t="shared" si="104"/>
        <v>444.495</v>
      </c>
      <c r="CZ71" s="206">
        <f t="shared" si="104"/>
        <v>740.82499999999993</v>
      </c>
      <c r="DA71" s="206">
        <f t="shared" si="104"/>
        <v>1037.155</v>
      </c>
    </row>
    <row r="72" spans="1:105" s="206" customFormat="1">
      <c r="A72" s="206" t="str">
        <f>Income!A88</f>
        <v>TOTAL</v>
      </c>
      <c r="F72" s="206">
        <f>SUM(F59:F71)</f>
        <v>30454.987071025858</v>
      </c>
      <c r="G72" s="206">
        <f t="shared" ref="G72:BR72" si="105">SUM(G59:G71)</f>
        <v>30454.987071025858</v>
      </c>
      <c r="H72" s="206">
        <f t="shared" si="105"/>
        <v>30454.987071025858</v>
      </c>
      <c r="I72" s="206">
        <f t="shared" si="105"/>
        <v>30454.987071025858</v>
      </c>
      <c r="J72" s="206">
        <f t="shared" si="105"/>
        <v>30454.987071025858</v>
      </c>
      <c r="K72" s="206">
        <f t="shared" si="105"/>
        <v>30454.987071025858</v>
      </c>
      <c r="L72" s="206">
        <f t="shared" si="105"/>
        <v>30454.987071025858</v>
      </c>
      <c r="M72" s="206">
        <f t="shared" si="105"/>
        <v>30454.987071025858</v>
      </c>
      <c r="N72" s="206">
        <f t="shared" si="105"/>
        <v>30454.987071025858</v>
      </c>
      <c r="O72" s="206">
        <f t="shared" si="105"/>
        <v>30454.987071025858</v>
      </c>
      <c r="P72" s="206">
        <f t="shared" si="105"/>
        <v>30454.987071025858</v>
      </c>
      <c r="Q72" s="206">
        <f t="shared" si="105"/>
        <v>30454.987071025858</v>
      </c>
      <c r="R72" s="206">
        <f t="shared" si="105"/>
        <v>30454.987071025858</v>
      </c>
      <c r="S72" s="206">
        <f t="shared" si="105"/>
        <v>30960.918979357844</v>
      </c>
      <c r="T72" s="206">
        <f t="shared" si="105"/>
        <v>31972.782796021813</v>
      </c>
      <c r="U72" s="206">
        <f t="shared" si="105"/>
        <v>32984.646612685785</v>
      </c>
      <c r="V72" s="206">
        <f t="shared" si="105"/>
        <v>33996.510429349757</v>
      </c>
      <c r="W72" s="206">
        <f t="shared" si="105"/>
        <v>35008.374246013722</v>
      </c>
      <c r="X72" s="206">
        <f t="shared" si="105"/>
        <v>36020.238062677694</v>
      </c>
      <c r="Y72" s="206">
        <f t="shared" si="105"/>
        <v>37032.101879341666</v>
      </c>
      <c r="Z72" s="206">
        <f t="shared" si="105"/>
        <v>38043.965696005638</v>
      </c>
      <c r="AA72" s="206">
        <f t="shared" si="105"/>
        <v>39055.829512669603</v>
      </c>
      <c r="AB72" s="206">
        <f t="shared" si="105"/>
        <v>40067.693329333568</v>
      </c>
      <c r="AC72" s="206">
        <f t="shared" si="105"/>
        <v>41079.55714599754</v>
      </c>
      <c r="AD72" s="206">
        <f t="shared" si="105"/>
        <v>42091.420962661519</v>
      </c>
      <c r="AE72" s="206">
        <f t="shared" si="105"/>
        <v>43103.284779325484</v>
      </c>
      <c r="AF72" s="206">
        <f t="shared" si="105"/>
        <v>44115.148595989449</v>
      </c>
      <c r="AG72" s="206">
        <f t="shared" si="105"/>
        <v>45127.012412653428</v>
      </c>
      <c r="AH72" s="206">
        <f t="shared" si="105"/>
        <v>46138.876229317393</v>
      </c>
      <c r="AI72" s="206">
        <f t="shared" si="105"/>
        <v>47150.740045981358</v>
      </c>
      <c r="AJ72" s="206">
        <f t="shared" si="105"/>
        <v>48162.603862645345</v>
      </c>
      <c r="AK72" s="206">
        <f t="shared" si="105"/>
        <v>49174.467679309309</v>
      </c>
      <c r="AL72" s="206">
        <f t="shared" si="105"/>
        <v>50186.331495973274</v>
      </c>
      <c r="AM72" s="206">
        <f t="shared" si="105"/>
        <v>51198.195312637239</v>
      </c>
      <c r="AN72" s="206">
        <f t="shared" si="105"/>
        <v>52210.059129301211</v>
      </c>
      <c r="AO72" s="206">
        <f t="shared" si="105"/>
        <v>53221.922945965183</v>
      </c>
      <c r="AP72" s="206">
        <f t="shared" si="105"/>
        <v>54233.786762629163</v>
      </c>
      <c r="AQ72" s="206">
        <f t="shared" si="105"/>
        <v>55245.650579293128</v>
      </c>
      <c r="AR72" s="206">
        <f t="shared" si="105"/>
        <v>56257.514395957092</v>
      </c>
      <c r="AS72" s="206">
        <f t="shared" si="105"/>
        <v>57269.378212621057</v>
      </c>
      <c r="AT72" s="206">
        <f t="shared" si="105"/>
        <v>58281.242029285029</v>
      </c>
      <c r="AU72" s="206">
        <f t="shared" si="105"/>
        <v>59293.105845949001</v>
      </c>
      <c r="AV72" s="206">
        <f t="shared" si="105"/>
        <v>60304.969662612973</v>
      </c>
      <c r="AW72" s="206">
        <f t="shared" si="105"/>
        <v>61316.833479276946</v>
      </c>
      <c r="AX72" s="206">
        <f t="shared" si="105"/>
        <v>62328.697295940918</v>
      </c>
      <c r="AY72" s="206">
        <f t="shared" si="105"/>
        <v>63340.561112604883</v>
      </c>
      <c r="AZ72" s="206">
        <f t="shared" si="105"/>
        <v>64352.424929268855</v>
      </c>
      <c r="BA72" s="206">
        <f t="shared" si="105"/>
        <v>67496.695020851548</v>
      </c>
      <c r="BB72" s="206">
        <f t="shared" si="105"/>
        <v>72773.371387353007</v>
      </c>
      <c r="BC72" s="206">
        <f t="shared" si="105"/>
        <v>78050.047753854422</v>
      </c>
      <c r="BD72" s="206">
        <f t="shared" si="105"/>
        <v>83326.724120355851</v>
      </c>
      <c r="BE72" s="206">
        <f t="shared" si="105"/>
        <v>88603.400486857296</v>
      </c>
      <c r="BF72" s="206">
        <f t="shared" si="105"/>
        <v>93880.076853358725</v>
      </c>
      <c r="BG72" s="206">
        <f t="shared" si="105"/>
        <v>99156.753219860155</v>
      </c>
      <c r="BH72" s="206">
        <f t="shared" si="105"/>
        <v>104433.4295863616</v>
      </c>
      <c r="BI72" s="206">
        <f t="shared" si="105"/>
        <v>109710.10595286303</v>
      </c>
      <c r="BJ72" s="206">
        <f t="shared" si="105"/>
        <v>114986.78231936444</v>
      </c>
      <c r="BK72" s="206">
        <f t="shared" si="105"/>
        <v>120263.45868586589</v>
      </c>
      <c r="BL72" s="206">
        <f t="shared" si="105"/>
        <v>125540.13505236733</v>
      </c>
      <c r="BM72" s="206">
        <f t="shared" si="105"/>
        <v>130816.81141886876</v>
      </c>
      <c r="BN72" s="206">
        <f t="shared" si="105"/>
        <v>136093.48778537018</v>
      </c>
      <c r="BO72" s="206">
        <f t="shared" si="105"/>
        <v>141370.16415187164</v>
      </c>
      <c r="BP72" s="206">
        <f t="shared" si="105"/>
        <v>146646.84051837306</v>
      </c>
      <c r="BQ72" s="206">
        <f t="shared" si="105"/>
        <v>151923.51688487449</v>
      </c>
      <c r="BR72" s="206">
        <f t="shared" si="105"/>
        <v>157200.19325137595</v>
      </c>
      <c r="BS72" s="206">
        <f t="shared" ref="BS72:DA72" si="106">SUM(BS59:BS71)</f>
        <v>162476.86961787735</v>
      </c>
      <c r="BT72" s="206">
        <f t="shared" si="106"/>
        <v>167753.54598437881</v>
      </c>
      <c r="BU72" s="206">
        <f t="shared" si="106"/>
        <v>173030.22235088021</v>
      </c>
      <c r="BV72" s="206">
        <f t="shared" si="106"/>
        <v>178306.89871738167</v>
      </c>
      <c r="BW72" s="206">
        <f t="shared" si="106"/>
        <v>183583.5750838831</v>
      </c>
      <c r="BX72" s="206">
        <f t="shared" si="106"/>
        <v>188860.2514503845</v>
      </c>
      <c r="BY72" s="206">
        <f t="shared" si="106"/>
        <v>194136.92781688596</v>
      </c>
      <c r="BZ72" s="206">
        <f t="shared" si="106"/>
        <v>199413.60418338739</v>
      </c>
      <c r="CA72" s="206">
        <f t="shared" si="106"/>
        <v>204690.28054988879</v>
      </c>
      <c r="CB72" s="206">
        <f t="shared" si="106"/>
        <v>209966.95691639025</v>
      </c>
      <c r="CC72" s="206">
        <f t="shared" si="106"/>
        <v>215243.63328289171</v>
      </c>
      <c r="CD72" s="206">
        <f t="shared" si="106"/>
        <v>220520.30964939311</v>
      </c>
      <c r="CE72" s="206">
        <f t="shared" si="106"/>
        <v>225796.98601589457</v>
      </c>
      <c r="CF72" s="206">
        <f t="shared" si="106"/>
        <v>231073.662382396</v>
      </c>
      <c r="CG72" s="206">
        <f t="shared" si="106"/>
        <v>236350.33874889743</v>
      </c>
      <c r="CH72" s="206">
        <f t="shared" si="106"/>
        <v>243078.98407581198</v>
      </c>
      <c r="CI72" s="206">
        <f t="shared" si="106"/>
        <v>251259.59836313964</v>
      </c>
      <c r="CJ72" s="206">
        <f t="shared" si="106"/>
        <v>259440.21265046729</v>
      </c>
      <c r="CK72" s="206">
        <f t="shared" si="106"/>
        <v>267620.82693779498</v>
      </c>
      <c r="CL72" s="206">
        <f t="shared" si="106"/>
        <v>275801.44122512266</v>
      </c>
      <c r="CM72" s="206">
        <f t="shared" si="106"/>
        <v>283982.05551245034</v>
      </c>
      <c r="CN72" s="206">
        <f t="shared" si="106"/>
        <v>292162.66979977797</v>
      </c>
      <c r="CO72" s="206">
        <f t="shared" si="106"/>
        <v>300343.2840871056</v>
      </c>
      <c r="CP72" s="206">
        <f t="shared" si="106"/>
        <v>308523.89837443328</v>
      </c>
      <c r="CQ72" s="206">
        <f t="shared" si="106"/>
        <v>316704.51266176091</v>
      </c>
      <c r="CR72" s="206">
        <f t="shared" si="106"/>
        <v>324885.12694908853</v>
      </c>
      <c r="CS72" s="206">
        <f t="shared" si="106"/>
        <v>333065.74123641627</v>
      </c>
      <c r="CT72" s="206">
        <f t="shared" si="106"/>
        <v>341246.3555237439</v>
      </c>
      <c r="CU72" s="206">
        <f t="shared" si="106"/>
        <v>349426.96981107153</v>
      </c>
      <c r="CV72" s="206">
        <f t="shared" si="106"/>
        <v>357607.58409839921</v>
      </c>
      <c r="CW72" s="206">
        <f t="shared" si="106"/>
        <v>365788.19838572684</v>
      </c>
      <c r="CX72" s="206">
        <f t="shared" si="106"/>
        <v>374768.4060293907</v>
      </c>
      <c r="CY72" s="206">
        <f t="shared" si="106"/>
        <v>384548.20702939067</v>
      </c>
      <c r="CZ72" s="206">
        <f t="shared" si="106"/>
        <v>394328.00802939071</v>
      </c>
      <c r="DA72" s="206">
        <f t="shared" si="106"/>
        <v>404107.80902939069</v>
      </c>
    </row>
    <row r="73" spans="1:105">
      <c r="A73" s="203" t="str">
        <f>Income!A89</f>
        <v>Food Poverty line</v>
      </c>
    </row>
    <row r="74" spans="1:105">
      <c r="A74" s="203" t="str">
        <f>Income!A90</f>
        <v>Lower Bound Poverty line</v>
      </c>
    </row>
    <row r="96" spans="4:15">
      <c r="D96" s="213"/>
      <c r="E96" s="213"/>
      <c r="F96" s="213"/>
      <c r="G96" s="213"/>
      <c r="H96" s="213"/>
      <c r="I96" s="213"/>
      <c r="J96" s="213"/>
      <c r="K96" s="213"/>
      <c r="L96" s="213"/>
      <c r="M96" s="213"/>
      <c r="N96" s="213"/>
      <c r="O96" s="213"/>
    </row>
    <row r="97" spans="1:31">
      <c r="C97" s="212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</row>
    <row r="98" spans="1:31">
      <c r="C98" s="212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</row>
    <row r="99" spans="1:31">
      <c r="C99" s="212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</row>
    <row r="100" spans="1:31">
      <c r="C100" s="212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</row>
    <row r="101" spans="1:31">
      <c r="C101" s="212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</row>
    <row r="107" spans="1:31">
      <c r="B107" s="216">
        <f>A23</f>
        <v>0</v>
      </c>
      <c r="C107" s="216">
        <f>B23</f>
        <v>25</v>
      </c>
      <c r="D107" s="216">
        <f>C23</f>
        <v>68</v>
      </c>
      <c r="E107" s="216">
        <f>D23</f>
        <v>91</v>
      </c>
      <c r="F107" s="216">
        <f>E23</f>
        <v>100</v>
      </c>
      <c r="AD107" s="203" t="s">
        <v>117</v>
      </c>
    </row>
    <row r="108" spans="1:31">
      <c r="A108" s="215" t="str">
        <f t="shared" ref="A108:A120" si="107">A42</f>
        <v>Own crops Consumed</v>
      </c>
      <c r="B108" s="214">
        <v>0</v>
      </c>
      <c r="C108" s="214">
        <f>AD42</f>
        <v>46.804168037100325</v>
      </c>
      <c r="D108" s="214">
        <f>BU42</f>
        <v>9.4727815438892797</v>
      </c>
      <c r="E108" s="214">
        <f>CR42</f>
        <v>61.485911602209882</v>
      </c>
      <c r="F108" s="214">
        <f xml:space="preserve"> 0.0529*F107^2 - 5.8907*F107 + 166.43</f>
        <v>106.36000000000007</v>
      </c>
    </row>
    <row r="109" spans="1:31">
      <c r="A109" s="215" t="str">
        <f t="shared" si="107"/>
        <v>Own crops sold</v>
      </c>
      <c r="B109" s="214">
        <f xml:space="preserve"> 0.2249*B107^2 + 18.644*B107 + 340.26</f>
        <v>340.26</v>
      </c>
      <c r="C109" s="214">
        <f>AD43</f>
        <v>13.176470588235292</v>
      </c>
      <c r="D109" s="214">
        <f t="shared" ref="D109:D120" si="108">BU43</f>
        <v>100.62351515151514</v>
      </c>
      <c r="E109" s="214">
        <f t="shared" ref="E109:E120" si="109">CR43</f>
        <v>453.26400000000001</v>
      </c>
      <c r="F109" s="214">
        <f xml:space="preserve"> 0.2249*F107^2 - 18.644*F107 + 340.26</f>
        <v>724.86000000000013</v>
      </c>
      <c r="AD109" s="219" t="s">
        <v>120</v>
      </c>
      <c r="AE109" s="203">
        <f>(0.0000001/7+0.00002/6+0.0039/5+0.2271/4+1.2857/3+16.311/2+13342)</f>
        <v>13350.641625014287</v>
      </c>
    </row>
    <row r="110" spans="1:31">
      <c r="A110" s="215" t="str">
        <f t="shared" si="107"/>
        <v>Animal products consumed</v>
      </c>
      <c r="B110" s="214">
        <v>0</v>
      </c>
      <c r="C110" s="214">
        <f t="shared" ref="C110:C120" si="110">AD44</f>
        <v>1.7474484318746146</v>
      </c>
      <c r="D110" s="214">
        <f t="shared" si="108"/>
        <v>8.8807016690229759</v>
      </c>
      <c r="E110" s="214">
        <f t="shared" si="109"/>
        <v>9.6588508635664709</v>
      </c>
      <c r="F110" s="214">
        <f xml:space="preserve"> -0.005*F107^2 + 0.7378*F107 - 15.349</f>
        <v>8.4310000000000009</v>
      </c>
      <c r="AD110" s="219" t="s">
        <v>118</v>
      </c>
      <c r="AE110" s="203">
        <f>(0.5*(DA72-F72))</f>
        <v>186826.4109791824</v>
      </c>
    </row>
    <row r="111" spans="1:31">
      <c r="A111" s="215" t="str">
        <f t="shared" si="107"/>
        <v>Animal products sold</v>
      </c>
      <c r="B111" s="214">
        <v>0</v>
      </c>
      <c r="C111" s="214">
        <f t="shared" si="110"/>
        <v>0</v>
      </c>
      <c r="D111" s="214">
        <f t="shared" si="108"/>
        <v>0</v>
      </c>
      <c r="E111" s="214">
        <f t="shared" si="109"/>
        <v>0</v>
      </c>
      <c r="F111" s="214">
        <v>0</v>
      </c>
      <c r="AD111" s="219" t="s">
        <v>119</v>
      </c>
      <c r="AE111" s="214">
        <f>AE109/AE110</f>
        <v>7.1460140753343032E-2</v>
      </c>
    </row>
    <row r="112" spans="1:31">
      <c r="A112" s="215" t="str">
        <f t="shared" si="107"/>
        <v>Animals sold</v>
      </c>
      <c r="B112" s="214">
        <v>0</v>
      </c>
      <c r="C112" s="214">
        <f t="shared" si="110"/>
        <v>122.82117647058824</v>
      </c>
      <c r="D112" s="214">
        <f t="shared" si="108"/>
        <v>223.71151515151513</v>
      </c>
      <c r="E112" s="214">
        <f t="shared" si="109"/>
        <v>100.79999999999984</v>
      </c>
      <c r="F112" s="214">
        <v>0</v>
      </c>
    </row>
    <row r="113" spans="1:31">
      <c r="A113" s="215" t="str">
        <f t="shared" si="107"/>
        <v>Wild foods consumed and sold</v>
      </c>
      <c r="B113" s="214">
        <v>0</v>
      </c>
      <c r="C113" s="214">
        <f t="shared" si="110"/>
        <v>0</v>
      </c>
      <c r="D113" s="214">
        <f t="shared" si="108"/>
        <v>0</v>
      </c>
      <c r="E113" s="214">
        <f t="shared" si="109"/>
        <v>0</v>
      </c>
      <c r="F113" s="214">
        <f xml:space="preserve"> 0.0898*F107^2 - 11.826*F107 + 336.79</f>
        <v>52.189999999999884</v>
      </c>
      <c r="AD113" s="219" t="s">
        <v>121</v>
      </c>
      <c r="AE113" s="203">
        <v>0.57299999999999995</v>
      </c>
    </row>
    <row r="114" spans="1:31">
      <c r="A114" s="215" t="str">
        <f t="shared" si="107"/>
        <v>Labour - casual</v>
      </c>
      <c r="B114" s="214">
        <v>0</v>
      </c>
      <c r="C114" s="214">
        <f t="shared" si="110"/>
        <v>185.86103347416315</v>
      </c>
      <c r="D114" s="214">
        <f t="shared" si="108"/>
        <v>-448.75379206428926</v>
      </c>
      <c r="E114" s="214">
        <f t="shared" si="109"/>
        <v>0</v>
      </c>
      <c r="F114" s="214">
        <v>0</v>
      </c>
      <c r="AD114" s="219" t="s">
        <v>122</v>
      </c>
      <c r="AE114" s="203">
        <v>0.51500000000000001</v>
      </c>
    </row>
    <row r="115" spans="1:31">
      <c r="A115" s="215" t="str">
        <f t="shared" si="107"/>
        <v>Labour - formal emp</v>
      </c>
      <c r="B115" s="214">
        <v>0</v>
      </c>
      <c r="C115" s="214">
        <f t="shared" si="110"/>
        <v>395.29411764705878</v>
      </c>
      <c r="D115" s="214">
        <f t="shared" si="108"/>
        <v>4724.3636363636342</v>
      </c>
      <c r="E115" s="214">
        <f t="shared" si="109"/>
        <v>3528.0000000000036</v>
      </c>
      <c r="F115" s="214">
        <f xml:space="preserve"> -2.582*F107^2 + 352.49*F107 - 6757.3</f>
        <v>2671.7</v>
      </c>
    </row>
    <row r="116" spans="1:31">
      <c r="A116" s="215" t="str">
        <f t="shared" si="107"/>
        <v>Self - employment</v>
      </c>
      <c r="B116" s="214">
        <v>0</v>
      </c>
      <c r="C116" s="214">
        <f t="shared" si="110"/>
        <v>131.69882352941178</v>
      </c>
      <c r="D116" s="214">
        <f t="shared" si="108"/>
        <v>-213.47878787878787</v>
      </c>
      <c r="E116" s="214">
        <f t="shared" si="109"/>
        <v>0</v>
      </c>
      <c r="F116" s="214">
        <f xml:space="preserve"> 0.025*F107^2 - 2.8902*F107 + 868.55</f>
        <v>829.53</v>
      </c>
    </row>
    <row r="117" spans="1:31">
      <c r="A117" s="215" t="str">
        <f t="shared" si="107"/>
        <v>Small business/petty trading</v>
      </c>
      <c r="B117" s="214">
        <v>0</v>
      </c>
      <c r="C117" s="214">
        <f t="shared" si="110"/>
        <v>63.2470588235294</v>
      </c>
      <c r="D117" s="214">
        <f t="shared" si="108"/>
        <v>1205.5272727272722</v>
      </c>
      <c r="E117" s="214">
        <f t="shared" si="109"/>
        <v>4031.9999999999991</v>
      </c>
      <c r="F117" s="214">
        <f xml:space="preserve"> 1.6289*F107^2 - 121.84*F107 + 2098.5</f>
        <v>6203.5</v>
      </c>
    </row>
    <row r="118" spans="1:31">
      <c r="A118" s="215" t="str">
        <f t="shared" si="107"/>
        <v>Food transfer - official</v>
      </c>
      <c r="B118" s="214">
        <f xml:space="preserve"> 0</f>
        <v>0</v>
      </c>
      <c r="C118" s="214">
        <f t="shared" si="110"/>
        <v>1.8017549561260968</v>
      </c>
      <c r="D118" s="214">
        <f t="shared" si="108"/>
        <v>0.37127071823204394</v>
      </c>
      <c r="E118" s="214">
        <f t="shared" si="109"/>
        <v>-4.5944751381215463</v>
      </c>
      <c r="F118" s="214">
        <f>0.0411*F107^2 - 5.0851*F107 + 112.24</f>
        <v>14.730000000000004</v>
      </c>
    </row>
    <row r="119" spans="1:31">
      <c r="A119" s="215" t="str">
        <f t="shared" si="107"/>
        <v>Cash transfer - official</v>
      </c>
      <c r="B119" s="214">
        <v>0</v>
      </c>
      <c r="C119" s="214">
        <f t="shared" si="110"/>
        <v>0</v>
      </c>
      <c r="D119" s="214">
        <f t="shared" si="108"/>
        <v>-283.13265597147944</v>
      </c>
      <c r="E119" s="214">
        <f t="shared" si="109"/>
        <v>0</v>
      </c>
      <c r="F119" s="214">
        <f xml:space="preserve"> -0.4727*F107^2 + 44.988*F107 - 899.63</f>
        <v>-1127.83</v>
      </c>
    </row>
    <row r="120" spans="1:31">
      <c r="A120" s="215" t="str">
        <f t="shared" si="107"/>
        <v>Cash transfer - gifts</v>
      </c>
      <c r="B120" s="214">
        <v>0</v>
      </c>
      <c r="C120" s="214">
        <f t="shared" si="110"/>
        <v>49.411764705882348</v>
      </c>
      <c r="D120" s="214">
        <f t="shared" si="108"/>
        <v>-50.909090909090899</v>
      </c>
      <c r="E120" s="214">
        <f t="shared" si="109"/>
        <v>0</v>
      </c>
      <c r="F120" s="214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Lawrence;Charles Rethman (seasonality, total income, percentiles);SVAC</dc:creator>
  <cp:lastModifiedBy>Charles Rethman</cp:lastModifiedBy>
  <cp:lastPrinted>2011-04-19T10:12:05Z</cp:lastPrinted>
  <dcterms:created xsi:type="dcterms:W3CDTF">2006-01-21T10:30:34Z</dcterms:created>
  <dcterms:modified xsi:type="dcterms:W3CDTF">2015-12-02T08:50:35Z</dcterms:modified>
</cp:coreProperties>
</file>